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1833"/>
  <sheetViews>
    <sheetView workbookViewId="0">
      <selection activeCell="A1" sqref="A1"/>
    </sheetView>
  </sheetViews>
  <sheetFormatPr baseColWidth="8" defaultRowHeight="15"/>
  <sheetData>
    <row r="1">
      <c r="A1" t="inlineStr">
        <is>
          <t>Keep in Collection? (Yes/No)</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A2" t="inlineStr">
        <is>
          <t>No</t>
        </is>
      </c>
      <c r="B2" t="inlineStr">
        <is>
          <t>CUHSL</t>
        </is>
      </c>
      <c r="C2" t="inlineStr">
        <is>
          <t>SHELVES</t>
        </is>
      </c>
      <c r="D2" t="inlineStr">
        <is>
          <t>RT4 .S23</t>
        </is>
      </c>
      <c r="E2" t="inlineStr">
        <is>
          <t>0                      RT 0004000S  23</t>
        </is>
      </c>
      <c r="F2" t="inlineStr">
        <is>
          <t>Contemporary American leaders in nursing : an oral history / Gwendolyn Safier.</t>
        </is>
      </c>
      <c r="H2" t="inlineStr">
        <is>
          <t>No</t>
        </is>
      </c>
      <c r="I2" t="inlineStr">
        <is>
          <t>1</t>
        </is>
      </c>
      <c r="J2" t="inlineStr">
        <is>
          <t>No</t>
        </is>
      </c>
      <c r="K2" t="inlineStr">
        <is>
          <t>No</t>
        </is>
      </c>
      <c r="L2" t="inlineStr">
        <is>
          <t>0</t>
        </is>
      </c>
      <c r="M2" t="inlineStr">
        <is>
          <t>Safier, Gwendolyn.</t>
        </is>
      </c>
      <c r="N2" t="inlineStr">
        <is>
          <t>-- New York : McGraw-Hill, 1977.</t>
        </is>
      </c>
      <c r="O2" t="inlineStr">
        <is>
          <t>1977</t>
        </is>
      </c>
      <c r="Q2" t="inlineStr">
        <is>
          <t>eng</t>
        </is>
      </c>
      <c r="R2" t="inlineStr">
        <is>
          <t>nyu</t>
        </is>
      </c>
      <c r="T2" t="inlineStr">
        <is>
          <t xml:space="preserve">RT </t>
        </is>
      </c>
      <c r="U2" t="n">
        <v>5</v>
      </c>
      <c r="V2" t="n">
        <v>5</v>
      </c>
      <c r="W2" t="inlineStr">
        <is>
          <t>2009-06-02</t>
        </is>
      </c>
      <c r="X2" t="inlineStr">
        <is>
          <t>2009-06-02</t>
        </is>
      </c>
      <c r="Y2" t="inlineStr">
        <is>
          <t>1987-12-22</t>
        </is>
      </c>
      <c r="Z2" t="inlineStr">
        <is>
          <t>1987-12-22</t>
        </is>
      </c>
      <c r="AA2" t="n">
        <v>434</v>
      </c>
      <c r="AB2" t="n">
        <v>404</v>
      </c>
      <c r="AC2" t="n">
        <v>411</v>
      </c>
      <c r="AD2" t="n">
        <v>5</v>
      </c>
      <c r="AE2" t="n">
        <v>5</v>
      </c>
      <c r="AF2" t="n">
        <v>26</v>
      </c>
      <c r="AG2" t="n">
        <v>26</v>
      </c>
      <c r="AH2" t="n">
        <v>12</v>
      </c>
      <c r="AI2" t="n">
        <v>12</v>
      </c>
      <c r="AJ2" t="n">
        <v>4</v>
      </c>
      <c r="AK2" t="n">
        <v>4</v>
      </c>
      <c r="AL2" t="n">
        <v>9</v>
      </c>
      <c r="AM2" t="n">
        <v>9</v>
      </c>
      <c r="AN2" t="n">
        <v>4</v>
      </c>
      <c r="AO2" t="n">
        <v>4</v>
      </c>
      <c r="AP2" t="n">
        <v>0</v>
      </c>
      <c r="AQ2" t="n">
        <v>0</v>
      </c>
      <c r="AR2" t="inlineStr">
        <is>
          <t>No</t>
        </is>
      </c>
      <c r="AS2" t="inlineStr">
        <is>
          <t>Yes</t>
        </is>
      </c>
      <c r="AT2">
        <f>HYPERLINK("http://catalog.hathitrust.org/Record/000083078","HathiTrust Record")</f>
        <v/>
      </c>
      <c r="AU2">
        <f>HYPERLINK("https://creighton-primo.hosted.exlibrisgroup.com/primo-explore/search?tab=default_tab&amp;search_scope=EVERYTHING&amp;vid=01CRU&amp;lang=en_US&amp;offset=0&amp;query=any,contains,991001039069702656","Catalog Record")</f>
        <v/>
      </c>
      <c r="AV2">
        <f>HYPERLINK("http://www.worldcat.org/oclc/2508491","WorldCat Record")</f>
        <v/>
      </c>
      <c r="AW2" t="inlineStr">
        <is>
          <t>423667310:eng</t>
        </is>
      </c>
      <c r="AX2" t="inlineStr">
        <is>
          <t>2508491</t>
        </is>
      </c>
      <c r="AY2" t="inlineStr">
        <is>
          <t>991001039069702656</t>
        </is>
      </c>
      <c r="AZ2" t="inlineStr">
        <is>
          <t>991001039069702656</t>
        </is>
      </c>
      <c r="BA2" t="inlineStr">
        <is>
          <t>2254978800002656</t>
        </is>
      </c>
      <c r="BB2" t="inlineStr">
        <is>
          <t>BOOK</t>
        </is>
      </c>
      <c r="BD2" t="inlineStr">
        <is>
          <t>9780070544123</t>
        </is>
      </c>
      <c r="BE2" t="inlineStr">
        <is>
          <t>30001000241531</t>
        </is>
      </c>
      <c r="BF2" t="inlineStr">
        <is>
          <t>893731618</t>
        </is>
      </c>
    </row>
    <row r="3">
      <c r="A3" t="inlineStr">
        <is>
          <t>No</t>
        </is>
      </c>
      <c r="B3" t="inlineStr">
        <is>
          <t>CUHSL</t>
        </is>
      </c>
      <c r="C3" t="inlineStr">
        <is>
          <t>SHELVES</t>
        </is>
      </c>
      <c r="D3" t="inlineStr">
        <is>
          <t>RT31 .J4 1977</t>
        </is>
      </c>
      <c r="E3" t="inlineStr">
        <is>
          <t>0                      RT 0031000J  4           1977</t>
        </is>
      </c>
      <c r="F3" t="inlineStr">
        <is>
          <t>History and trends of professional nursing / Grace L. Deloughery ; with a special unit on legal aspects by Eileen O'Neil.</t>
        </is>
      </c>
      <c r="H3" t="inlineStr">
        <is>
          <t>No</t>
        </is>
      </c>
      <c r="I3" t="inlineStr">
        <is>
          <t>1</t>
        </is>
      </c>
      <c r="J3" t="inlineStr">
        <is>
          <t>No</t>
        </is>
      </c>
      <c r="K3" t="inlineStr">
        <is>
          <t>No</t>
        </is>
      </c>
      <c r="L3" t="inlineStr">
        <is>
          <t>0</t>
        </is>
      </c>
      <c r="M3" t="inlineStr">
        <is>
          <t>Deloughery, Grace L., 1933-2007.</t>
        </is>
      </c>
      <c r="N3" t="inlineStr">
        <is>
          <t>-- St. Louis : Mosby, 1977.</t>
        </is>
      </c>
      <c r="O3" t="inlineStr">
        <is>
          <t>1977</t>
        </is>
      </c>
      <c r="P3" t="inlineStr">
        <is>
          <t>-- 8th ed.</t>
        </is>
      </c>
      <c r="Q3" t="inlineStr">
        <is>
          <t>eng</t>
        </is>
      </c>
      <c r="R3" t="inlineStr">
        <is>
          <t>mou</t>
        </is>
      </c>
      <c r="T3" t="inlineStr">
        <is>
          <t xml:space="preserve">RT </t>
        </is>
      </c>
      <c r="U3" t="n">
        <v>1</v>
      </c>
      <c r="V3" t="n">
        <v>1</v>
      </c>
      <c r="W3" t="inlineStr">
        <is>
          <t>2000-10-14</t>
        </is>
      </c>
      <c r="X3" t="inlineStr">
        <is>
          <t>2000-10-14</t>
        </is>
      </c>
      <c r="Y3" t="inlineStr">
        <is>
          <t>1987-10-19</t>
        </is>
      </c>
      <c r="Z3" t="inlineStr">
        <is>
          <t>1987-10-19</t>
        </is>
      </c>
      <c r="AA3" t="n">
        <v>534</v>
      </c>
      <c r="AB3" t="n">
        <v>432</v>
      </c>
      <c r="AC3" t="n">
        <v>434</v>
      </c>
      <c r="AD3" t="n">
        <v>7</v>
      </c>
      <c r="AE3" t="n">
        <v>7</v>
      </c>
      <c r="AF3" t="n">
        <v>18</v>
      </c>
      <c r="AG3" t="n">
        <v>18</v>
      </c>
      <c r="AH3" t="n">
        <v>8</v>
      </c>
      <c r="AI3" t="n">
        <v>8</v>
      </c>
      <c r="AJ3" t="n">
        <v>3</v>
      </c>
      <c r="AK3" t="n">
        <v>3</v>
      </c>
      <c r="AL3" t="n">
        <v>6</v>
      </c>
      <c r="AM3" t="n">
        <v>6</v>
      </c>
      <c r="AN3" t="n">
        <v>4</v>
      </c>
      <c r="AO3" t="n">
        <v>4</v>
      </c>
      <c r="AP3" t="n">
        <v>0</v>
      </c>
      <c r="AQ3" t="n">
        <v>0</v>
      </c>
      <c r="AR3" t="inlineStr">
        <is>
          <t>No</t>
        </is>
      </c>
      <c r="AS3" t="inlineStr">
        <is>
          <t>Yes</t>
        </is>
      </c>
      <c r="AT3">
        <f>HYPERLINK("http://catalog.hathitrust.org/Record/000173510","HathiTrust Record")</f>
        <v/>
      </c>
      <c r="AU3">
        <f>HYPERLINK("https://creighton-primo.hosted.exlibrisgroup.com/primo-explore/search?tab=default_tab&amp;search_scope=EVERYTHING&amp;vid=01CRU&amp;lang=en_US&amp;offset=0&amp;query=any,contains,991000741549702656","Catalog Record")</f>
        <v/>
      </c>
      <c r="AV3">
        <f>HYPERLINK("http://www.worldcat.org/oclc/2798834","WorldCat Record")</f>
        <v/>
      </c>
      <c r="AW3" t="inlineStr">
        <is>
          <t>5611671559:eng</t>
        </is>
      </c>
      <c r="AX3" t="inlineStr">
        <is>
          <t>2798834</t>
        </is>
      </c>
      <c r="AY3" t="inlineStr">
        <is>
          <t>991000741549702656</t>
        </is>
      </c>
      <c r="AZ3" t="inlineStr">
        <is>
          <t>991000741549702656</t>
        </is>
      </c>
      <c r="BA3" t="inlineStr">
        <is>
          <t>2270925010002656</t>
        </is>
      </c>
      <c r="BB3" t="inlineStr">
        <is>
          <t>BOOK</t>
        </is>
      </c>
      <c r="BD3" t="inlineStr">
        <is>
          <t>9780801619748</t>
        </is>
      </c>
      <c r="BE3" t="inlineStr">
        <is>
          <t>30001000043481</t>
        </is>
      </c>
      <c r="BF3" t="inlineStr">
        <is>
          <t>893286920</t>
        </is>
      </c>
    </row>
    <row r="4">
      <c r="A4" t="inlineStr">
        <is>
          <t>No</t>
        </is>
      </c>
      <c r="B4" t="inlineStr">
        <is>
          <t>CUHSL</t>
        </is>
      </c>
      <c r="C4" t="inlineStr">
        <is>
          <t>SHELVES</t>
        </is>
      </c>
      <c r="D4" t="inlineStr">
        <is>
          <t>RT31 .R6</t>
        </is>
      </c>
      <c r="E4" t="inlineStr">
        <is>
          <t>0                      RT 0031000R  6</t>
        </is>
      </c>
      <c r="F4" t="inlineStr">
        <is>
          <t>White caps : the story of nursing / by Victor Robinson.</t>
        </is>
      </c>
      <c r="H4" t="inlineStr">
        <is>
          <t>No</t>
        </is>
      </c>
      <c r="I4" t="inlineStr">
        <is>
          <t>1</t>
        </is>
      </c>
      <c r="J4" t="inlineStr">
        <is>
          <t>Yes</t>
        </is>
      </c>
      <c r="K4" t="inlineStr">
        <is>
          <t>No</t>
        </is>
      </c>
      <c r="L4" t="inlineStr">
        <is>
          <t>0</t>
        </is>
      </c>
      <c r="M4" t="inlineStr">
        <is>
          <t>Robinson, Victor, 1886-1947.</t>
        </is>
      </c>
      <c r="N4" t="inlineStr">
        <is>
          <t>Philadelphia, Lippincott [1946]</t>
        </is>
      </c>
      <c r="O4" t="inlineStr">
        <is>
          <t>1946</t>
        </is>
      </c>
      <c r="Q4" t="inlineStr">
        <is>
          <t>eng</t>
        </is>
      </c>
      <c r="R4" t="inlineStr">
        <is>
          <t>___</t>
        </is>
      </c>
      <c r="T4" t="inlineStr">
        <is>
          <t xml:space="preserve">RT </t>
        </is>
      </c>
      <c r="U4" t="n">
        <v>1</v>
      </c>
      <c r="V4" t="n">
        <v>3</v>
      </c>
      <c r="X4" t="inlineStr">
        <is>
          <t>2001-08-31</t>
        </is>
      </c>
      <c r="Y4" t="inlineStr">
        <is>
          <t>1988-01-08</t>
        </is>
      </c>
      <c r="Z4" t="inlineStr">
        <is>
          <t>1993-03-15</t>
        </is>
      </c>
      <c r="AA4" t="n">
        <v>423</v>
      </c>
      <c r="AB4" t="n">
        <v>380</v>
      </c>
      <c r="AC4" t="n">
        <v>399</v>
      </c>
      <c r="AD4" t="n">
        <v>7</v>
      </c>
      <c r="AE4" t="n">
        <v>7</v>
      </c>
      <c r="AF4" t="n">
        <v>19</v>
      </c>
      <c r="AG4" t="n">
        <v>19</v>
      </c>
      <c r="AH4" t="n">
        <v>5</v>
      </c>
      <c r="AI4" t="n">
        <v>5</v>
      </c>
      <c r="AJ4" t="n">
        <v>5</v>
      </c>
      <c r="AK4" t="n">
        <v>5</v>
      </c>
      <c r="AL4" t="n">
        <v>8</v>
      </c>
      <c r="AM4" t="n">
        <v>8</v>
      </c>
      <c r="AN4" t="n">
        <v>5</v>
      </c>
      <c r="AO4" t="n">
        <v>5</v>
      </c>
      <c r="AP4" t="n">
        <v>0</v>
      </c>
      <c r="AQ4" t="n">
        <v>0</v>
      </c>
      <c r="AR4" t="inlineStr">
        <is>
          <t>Yes</t>
        </is>
      </c>
      <c r="AS4" t="inlineStr">
        <is>
          <t>No</t>
        </is>
      </c>
      <c r="AT4">
        <f>HYPERLINK("http://catalog.hathitrust.org/Record/001574127","HathiTrust Record")</f>
        <v/>
      </c>
      <c r="AU4">
        <f>HYPERLINK("https://creighton-primo.hosted.exlibrisgroup.com/primo-explore/search?tab=default_tab&amp;search_scope=EVERYTHING&amp;vid=01CRU&amp;lang=en_US&amp;offset=0&amp;query=any,contains,991001780979702656","Catalog Record")</f>
        <v/>
      </c>
      <c r="AV4">
        <f>HYPERLINK("http://www.worldcat.org/oclc/642335","WorldCat Record")</f>
        <v/>
      </c>
      <c r="AW4" t="inlineStr">
        <is>
          <t>423427949:eng</t>
        </is>
      </c>
      <c r="AX4" t="inlineStr">
        <is>
          <t>642335</t>
        </is>
      </c>
      <c r="AY4" t="inlineStr">
        <is>
          <t>991001780979702656</t>
        </is>
      </c>
      <c r="AZ4" t="inlineStr">
        <is>
          <t>991001780979702656</t>
        </is>
      </c>
      <c r="BA4" t="inlineStr">
        <is>
          <t>2262255480002656</t>
        </is>
      </c>
      <c r="BB4" t="inlineStr">
        <is>
          <t>BOOK</t>
        </is>
      </c>
      <c r="BE4" t="inlineStr">
        <is>
          <t>30001000240871</t>
        </is>
      </c>
      <c r="BF4" t="inlineStr">
        <is>
          <t>893553078</t>
        </is>
      </c>
    </row>
    <row r="5">
      <c r="A5" t="inlineStr">
        <is>
          <t>No</t>
        </is>
      </c>
      <c r="B5" t="inlineStr">
        <is>
          <t>CUHSL</t>
        </is>
      </c>
      <c r="C5" t="inlineStr">
        <is>
          <t>SHELVES</t>
        </is>
      </c>
      <c r="D5" t="inlineStr">
        <is>
          <t>RT41 .H24 1978</t>
        </is>
      </c>
      <c r="E5" t="inlineStr">
        <is>
          <t>0                      RT 0041000H  24          1978</t>
        </is>
      </c>
      <c r="F5" t="inlineStr">
        <is>
          <t>Principles and practice of nursing / Virginia Henderson, Gladys Nite.</t>
        </is>
      </c>
      <c r="H5" t="inlineStr">
        <is>
          <t>No</t>
        </is>
      </c>
      <c r="I5" t="inlineStr">
        <is>
          <t>1</t>
        </is>
      </c>
      <c r="J5" t="inlineStr">
        <is>
          <t>No</t>
        </is>
      </c>
      <c r="K5" t="inlineStr">
        <is>
          <t>No</t>
        </is>
      </c>
      <c r="L5" t="inlineStr">
        <is>
          <t>0</t>
        </is>
      </c>
      <c r="M5" t="inlineStr">
        <is>
          <t>Henderson, Virginia.</t>
        </is>
      </c>
      <c r="N5" t="inlineStr">
        <is>
          <t>New York : Macmillan, c1978.</t>
        </is>
      </c>
      <c r="O5" t="inlineStr">
        <is>
          <t>1978</t>
        </is>
      </c>
      <c r="P5" t="inlineStr">
        <is>
          <t>6th ed.</t>
        </is>
      </c>
      <c r="Q5" t="inlineStr">
        <is>
          <t>eng</t>
        </is>
      </c>
      <c r="R5" t="inlineStr">
        <is>
          <t>nyu</t>
        </is>
      </c>
      <c r="T5" t="inlineStr">
        <is>
          <t xml:space="preserve">RT </t>
        </is>
      </c>
      <c r="U5" t="n">
        <v>4</v>
      </c>
      <c r="V5" t="n">
        <v>4</v>
      </c>
      <c r="W5" t="inlineStr">
        <is>
          <t>2005-11-07</t>
        </is>
      </c>
      <c r="X5" t="inlineStr">
        <is>
          <t>2005-11-07</t>
        </is>
      </c>
      <c r="Y5" t="inlineStr">
        <is>
          <t>1988-01-08</t>
        </is>
      </c>
      <c r="Z5" t="inlineStr">
        <is>
          <t>1988-01-08</t>
        </is>
      </c>
      <c r="AA5" t="n">
        <v>459</v>
      </c>
      <c r="AB5" t="n">
        <v>369</v>
      </c>
      <c r="AC5" t="n">
        <v>380</v>
      </c>
      <c r="AD5" t="n">
        <v>4</v>
      </c>
      <c r="AE5" t="n">
        <v>4</v>
      </c>
      <c r="AF5" t="n">
        <v>10</v>
      </c>
      <c r="AG5" t="n">
        <v>11</v>
      </c>
      <c r="AH5" t="n">
        <v>5</v>
      </c>
      <c r="AI5" t="n">
        <v>6</v>
      </c>
      <c r="AJ5" t="n">
        <v>2</v>
      </c>
      <c r="AK5" t="n">
        <v>2</v>
      </c>
      <c r="AL5" t="n">
        <v>6</v>
      </c>
      <c r="AM5" t="n">
        <v>6</v>
      </c>
      <c r="AN5" t="n">
        <v>1</v>
      </c>
      <c r="AO5" t="n">
        <v>1</v>
      </c>
      <c r="AP5" t="n">
        <v>0</v>
      </c>
      <c r="AQ5" t="n">
        <v>0</v>
      </c>
      <c r="AR5" t="inlineStr">
        <is>
          <t>No</t>
        </is>
      </c>
      <c r="AS5" t="inlineStr">
        <is>
          <t>No</t>
        </is>
      </c>
      <c r="AU5">
        <f>HYPERLINK("https://creighton-primo.hosted.exlibrisgroup.com/primo-explore/search?tab=default_tab&amp;search_scope=EVERYTHING&amp;vid=01CRU&amp;lang=en_US&amp;offset=0&amp;query=any,contains,991001144289702656","Catalog Record")</f>
        <v/>
      </c>
      <c r="AV5">
        <f>HYPERLINK("http://www.worldcat.org/oclc/2225097","WorldCat Record")</f>
        <v/>
      </c>
      <c r="AW5" t="inlineStr">
        <is>
          <t>3856521314:eng</t>
        </is>
      </c>
      <c r="AX5" t="inlineStr">
        <is>
          <t>2225097</t>
        </is>
      </c>
      <c r="AY5" t="inlineStr">
        <is>
          <t>991001144289702656</t>
        </is>
      </c>
      <c r="AZ5" t="inlineStr">
        <is>
          <t>991001144289702656</t>
        </is>
      </c>
      <c r="BA5" t="inlineStr">
        <is>
          <t>2259225640002656</t>
        </is>
      </c>
      <c r="BB5" t="inlineStr">
        <is>
          <t>BOOK</t>
        </is>
      </c>
      <c r="BD5" t="inlineStr">
        <is>
          <t>9780023535802</t>
        </is>
      </c>
      <c r="BE5" t="inlineStr">
        <is>
          <t>30001000291429</t>
        </is>
      </c>
      <c r="BF5" t="inlineStr">
        <is>
          <t>893826488</t>
        </is>
      </c>
    </row>
    <row r="6">
      <c r="A6" t="inlineStr">
        <is>
          <t>No</t>
        </is>
      </c>
      <c r="B6" t="inlineStr">
        <is>
          <t>CUHSL</t>
        </is>
      </c>
      <c r="C6" t="inlineStr">
        <is>
          <t>SHELVES</t>
        </is>
      </c>
      <c r="D6" t="inlineStr">
        <is>
          <t>RT41 .L64</t>
        </is>
      </c>
      <c r="E6" t="inlineStr">
        <is>
          <t>0                      RT 0041000L  64</t>
        </is>
      </c>
      <c r="F6" t="inlineStr">
        <is>
          <t>Introduction to clinical nursing.</t>
        </is>
      </c>
      <c r="H6" t="inlineStr">
        <is>
          <t>No</t>
        </is>
      </c>
      <c r="I6" t="inlineStr">
        <is>
          <t>1</t>
        </is>
      </c>
      <c r="J6" t="inlineStr">
        <is>
          <t>No</t>
        </is>
      </c>
      <c r="K6" t="inlineStr">
        <is>
          <t>No</t>
        </is>
      </c>
      <c r="L6" t="inlineStr">
        <is>
          <t>0</t>
        </is>
      </c>
      <c r="M6" t="inlineStr">
        <is>
          <t>Levine, Myra E.</t>
        </is>
      </c>
      <c r="N6" t="inlineStr">
        <is>
          <t>Philadelphia : F. A. Davis Co., [1969]</t>
        </is>
      </c>
      <c r="O6" t="inlineStr">
        <is>
          <t>1969</t>
        </is>
      </c>
      <c r="Q6" t="inlineStr">
        <is>
          <t>eng</t>
        </is>
      </c>
      <c r="R6" t="inlineStr">
        <is>
          <t>pau</t>
        </is>
      </c>
      <c r="T6" t="inlineStr">
        <is>
          <t xml:space="preserve">RT </t>
        </is>
      </c>
      <c r="U6" t="n">
        <v>21</v>
      </c>
      <c r="V6" t="n">
        <v>21</v>
      </c>
      <c r="W6" t="inlineStr">
        <is>
          <t>1999-10-28</t>
        </is>
      </c>
      <c r="X6" t="inlineStr">
        <is>
          <t>1999-10-28</t>
        </is>
      </c>
      <c r="Y6" t="inlineStr">
        <is>
          <t>1988-01-05</t>
        </is>
      </c>
      <c r="Z6" t="inlineStr">
        <is>
          <t>1988-01-05</t>
        </is>
      </c>
      <c r="AA6" t="n">
        <v>132</v>
      </c>
      <c r="AB6" t="n">
        <v>110</v>
      </c>
      <c r="AC6" t="n">
        <v>196</v>
      </c>
      <c r="AD6" t="n">
        <v>2</v>
      </c>
      <c r="AE6" t="n">
        <v>4</v>
      </c>
      <c r="AF6" t="n">
        <v>2</v>
      </c>
      <c r="AG6" t="n">
        <v>8</v>
      </c>
      <c r="AH6" t="n">
        <v>0</v>
      </c>
      <c r="AI6" t="n">
        <v>2</v>
      </c>
      <c r="AJ6" t="n">
        <v>0</v>
      </c>
      <c r="AK6" t="n">
        <v>0</v>
      </c>
      <c r="AL6" t="n">
        <v>2</v>
      </c>
      <c r="AM6" t="n">
        <v>5</v>
      </c>
      <c r="AN6" t="n">
        <v>0</v>
      </c>
      <c r="AO6" t="n">
        <v>2</v>
      </c>
      <c r="AP6" t="n">
        <v>0</v>
      </c>
      <c r="AQ6" t="n">
        <v>0</v>
      </c>
      <c r="AR6" t="inlineStr">
        <is>
          <t>No</t>
        </is>
      </c>
      <c r="AS6" t="inlineStr">
        <is>
          <t>Yes</t>
        </is>
      </c>
      <c r="AT6">
        <f>HYPERLINK("http://catalog.hathitrust.org/Record/001574228","HathiTrust Record")</f>
        <v/>
      </c>
      <c r="AU6">
        <f>HYPERLINK("https://creighton-primo.hosted.exlibrisgroup.com/primo-explore/search?tab=default_tab&amp;search_scope=EVERYTHING&amp;vid=01CRU&amp;lang=en_US&amp;offset=0&amp;query=any,contains,991000917979702656","Catalog Record")</f>
        <v/>
      </c>
      <c r="AV6">
        <f>HYPERLINK("http://www.worldcat.org/oclc/979","WorldCat Record")</f>
        <v/>
      </c>
      <c r="AW6" t="inlineStr">
        <is>
          <t>1124363:eng</t>
        </is>
      </c>
      <c r="AX6" t="inlineStr">
        <is>
          <t>979</t>
        </is>
      </c>
      <c r="AY6" t="inlineStr">
        <is>
          <t>991000917979702656</t>
        </is>
      </c>
      <c r="AZ6" t="inlineStr">
        <is>
          <t>991000917979702656</t>
        </is>
      </c>
      <c r="BA6" t="inlineStr">
        <is>
          <t>2272703680002656</t>
        </is>
      </c>
      <c r="BB6" t="inlineStr">
        <is>
          <t>BOOK</t>
        </is>
      </c>
      <c r="BE6" t="inlineStr">
        <is>
          <t>30001000180069</t>
        </is>
      </c>
      <c r="BF6" t="inlineStr">
        <is>
          <t>893551937</t>
        </is>
      </c>
    </row>
    <row r="7">
      <c r="A7" t="inlineStr">
        <is>
          <t>No</t>
        </is>
      </c>
      <c r="B7" t="inlineStr">
        <is>
          <t>CUHSL</t>
        </is>
      </c>
      <c r="C7" t="inlineStr">
        <is>
          <t>SHELVES</t>
        </is>
      </c>
      <c r="D7" t="inlineStr">
        <is>
          <t>RT42 .A35</t>
        </is>
      </c>
      <c r="E7" t="inlineStr">
        <is>
          <t>0                      RT 0042000A  35</t>
        </is>
      </c>
      <c r="F7" t="inlineStr">
        <is>
          <t>Code for nurses with interpretive statements.</t>
        </is>
      </c>
      <c r="H7" t="inlineStr">
        <is>
          <t>No</t>
        </is>
      </c>
      <c r="I7" t="inlineStr">
        <is>
          <t>1</t>
        </is>
      </c>
      <c r="J7" t="inlineStr">
        <is>
          <t>No</t>
        </is>
      </c>
      <c r="K7" t="inlineStr">
        <is>
          <t>No</t>
        </is>
      </c>
      <c r="L7" t="inlineStr">
        <is>
          <t>0</t>
        </is>
      </c>
      <c r="M7" t="inlineStr">
        <is>
          <t>American Nurses Association.</t>
        </is>
      </c>
      <c r="N7" t="inlineStr">
        <is>
          <t>Kansas City, Mo : ANA, 1976.</t>
        </is>
      </c>
      <c r="O7" t="inlineStr">
        <is>
          <t>1976</t>
        </is>
      </c>
      <c r="Q7" t="inlineStr">
        <is>
          <t>eng</t>
        </is>
      </c>
      <c r="R7" t="inlineStr">
        <is>
          <t xml:space="preserve">xx </t>
        </is>
      </c>
      <c r="S7" t="inlineStr">
        <is>
          <t>ANA. G-56R</t>
        </is>
      </c>
      <c r="T7" t="inlineStr">
        <is>
          <t xml:space="preserve">RT </t>
        </is>
      </c>
      <c r="U7" t="n">
        <v>5</v>
      </c>
      <c r="V7" t="n">
        <v>5</v>
      </c>
      <c r="W7" t="inlineStr">
        <is>
          <t>1996-04-17</t>
        </is>
      </c>
      <c r="X7" t="inlineStr">
        <is>
          <t>1996-04-17</t>
        </is>
      </c>
      <c r="Y7" t="inlineStr">
        <is>
          <t>1987-12-29</t>
        </is>
      </c>
      <c r="Z7" t="inlineStr">
        <is>
          <t>1987-12-29</t>
        </is>
      </c>
      <c r="AA7" t="n">
        <v>60</v>
      </c>
      <c r="AB7" t="n">
        <v>58</v>
      </c>
      <c r="AC7" t="n">
        <v>158</v>
      </c>
      <c r="AD7" t="n">
        <v>2</v>
      </c>
      <c r="AE7" t="n">
        <v>3</v>
      </c>
      <c r="AF7" t="n">
        <v>7</v>
      </c>
      <c r="AG7" t="n">
        <v>9</v>
      </c>
      <c r="AH7" t="n">
        <v>2</v>
      </c>
      <c r="AI7" t="n">
        <v>3</v>
      </c>
      <c r="AJ7" t="n">
        <v>0</v>
      </c>
      <c r="AK7" t="n">
        <v>0</v>
      </c>
      <c r="AL7" t="n">
        <v>4</v>
      </c>
      <c r="AM7" t="n">
        <v>4</v>
      </c>
      <c r="AN7" t="n">
        <v>1</v>
      </c>
      <c r="AO7" t="n">
        <v>2</v>
      </c>
      <c r="AP7" t="n">
        <v>1</v>
      </c>
      <c r="AQ7" t="n">
        <v>1</v>
      </c>
      <c r="AR7" t="inlineStr">
        <is>
          <t>No</t>
        </is>
      </c>
      <c r="AS7" t="inlineStr">
        <is>
          <t>No</t>
        </is>
      </c>
      <c r="AU7">
        <f>HYPERLINK("https://creighton-primo.hosted.exlibrisgroup.com/primo-explore/search?tab=default_tab&amp;search_scope=EVERYTHING&amp;vid=01CRU&amp;lang=en_US&amp;offset=0&amp;query=any,contains,991001132109702656","Catalog Record")</f>
        <v/>
      </c>
      <c r="AV7">
        <f>HYPERLINK("http://www.worldcat.org/oclc/2588681","WorldCat Record")</f>
        <v/>
      </c>
      <c r="AW7" t="inlineStr">
        <is>
          <t>3855360652:eng</t>
        </is>
      </c>
      <c r="AX7" t="inlineStr">
        <is>
          <t>2588681</t>
        </is>
      </c>
      <c r="AY7" t="inlineStr">
        <is>
          <t>991001132109702656</t>
        </is>
      </c>
      <c r="AZ7" t="inlineStr">
        <is>
          <t>991001132109702656</t>
        </is>
      </c>
      <c r="BA7" t="inlineStr">
        <is>
          <t>2254853530002656</t>
        </is>
      </c>
      <c r="BB7" t="inlineStr">
        <is>
          <t>BOOK</t>
        </is>
      </c>
      <c r="BE7" t="inlineStr">
        <is>
          <t>30001000285413</t>
        </is>
      </c>
      <c r="BF7" t="inlineStr">
        <is>
          <t>893161700</t>
        </is>
      </c>
    </row>
    <row r="8">
      <c r="A8" t="inlineStr">
        <is>
          <t>No</t>
        </is>
      </c>
      <c r="B8" t="inlineStr">
        <is>
          <t>CUHSL</t>
        </is>
      </c>
      <c r="C8" t="inlineStr">
        <is>
          <t>SHELVES</t>
        </is>
      </c>
      <c r="D8" t="inlineStr">
        <is>
          <t>RT48.6 .A35 2006</t>
        </is>
      </c>
      <c r="E8" t="inlineStr">
        <is>
          <t>0                      RT 0048600A  35          2006</t>
        </is>
      </c>
      <c r="F8" t="inlineStr">
        <is>
          <t>Nursing diagnosis handbook : a guide to planning care / [edited by] Betty J. Ackley, Gail B. Ladwig.</t>
        </is>
      </c>
      <c r="H8" t="inlineStr">
        <is>
          <t>No</t>
        </is>
      </c>
      <c r="I8" t="inlineStr">
        <is>
          <t>1</t>
        </is>
      </c>
      <c r="J8" t="inlineStr">
        <is>
          <t>No</t>
        </is>
      </c>
      <c r="K8" t="inlineStr">
        <is>
          <t>Yes</t>
        </is>
      </c>
      <c r="L8" t="inlineStr">
        <is>
          <t>0</t>
        </is>
      </c>
      <c r="N8" t="inlineStr">
        <is>
          <t>St. Louis : Mosby, c2006.</t>
        </is>
      </c>
      <c r="O8" t="inlineStr">
        <is>
          <t>2006</t>
        </is>
      </c>
      <c r="P8" t="inlineStr">
        <is>
          <t>7th ed.</t>
        </is>
      </c>
      <c r="Q8" t="inlineStr">
        <is>
          <t>eng</t>
        </is>
      </c>
      <c r="R8" t="inlineStr">
        <is>
          <t>mou</t>
        </is>
      </c>
      <c r="T8" t="inlineStr">
        <is>
          <t xml:space="preserve">RT </t>
        </is>
      </c>
      <c r="U8" t="n">
        <v>19</v>
      </c>
      <c r="V8" t="n">
        <v>19</v>
      </c>
      <c r="W8" t="inlineStr">
        <is>
          <t>2007-09-22</t>
        </is>
      </c>
      <c r="X8" t="inlineStr">
        <is>
          <t>2007-09-22</t>
        </is>
      </c>
      <c r="Y8" t="inlineStr">
        <is>
          <t>2005-11-01</t>
        </is>
      </c>
      <c r="Z8" t="inlineStr">
        <is>
          <t>2005-11-01</t>
        </is>
      </c>
      <c r="AA8" t="n">
        <v>365</v>
      </c>
      <c r="AB8" t="n">
        <v>271</v>
      </c>
      <c r="AC8" t="n">
        <v>1666</v>
      </c>
      <c r="AD8" t="n">
        <v>3</v>
      </c>
      <c r="AE8" t="n">
        <v>15</v>
      </c>
      <c r="AF8" t="n">
        <v>6</v>
      </c>
      <c r="AG8" t="n">
        <v>45</v>
      </c>
      <c r="AH8" t="n">
        <v>1</v>
      </c>
      <c r="AI8" t="n">
        <v>16</v>
      </c>
      <c r="AJ8" t="n">
        <v>1</v>
      </c>
      <c r="AK8" t="n">
        <v>8</v>
      </c>
      <c r="AL8" t="n">
        <v>4</v>
      </c>
      <c r="AM8" t="n">
        <v>17</v>
      </c>
      <c r="AN8" t="n">
        <v>1</v>
      </c>
      <c r="AO8" t="n">
        <v>11</v>
      </c>
      <c r="AP8" t="n">
        <v>0</v>
      </c>
      <c r="AQ8" t="n">
        <v>0</v>
      </c>
      <c r="AR8" t="inlineStr">
        <is>
          <t>No</t>
        </is>
      </c>
      <c r="AS8" t="inlineStr">
        <is>
          <t>Yes</t>
        </is>
      </c>
      <c r="AT8">
        <f>HYPERLINK("http://catalog.hathitrust.org/Record/005070039","HathiTrust Record")</f>
        <v/>
      </c>
      <c r="AU8">
        <f>HYPERLINK("https://creighton-primo.hosted.exlibrisgroup.com/primo-explore/search?tab=default_tab&amp;search_scope=EVERYTHING&amp;vid=01CRU&amp;lang=en_US&amp;offset=0&amp;query=any,contains,991001735889702656","Catalog Record")</f>
        <v/>
      </c>
      <c r="AV8">
        <f>HYPERLINK("http://www.worldcat.org/oclc/61353823","WorldCat Record")</f>
        <v/>
      </c>
      <c r="AW8" t="inlineStr">
        <is>
          <t>194796659:eng</t>
        </is>
      </c>
      <c r="AX8" t="inlineStr">
        <is>
          <t>61353823</t>
        </is>
      </c>
      <c r="AY8" t="inlineStr">
        <is>
          <t>991001735889702656</t>
        </is>
      </c>
      <c r="AZ8" t="inlineStr">
        <is>
          <t>991001735889702656</t>
        </is>
      </c>
      <c r="BA8" t="inlineStr">
        <is>
          <t>2258753180002656</t>
        </is>
      </c>
      <c r="BB8" t="inlineStr">
        <is>
          <t>BOOK</t>
        </is>
      </c>
      <c r="BD8" t="inlineStr">
        <is>
          <t>9780323036641</t>
        </is>
      </c>
      <c r="BE8" t="inlineStr">
        <is>
          <t>30001004914091</t>
        </is>
      </c>
      <c r="BF8" t="inlineStr">
        <is>
          <t>893558145</t>
        </is>
      </c>
    </row>
    <row r="9">
      <c r="A9" t="inlineStr">
        <is>
          <t>No</t>
        </is>
      </c>
      <c r="B9" t="inlineStr">
        <is>
          <t>CUHSL</t>
        </is>
      </c>
      <c r="C9" t="inlineStr">
        <is>
          <t>SHELVES</t>
        </is>
      </c>
      <c r="D9" t="inlineStr">
        <is>
          <t>RT63 .E97</t>
        </is>
      </c>
      <c r="E9" t="inlineStr">
        <is>
          <t>0                      RT 0063000E  97</t>
        </is>
      </c>
      <c r="F9" t="inlineStr">
        <is>
          <t>Expanding horizons for nurses / Bonnie Bullough, Vern Bullough, editors.</t>
        </is>
      </c>
      <c r="H9" t="inlineStr">
        <is>
          <t>No</t>
        </is>
      </c>
      <c r="I9" t="inlineStr">
        <is>
          <t>1</t>
        </is>
      </c>
      <c r="J9" t="inlineStr">
        <is>
          <t>No</t>
        </is>
      </c>
      <c r="K9" t="inlineStr">
        <is>
          <t>No</t>
        </is>
      </c>
      <c r="L9" t="inlineStr">
        <is>
          <t>0</t>
        </is>
      </c>
      <c r="N9" t="inlineStr">
        <is>
          <t>-- New York : Springer, 1977.</t>
        </is>
      </c>
      <c r="O9" t="inlineStr">
        <is>
          <t>1977</t>
        </is>
      </c>
      <c r="Q9" t="inlineStr">
        <is>
          <t>eng</t>
        </is>
      </c>
      <c r="R9" t="inlineStr">
        <is>
          <t>nyu</t>
        </is>
      </c>
      <c r="S9" t="inlineStr">
        <is>
          <t>Issues in nursing</t>
        </is>
      </c>
      <c r="T9" t="inlineStr">
        <is>
          <t xml:space="preserve">RT </t>
        </is>
      </c>
      <c r="U9" t="n">
        <v>4</v>
      </c>
      <c r="V9" t="n">
        <v>4</v>
      </c>
      <c r="W9" t="inlineStr">
        <is>
          <t>2004-03-23</t>
        </is>
      </c>
      <c r="X9" t="inlineStr">
        <is>
          <t>2004-03-23</t>
        </is>
      </c>
      <c r="Y9" t="inlineStr">
        <is>
          <t>1987-10-21</t>
        </is>
      </c>
      <c r="Z9" t="inlineStr">
        <is>
          <t>1987-10-21</t>
        </is>
      </c>
      <c r="AA9" t="n">
        <v>209</v>
      </c>
      <c r="AB9" t="n">
        <v>189</v>
      </c>
      <c r="AC9" t="n">
        <v>192</v>
      </c>
      <c r="AD9" t="n">
        <v>2</v>
      </c>
      <c r="AE9" t="n">
        <v>2</v>
      </c>
      <c r="AF9" t="n">
        <v>7</v>
      </c>
      <c r="AG9" t="n">
        <v>7</v>
      </c>
      <c r="AH9" t="n">
        <v>2</v>
      </c>
      <c r="AI9" t="n">
        <v>2</v>
      </c>
      <c r="AJ9" t="n">
        <v>2</v>
      </c>
      <c r="AK9" t="n">
        <v>2</v>
      </c>
      <c r="AL9" t="n">
        <v>4</v>
      </c>
      <c r="AM9" t="n">
        <v>4</v>
      </c>
      <c r="AN9" t="n">
        <v>1</v>
      </c>
      <c r="AO9" t="n">
        <v>1</v>
      </c>
      <c r="AP9" t="n">
        <v>0</v>
      </c>
      <c r="AQ9" t="n">
        <v>0</v>
      </c>
      <c r="AR9" t="inlineStr">
        <is>
          <t>No</t>
        </is>
      </c>
      <c r="AS9" t="inlineStr">
        <is>
          <t>Yes</t>
        </is>
      </c>
      <c r="AT9">
        <f>HYPERLINK("http://catalog.hathitrust.org/Record/000084224","HathiTrust Record")</f>
        <v/>
      </c>
      <c r="AU9">
        <f>HYPERLINK("https://creighton-primo.hosted.exlibrisgroup.com/primo-explore/search?tab=default_tab&amp;search_scope=EVERYTHING&amp;vid=01CRU&amp;lang=en_US&amp;offset=0&amp;query=any,contains,991000741759702656","Catalog Record")</f>
        <v/>
      </c>
      <c r="AV9">
        <f>HYPERLINK("http://www.worldcat.org/oclc/2523435","WorldCat Record")</f>
        <v/>
      </c>
      <c r="AW9" t="inlineStr">
        <is>
          <t>423851655:eng</t>
        </is>
      </c>
      <c r="AX9" t="inlineStr">
        <is>
          <t>2523435</t>
        </is>
      </c>
      <c r="AY9" t="inlineStr">
        <is>
          <t>991000741759702656</t>
        </is>
      </c>
      <c r="AZ9" t="inlineStr">
        <is>
          <t>991000741759702656</t>
        </is>
      </c>
      <c r="BA9" t="inlineStr">
        <is>
          <t>2270000900002656</t>
        </is>
      </c>
      <c r="BB9" t="inlineStr">
        <is>
          <t>BOOK</t>
        </is>
      </c>
      <c r="BD9" t="inlineStr">
        <is>
          <t>9780826120618</t>
        </is>
      </c>
      <c r="BE9" t="inlineStr">
        <is>
          <t>30001000043549</t>
        </is>
      </c>
      <c r="BF9" t="inlineStr">
        <is>
          <t>893731043</t>
        </is>
      </c>
    </row>
    <row r="10">
      <c r="A10" t="inlineStr">
        <is>
          <t>No</t>
        </is>
      </c>
      <c r="B10" t="inlineStr">
        <is>
          <t>CUHSL</t>
        </is>
      </c>
      <c r="C10" t="inlineStr">
        <is>
          <t>SHELVES</t>
        </is>
      </c>
      <c r="D10" t="inlineStr">
        <is>
          <t>RT63 .F477 1991</t>
        </is>
      </c>
      <c r="E10" t="inlineStr">
        <is>
          <t>0                      RT 0063000F  477         1991</t>
        </is>
      </c>
      <c r="F10" t="inlineStr">
        <is>
          <t>First words : selected addresses from the National League for Nursing 1894-1933 / Nettie Birnbach and Sandra Lewenson, [editors].</t>
        </is>
      </c>
      <c r="H10" t="inlineStr">
        <is>
          <t>No</t>
        </is>
      </c>
      <c r="I10" t="inlineStr">
        <is>
          <t>1</t>
        </is>
      </c>
      <c r="J10" t="inlineStr">
        <is>
          <t>Yes</t>
        </is>
      </c>
      <c r="K10" t="inlineStr">
        <is>
          <t>No</t>
        </is>
      </c>
      <c r="L10" t="inlineStr">
        <is>
          <t>0</t>
        </is>
      </c>
      <c r="N10" t="inlineStr">
        <is>
          <t>New York : National League for Nursing Press, 1991.</t>
        </is>
      </c>
      <c r="O10" t="inlineStr">
        <is>
          <t>1991</t>
        </is>
      </c>
      <c r="Q10" t="inlineStr">
        <is>
          <t>eng</t>
        </is>
      </c>
      <c r="R10" t="inlineStr">
        <is>
          <t>nyu</t>
        </is>
      </c>
      <c r="T10" t="inlineStr">
        <is>
          <t xml:space="preserve">RT </t>
        </is>
      </c>
      <c r="U10" t="n">
        <v>0</v>
      </c>
      <c r="V10" t="n">
        <v>1</v>
      </c>
      <c r="X10" t="inlineStr">
        <is>
          <t>1994-03-03</t>
        </is>
      </c>
      <c r="Y10" t="inlineStr">
        <is>
          <t>2008-02-05</t>
        </is>
      </c>
      <c r="Z10" t="inlineStr">
        <is>
          <t>2008-02-05</t>
        </is>
      </c>
      <c r="AA10" t="n">
        <v>359</v>
      </c>
      <c r="AB10" t="n">
        <v>327</v>
      </c>
      <c r="AC10" t="n">
        <v>329</v>
      </c>
      <c r="AD10" t="n">
        <v>4</v>
      </c>
      <c r="AE10" t="n">
        <v>4</v>
      </c>
      <c r="AF10" t="n">
        <v>19</v>
      </c>
      <c r="AG10" t="n">
        <v>19</v>
      </c>
      <c r="AH10" t="n">
        <v>8</v>
      </c>
      <c r="AI10" t="n">
        <v>8</v>
      </c>
      <c r="AJ10" t="n">
        <v>5</v>
      </c>
      <c r="AK10" t="n">
        <v>5</v>
      </c>
      <c r="AL10" t="n">
        <v>9</v>
      </c>
      <c r="AM10" t="n">
        <v>9</v>
      </c>
      <c r="AN10" t="n">
        <v>2</v>
      </c>
      <c r="AO10" t="n">
        <v>2</v>
      </c>
      <c r="AP10" t="n">
        <v>0</v>
      </c>
      <c r="AQ10" t="n">
        <v>0</v>
      </c>
      <c r="AR10" t="inlineStr">
        <is>
          <t>No</t>
        </is>
      </c>
      <c r="AS10" t="inlineStr">
        <is>
          <t>Yes</t>
        </is>
      </c>
      <c r="AT10">
        <f>HYPERLINK("http://catalog.hathitrust.org/Record/002698280","HathiTrust Record")</f>
        <v/>
      </c>
      <c r="AU10">
        <f>HYPERLINK("https://creighton-primo.hosted.exlibrisgroup.com/primo-explore/search?tab=default_tab&amp;search_scope=EVERYTHING&amp;vid=01CRU&amp;lang=en_US&amp;offset=0&amp;query=any,contains,991001688099702656","Catalog Record")</f>
        <v/>
      </c>
      <c r="AV10">
        <f>HYPERLINK("http://www.worldcat.org/oclc/24881276","WorldCat Record")</f>
        <v/>
      </c>
      <c r="AW10" t="inlineStr">
        <is>
          <t>27284762:eng</t>
        </is>
      </c>
      <c r="AX10" t="inlineStr">
        <is>
          <t>24881276</t>
        </is>
      </c>
      <c r="AY10" t="inlineStr">
        <is>
          <t>991001688099702656</t>
        </is>
      </c>
      <c r="AZ10" t="inlineStr">
        <is>
          <t>991001688099702656</t>
        </is>
      </c>
      <c r="BA10" t="inlineStr">
        <is>
          <t>2260319890002656</t>
        </is>
      </c>
      <c r="BB10" t="inlineStr">
        <is>
          <t>BOOK</t>
        </is>
      </c>
      <c r="BD10" t="inlineStr">
        <is>
          <t>9780887375262</t>
        </is>
      </c>
      <c r="BE10" t="inlineStr">
        <is>
          <t>30001002317578</t>
        </is>
      </c>
      <c r="BF10" t="inlineStr">
        <is>
          <t>893732176</t>
        </is>
      </c>
    </row>
    <row r="11">
      <c r="A11" t="inlineStr">
        <is>
          <t>No</t>
        </is>
      </c>
      <c r="B11" t="inlineStr">
        <is>
          <t>CUHSL</t>
        </is>
      </c>
      <c r="C11" t="inlineStr">
        <is>
          <t>SHELVES</t>
        </is>
      </c>
      <c r="D11" t="inlineStr">
        <is>
          <t>RT69 .F48</t>
        </is>
      </c>
      <c r="E11" t="inlineStr">
        <is>
          <t>0                      RT 0069000F  48</t>
        </is>
      </c>
      <c r="F11" t="inlineStr">
        <is>
          <t>A summary of integrated nursing theory / by Sandra B. Fielo.</t>
        </is>
      </c>
      <c r="H11" t="inlineStr">
        <is>
          <t>No</t>
        </is>
      </c>
      <c r="I11" t="inlineStr">
        <is>
          <t>1</t>
        </is>
      </c>
      <c r="J11" t="inlineStr">
        <is>
          <t>Yes</t>
        </is>
      </c>
      <c r="K11" t="inlineStr">
        <is>
          <t>No</t>
        </is>
      </c>
      <c r="L11" t="inlineStr">
        <is>
          <t>0</t>
        </is>
      </c>
      <c r="M11" t="inlineStr">
        <is>
          <t>Fielo, Sandra B.</t>
        </is>
      </c>
      <c r="N11" t="inlineStr">
        <is>
          <t>New York : McGraw-Hill, c1975.</t>
        </is>
      </c>
      <c r="O11" t="inlineStr">
        <is>
          <t>1975</t>
        </is>
      </c>
      <c r="Q11" t="inlineStr">
        <is>
          <t>eng</t>
        </is>
      </c>
      <c r="R11" t="inlineStr">
        <is>
          <t>nyu</t>
        </is>
      </c>
      <c r="T11" t="inlineStr">
        <is>
          <t xml:space="preserve">RT </t>
        </is>
      </c>
      <c r="U11" t="n">
        <v>1</v>
      </c>
      <c r="V11" t="n">
        <v>5</v>
      </c>
      <c r="W11" t="inlineStr">
        <is>
          <t>1993-10-04</t>
        </is>
      </c>
      <c r="X11" t="inlineStr">
        <is>
          <t>1996-07-25</t>
        </is>
      </c>
      <c r="Y11" t="inlineStr">
        <is>
          <t>1988-01-05</t>
        </is>
      </c>
      <c r="Z11" t="inlineStr">
        <is>
          <t>1993-03-15</t>
        </is>
      </c>
      <c r="AA11" t="n">
        <v>184</v>
      </c>
      <c r="AB11" t="n">
        <v>154</v>
      </c>
      <c r="AC11" t="n">
        <v>156</v>
      </c>
      <c r="AD11" t="n">
        <v>4</v>
      </c>
      <c r="AE11" t="n">
        <v>4</v>
      </c>
      <c r="AF11" t="n">
        <v>9</v>
      </c>
      <c r="AG11" t="n">
        <v>9</v>
      </c>
      <c r="AH11" t="n">
        <v>0</v>
      </c>
      <c r="AI11" t="n">
        <v>0</v>
      </c>
      <c r="AJ11" t="n">
        <v>2</v>
      </c>
      <c r="AK11" t="n">
        <v>2</v>
      </c>
      <c r="AL11" t="n">
        <v>6</v>
      </c>
      <c r="AM11" t="n">
        <v>6</v>
      </c>
      <c r="AN11" t="n">
        <v>2</v>
      </c>
      <c r="AO11" t="n">
        <v>2</v>
      </c>
      <c r="AP11" t="n">
        <v>0</v>
      </c>
      <c r="AQ11" t="n">
        <v>0</v>
      </c>
      <c r="AR11" t="inlineStr">
        <is>
          <t>No</t>
        </is>
      </c>
      <c r="AS11" t="inlineStr">
        <is>
          <t>Yes</t>
        </is>
      </c>
      <c r="AT11">
        <f>HYPERLINK("http://catalog.hathitrust.org/Record/001574485","HathiTrust Record")</f>
        <v/>
      </c>
      <c r="AU11">
        <f>HYPERLINK("https://creighton-primo.hosted.exlibrisgroup.com/primo-explore/search?tab=default_tab&amp;search_scope=EVERYTHING&amp;vid=01CRU&amp;lang=en_US&amp;offset=0&amp;query=any,contains,991001787719702656","Catalog Record")</f>
        <v/>
      </c>
      <c r="AV11">
        <f>HYPERLINK("http://www.worldcat.org/oclc/947955","WorldCat Record")</f>
        <v/>
      </c>
      <c r="AW11" t="inlineStr">
        <is>
          <t>1910238:eng</t>
        </is>
      </c>
      <c r="AX11" t="inlineStr">
        <is>
          <t>947955</t>
        </is>
      </c>
      <c r="AY11" t="inlineStr">
        <is>
          <t>991001787719702656</t>
        </is>
      </c>
      <c r="AZ11" t="inlineStr">
        <is>
          <t>991001787719702656</t>
        </is>
      </c>
      <c r="BA11" t="inlineStr">
        <is>
          <t>2264774730002656</t>
        </is>
      </c>
      <c r="BB11" t="inlineStr">
        <is>
          <t>BOOK</t>
        </is>
      </c>
      <c r="BD11" t="inlineStr">
        <is>
          <t>9780070207158</t>
        </is>
      </c>
      <c r="BE11" t="inlineStr">
        <is>
          <t>30001000291627</t>
        </is>
      </c>
      <c r="BF11" t="inlineStr">
        <is>
          <t>893832600</t>
        </is>
      </c>
    </row>
    <row r="12">
      <c r="A12" t="inlineStr">
        <is>
          <t>No</t>
        </is>
      </c>
      <c r="B12" t="inlineStr">
        <is>
          <t>CUHSL</t>
        </is>
      </c>
      <c r="C12" t="inlineStr">
        <is>
          <t>SHELVES</t>
        </is>
      </c>
      <c r="D12" t="inlineStr">
        <is>
          <t>RT73 .G68</t>
        </is>
      </c>
      <c r="E12" t="inlineStr">
        <is>
          <t>0                      RT 0073000G  68</t>
        </is>
      </c>
      <c r="F12" t="inlineStr">
        <is>
          <t>Curriculum evaluation : theory and practice, with a case study from nursing education / Joan L. Green and James C. Stone ; foreword by Ralph W. Tyler.</t>
        </is>
      </c>
      <c r="H12" t="inlineStr">
        <is>
          <t>No</t>
        </is>
      </c>
      <c r="I12" t="inlineStr">
        <is>
          <t>1</t>
        </is>
      </c>
      <c r="J12" t="inlineStr">
        <is>
          <t>Yes</t>
        </is>
      </c>
      <c r="K12" t="inlineStr">
        <is>
          <t>No</t>
        </is>
      </c>
      <c r="L12" t="inlineStr">
        <is>
          <t>0</t>
        </is>
      </c>
      <c r="M12" t="inlineStr">
        <is>
          <t>Green, Joan L.</t>
        </is>
      </c>
      <c r="N12" t="inlineStr">
        <is>
          <t>New York : Springer Pub. Co., c1977.</t>
        </is>
      </c>
      <c r="O12" t="inlineStr">
        <is>
          <t>1977</t>
        </is>
      </c>
      <c r="Q12" t="inlineStr">
        <is>
          <t>eng</t>
        </is>
      </c>
      <c r="R12" t="inlineStr">
        <is>
          <t>nyu</t>
        </is>
      </c>
      <c r="S12" t="inlineStr">
        <is>
          <t>Springer series on the teaching of nursing ; v. 1</t>
        </is>
      </c>
      <c r="T12" t="inlineStr">
        <is>
          <t xml:space="preserve">RT </t>
        </is>
      </c>
      <c r="U12" t="n">
        <v>3</v>
      </c>
      <c r="V12" t="n">
        <v>3</v>
      </c>
      <c r="W12" t="inlineStr">
        <is>
          <t>1992-01-14</t>
        </is>
      </c>
      <c r="X12" t="inlineStr">
        <is>
          <t>1992-01-14</t>
        </is>
      </c>
      <c r="Y12" t="inlineStr">
        <is>
          <t>1987-12-28</t>
        </is>
      </c>
      <c r="Z12" t="inlineStr">
        <is>
          <t>1993-02-04</t>
        </is>
      </c>
      <c r="AA12" t="n">
        <v>251</v>
      </c>
      <c r="AB12" t="n">
        <v>207</v>
      </c>
      <c r="AC12" t="n">
        <v>215</v>
      </c>
      <c r="AD12" t="n">
        <v>3</v>
      </c>
      <c r="AE12" t="n">
        <v>3</v>
      </c>
      <c r="AF12" t="n">
        <v>7</v>
      </c>
      <c r="AG12" t="n">
        <v>7</v>
      </c>
      <c r="AH12" t="n">
        <v>3</v>
      </c>
      <c r="AI12" t="n">
        <v>3</v>
      </c>
      <c r="AJ12" t="n">
        <v>1</v>
      </c>
      <c r="AK12" t="n">
        <v>1</v>
      </c>
      <c r="AL12" t="n">
        <v>3</v>
      </c>
      <c r="AM12" t="n">
        <v>3</v>
      </c>
      <c r="AN12" t="n">
        <v>1</v>
      </c>
      <c r="AO12" t="n">
        <v>1</v>
      </c>
      <c r="AP12" t="n">
        <v>0</v>
      </c>
      <c r="AQ12" t="n">
        <v>0</v>
      </c>
      <c r="AR12" t="inlineStr">
        <is>
          <t>No</t>
        </is>
      </c>
      <c r="AS12" t="inlineStr">
        <is>
          <t>Yes</t>
        </is>
      </c>
      <c r="AT12">
        <f>HYPERLINK("http://catalog.hathitrust.org/Record/000251218","HathiTrust Record")</f>
        <v/>
      </c>
      <c r="AU12">
        <f>HYPERLINK("https://creighton-primo.hosted.exlibrisgroup.com/primo-explore/search?tab=default_tab&amp;search_scope=EVERYTHING&amp;vid=01CRU&amp;lang=en_US&amp;offset=0&amp;query=any,contains,991001780999702656","Catalog Record")</f>
        <v/>
      </c>
      <c r="AV12">
        <f>HYPERLINK("http://www.worldcat.org/oclc/3002501","WorldCat Record")</f>
        <v/>
      </c>
      <c r="AW12" t="inlineStr">
        <is>
          <t>248341861:eng</t>
        </is>
      </c>
      <c r="AX12" t="inlineStr">
        <is>
          <t>3002501</t>
        </is>
      </c>
      <c r="AY12" t="inlineStr">
        <is>
          <t>991001780999702656</t>
        </is>
      </c>
      <c r="AZ12" t="inlineStr">
        <is>
          <t>991001780999702656</t>
        </is>
      </c>
      <c r="BA12" t="inlineStr">
        <is>
          <t>2272202270002656</t>
        </is>
      </c>
      <c r="BB12" t="inlineStr">
        <is>
          <t>BOOK</t>
        </is>
      </c>
      <c r="BD12" t="inlineStr">
        <is>
          <t>9780826121103</t>
        </is>
      </c>
      <c r="BE12" t="inlineStr">
        <is>
          <t>30001000241705</t>
        </is>
      </c>
      <c r="BF12" t="inlineStr">
        <is>
          <t>893547327</t>
        </is>
      </c>
    </row>
    <row r="13">
      <c r="A13" t="inlineStr">
        <is>
          <t>No</t>
        </is>
      </c>
      <c r="B13" t="inlineStr">
        <is>
          <t>CUHSL</t>
        </is>
      </c>
      <c r="C13" t="inlineStr">
        <is>
          <t>SHELVES</t>
        </is>
      </c>
      <c r="D13" t="inlineStr">
        <is>
          <t>RT73 .W5</t>
        </is>
      </c>
      <c r="E13" t="inlineStr">
        <is>
          <t>0                      RT 0073000W  5</t>
        </is>
      </c>
      <c r="F13" t="inlineStr">
        <is>
          <t>Meeting the realities in clinical teaching.</t>
        </is>
      </c>
      <c r="H13" t="inlineStr">
        <is>
          <t>No</t>
        </is>
      </c>
      <c r="I13" t="inlineStr">
        <is>
          <t>1</t>
        </is>
      </c>
      <c r="J13" t="inlineStr">
        <is>
          <t>No</t>
        </is>
      </c>
      <c r="K13" t="inlineStr">
        <is>
          <t>No</t>
        </is>
      </c>
      <c r="L13" t="inlineStr">
        <is>
          <t>0</t>
        </is>
      </c>
      <c r="M13" t="inlineStr">
        <is>
          <t>Wiedenbach, Ernestine.</t>
        </is>
      </c>
      <c r="N13" t="inlineStr">
        <is>
          <t>New York : Springer Pub. Co., [1969]</t>
        </is>
      </c>
      <c r="O13" t="inlineStr">
        <is>
          <t>1969</t>
        </is>
      </c>
      <c r="Q13" t="inlineStr">
        <is>
          <t>eng</t>
        </is>
      </c>
      <c r="R13" t="inlineStr">
        <is>
          <t>nyu</t>
        </is>
      </c>
      <c r="T13" t="inlineStr">
        <is>
          <t xml:space="preserve">RT </t>
        </is>
      </c>
      <c r="U13" t="n">
        <v>2</v>
      </c>
      <c r="V13" t="n">
        <v>2</v>
      </c>
      <c r="W13" t="inlineStr">
        <is>
          <t>2006-03-28</t>
        </is>
      </c>
      <c r="X13" t="inlineStr">
        <is>
          <t>2006-03-28</t>
        </is>
      </c>
      <c r="Y13" t="inlineStr">
        <is>
          <t>1988-01-18</t>
        </is>
      </c>
      <c r="Z13" t="inlineStr">
        <is>
          <t>1988-01-18</t>
        </is>
      </c>
      <c r="AA13" t="n">
        <v>173</v>
      </c>
      <c r="AB13" t="n">
        <v>132</v>
      </c>
      <c r="AC13" t="n">
        <v>134</v>
      </c>
      <c r="AD13" t="n">
        <v>2</v>
      </c>
      <c r="AE13" t="n">
        <v>2</v>
      </c>
      <c r="AF13" t="n">
        <v>2</v>
      </c>
      <c r="AG13" t="n">
        <v>2</v>
      </c>
      <c r="AH13" t="n">
        <v>0</v>
      </c>
      <c r="AI13" t="n">
        <v>0</v>
      </c>
      <c r="AJ13" t="n">
        <v>1</v>
      </c>
      <c r="AK13" t="n">
        <v>1</v>
      </c>
      <c r="AL13" t="n">
        <v>1</v>
      </c>
      <c r="AM13" t="n">
        <v>1</v>
      </c>
      <c r="AN13" t="n">
        <v>0</v>
      </c>
      <c r="AO13" t="n">
        <v>0</v>
      </c>
      <c r="AP13" t="n">
        <v>0</v>
      </c>
      <c r="AQ13" t="n">
        <v>0</v>
      </c>
      <c r="AR13" t="inlineStr">
        <is>
          <t>No</t>
        </is>
      </c>
      <c r="AS13" t="inlineStr">
        <is>
          <t>Yes</t>
        </is>
      </c>
      <c r="AT13">
        <f>HYPERLINK("http://catalog.hathitrust.org/Record/001574626","HathiTrust Record")</f>
        <v/>
      </c>
      <c r="AU13">
        <f>HYPERLINK("https://creighton-primo.hosted.exlibrisgroup.com/primo-explore/search?tab=default_tab&amp;search_scope=EVERYTHING&amp;vid=01CRU&amp;lang=en_US&amp;offset=0&amp;query=any,contains,991001045869702656","Catalog Record")</f>
        <v/>
      </c>
      <c r="AV13">
        <f>HYPERLINK("http://www.worldcat.org/oclc/17400","WorldCat Record")</f>
        <v/>
      </c>
      <c r="AW13" t="inlineStr">
        <is>
          <t>1139946:eng</t>
        </is>
      </c>
      <c r="AX13" t="inlineStr">
        <is>
          <t>17400</t>
        </is>
      </c>
      <c r="AY13" t="inlineStr">
        <is>
          <t>991001045869702656</t>
        </is>
      </c>
      <c r="AZ13" t="inlineStr">
        <is>
          <t>991001045869702656</t>
        </is>
      </c>
      <c r="BA13" t="inlineStr">
        <is>
          <t>2270893650002656</t>
        </is>
      </c>
      <c r="BB13" t="inlineStr">
        <is>
          <t>BOOK</t>
        </is>
      </c>
      <c r="BE13" t="inlineStr">
        <is>
          <t>30001000244378</t>
        </is>
      </c>
      <c r="BF13" t="inlineStr">
        <is>
          <t>893831877</t>
        </is>
      </c>
    </row>
    <row r="14">
      <c r="A14" t="inlineStr">
        <is>
          <t>No</t>
        </is>
      </c>
      <c r="B14" t="inlineStr">
        <is>
          <t>CUHSL</t>
        </is>
      </c>
      <c r="C14" t="inlineStr">
        <is>
          <t>SHELVES</t>
        </is>
      </c>
      <c r="D14" t="inlineStr">
        <is>
          <t>RT79 .A83</t>
        </is>
      </c>
      <c r="E14" t="inlineStr">
        <is>
          <t>0                      RT 0079000A  83</t>
        </is>
      </c>
      <c r="F14" t="inlineStr">
        <is>
          <t>Hospitals, paternalism, and the role of the nurse / Jo Ann Ashley.</t>
        </is>
      </c>
      <c r="H14" t="inlineStr">
        <is>
          <t>No</t>
        </is>
      </c>
      <c r="I14" t="inlineStr">
        <is>
          <t>1</t>
        </is>
      </c>
      <c r="J14" t="inlineStr">
        <is>
          <t>No</t>
        </is>
      </c>
      <c r="K14" t="inlineStr">
        <is>
          <t>No</t>
        </is>
      </c>
      <c r="L14" t="inlineStr">
        <is>
          <t>0</t>
        </is>
      </c>
      <c r="M14" t="inlineStr">
        <is>
          <t>Ashley, Jo Ann.</t>
        </is>
      </c>
      <c r="N14" t="inlineStr">
        <is>
          <t>-- New York : Teachers College Press, 1976.</t>
        </is>
      </c>
      <c r="O14" t="inlineStr">
        <is>
          <t>1976</t>
        </is>
      </c>
      <c r="Q14" t="inlineStr">
        <is>
          <t>eng</t>
        </is>
      </c>
      <c r="R14" t="inlineStr">
        <is>
          <t>nyu</t>
        </is>
      </c>
      <c r="S14" t="inlineStr">
        <is>
          <t>Nursing education monographs</t>
        </is>
      </c>
      <c r="T14" t="inlineStr">
        <is>
          <t xml:space="preserve">RT </t>
        </is>
      </c>
      <c r="U14" t="n">
        <v>4</v>
      </c>
      <c r="V14" t="n">
        <v>4</v>
      </c>
      <c r="W14" t="inlineStr">
        <is>
          <t>2007-02-08</t>
        </is>
      </c>
      <c r="X14" t="inlineStr">
        <is>
          <t>2007-02-08</t>
        </is>
      </c>
      <c r="Y14" t="inlineStr">
        <is>
          <t>1987-12-30</t>
        </is>
      </c>
      <c r="Z14" t="inlineStr">
        <is>
          <t>1987-12-30</t>
        </is>
      </c>
      <c r="AA14" t="n">
        <v>528</v>
      </c>
      <c r="AB14" t="n">
        <v>466</v>
      </c>
      <c r="AC14" t="n">
        <v>467</v>
      </c>
      <c r="AD14" t="n">
        <v>6</v>
      </c>
      <c r="AE14" t="n">
        <v>6</v>
      </c>
      <c r="AF14" t="n">
        <v>23</v>
      </c>
      <c r="AG14" t="n">
        <v>23</v>
      </c>
      <c r="AH14" t="n">
        <v>10</v>
      </c>
      <c r="AI14" t="n">
        <v>10</v>
      </c>
      <c r="AJ14" t="n">
        <v>2</v>
      </c>
      <c r="AK14" t="n">
        <v>2</v>
      </c>
      <c r="AL14" t="n">
        <v>12</v>
      </c>
      <c r="AM14" t="n">
        <v>12</v>
      </c>
      <c r="AN14" t="n">
        <v>4</v>
      </c>
      <c r="AO14" t="n">
        <v>4</v>
      </c>
      <c r="AP14" t="n">
        <v>0</v>
      </c>
      <c r="AQ14" t="n">
        <v>0</v>
      </c>
      <c r="AR14" t="inlineStr">
        <is>
          <t>No</t>
        </is>
      </c>
      <c r="AS14" t="inlineStr">
        <is>
          <t>No</t>
        </is>
      </c>
      <c r="AU14">
        <f>HYPERLINK("https://creighton-primo.hosted.exlibrisgroup.com/primo-explore/search?tab=default_tab&amp;search_scope=EVERYTHING&amp;vid=01CRU&amp;lang=en_US&amp;offset=0&amp;query=any,contains,991001084189702656","Catalog Record")</f>
        <v/>
      </c>
      <c r="AV14">
        <f>HYPERLINK("http://www.worldcat.org/oclc/2119421","WorldCat Record")</f>
        <v/>
      </c>
      <c r="AW14" t="inlineStr">
        <is>
          <t>464933:eng</t>
        </is>
      </c>
      <c r="AX14" t="inlineStr">
        <is>
          <t>2119421</t>
        </is>
      </c>
      <c r="AY14" t="inlineStr">
        <is>
          <t>991001084189702656</t>
        </is>
      </c>
      <c r="AZ14" t="inlineStr">
        <is>
          <t>991001084189702656</t>
        </is>
      </c>
      <c r="BA14" t="inlineStr">
        <is>
          <t>2268009090002656</t>
        </is>
      </c>
      <c r="BB14" t="inlineStr">
        <is>
          <t>BOOK</t>
        </is>
      </c>
      <c r="BD14" t="inlineStr">
        <is>
          <t>9780807724712</t>
        </is>
      </c>
      <c r="BE14" t="inlineStr">
        <is>
          <t>30001000258493</t>
        </is>
      </c>
      <c r="BF14" t="inlineStr">
        <is>
          <t>893121150</t>
        </is>
      </c>
    </row>
    <row r="15">
      <c r="A15" t="inlineStr">
        <is>
          <t>No</t>
        </is>
      </c>
      <c r="B15" t="inlineStr">
        <is>
          <t>CUHSL</t>
        </is>
      </c>
      <c r="C15" t="inlineStr">
        <is>
          <t>SHELVES</t>
        </is>
      </c>
      <c r="D15" t="inlineStr">
        <is>
          <t>RT81.5 .S82 1992</t>
        </is>
      </c>
      <c r="E15" t="inlineStr">
        <is>
          <t>0                      RT 0081500S  82          1992</t>
        </is>
      </c>
      <c r="F15" t="inlineStr">
        <is>
          <t>Library research guide to nursing : [illustrated search strategy and sources] / by Katina Strauch, Rebecca Linton, Claudia Cohen.</t>
        </is>
      </c>
      <c r="H15" t="inlineStr">
        <is>
          <t>No</t>
        </is>
      </c>
      <c r="I15" t="inlineStr">
        <is>
          <t>1</t>
        </is>
      </c>
      <c r="J15" t="inlineStr">
        <is>
          <t>Yes</t>
        </is>
      </c>
      <c r="K15" t="inlineStr">
        <is>
          <t>No</t>
        </is>
      </c>
      <c r="L15" t="inlineStr">
        <is>
          <t>0</t>
        </is>
      </c>
      <c r="M15" t="inlineStr">
        <is>
          <t>Strauch, Katina P., 1946-</t>
        </is>
      </c>
      <c r="N15" t="inlineStr">
        <is>
          <t>Ann Arbor, Mich. : Pierian Press, 1992.</t>
        </is>
      </c>
      <c r="O15" t="inlineStr">
        <is>
          <t>1992</t>
        </is>
      </c>
      <c r="P15" t="inlineStr">
        <is>
          <t>2nd ed.</t>
        </is>
      </c>
      <c r="Q15" t="inlineStr">
        <is>
          <t>eng</t>
        </is>
      </c>
      <c r="R15" t="inlineStr">
        <is>
          <t>miu</t>
        </is>
      </c>
      <c r="S15" t="inlineStr">
        <is>
          <t>Library research guides series</t>
        </is>
      </c>
      <c r="T15" t="inlineStr">
        <is>
          <t xml:space="preserve">RT </t>
        </is>
      </c>
      <c r="U15" t="n">
        <v>11</v>
      </c>
      <c r="V15" t="n">
        <v>12</v>
      </c>
      <c r="W15" t="inlineStr">
        <is>
          <t>1994-08-31</t>
        </is>
      </c>
      <c r="X15" t="inlineStr">
        <is>
          <t>1994-08-31</t>
        </is>
      </c>
      <c r="Y15" t="inlineStr">
        <is>
          <t>1993-06-15</t>
        </is>
      </c>
      <c r="Z15" t="inlineStr">
        <is>
          <t>1993-07-30</t>
        </is>
      </c>
      <c r="AA15" t="n">
        <v>133</v>
      </c>
      <c r="AB15" t="n">
        <v>109</v>
      </c>
      <c r="AC15" t="n">
        <v>214</v>
      </c>
      <c r="AD15" t="n">
        <v>2</v>
      </c>
      <c r="AE15" t="n">
        <v>3</v>
      </c>
      <c r="AF15" t="n">
        <v>5</v>
      </c>
      <c r="AG15" t="n">
        <v>9</v>
      </c>
      <c r="AH15" t="n">
        <v>1</v>
      </c>
      <c r="AI15" t="n">
        <v>1</v>
      </c>
      <c r="AJ15" t="n">
        <v>1</v>
      </c>
      <c r="AK15" t="n">
        <v>2</v>
      </c>
      <c r="AL15" t="n">
        <v>4</v>
      </c>
      <c r="AM15" t="n">
        <v>6</v>
      </c>
      <c r="AN15" t="n">
        <v>0</v>
      </c>
      <c r="AO15" t="n">
        <v>1</v>
      </c>
      <c r="AP15" t="n">
        <v>0</v>
      </c>
      <c r="AQ15" t="n">
        <v>0</v>
      </c>
      <c r="AR15" t="inlineStr">
        <is>
          <t>No</t>
        </is>
      </c>
      <c r="AS15" t="inlineStr">
        <is>
          <t>Yes</t>
        </is>
      </c>
      <c r="AT15">
        <f>HYPERLINK("http://catalog.hathitrust.org/Record/002860159","HathiTrust Record")</f>
        <v/>
      </c>
      <c r="AU15">
        <f>HYPERLINK("https://creighton-primo.hosted.exlibrisgroup.com/primo-explore/search?tab=default_tab&amp;search_scope=EVERYTHING&amp;vid=01CRU&amp;lang=en_US&amp;offset=0&amp;query=any,contains,991001802669702656","Catalog Record")</f>
        <v/>
      </c>
      <c r="AV15">
        <f>HYPERLINK("http://www.worldcat.org/oclc/27214579","WorldCat Record")</f>
        <v/>
      </c>
      <c r="AW15" t="inlineStr">
        <is>
          <t>2287244287:eng</t>
        </is>
      </c>
      <c r="AX15" t="inlineStr">
        <is>
          <t>27214579</t>
        </is>
      </c>
      <c r="AY15" t="inlineStr">
        <is>
          <t>991001802669702656</t>
        </is>
      </c>
      <c r="AZ15" t="inlineStr">
        <is>
          <t>991001802669702656</t>
        </is>
      </c>
      <c r="BA15" t="inlineStr">
        <is>
          <t>2271556820002656</t>
        </is>
      </c>
      <c r="BB15" t="inlineStr">
        <is>
          <t>BOOK</t>
        </is>
      </c>
      <c r="BE15" t="inlineStr">
        <is>
          <t>30001002569780</t>
        </is>
      </c>
      <c r="BF15" t="inlineStr">
        <is>
          <t>893364950</t>
        </is>
      </c>
    </row>
    <row r="16">
      <c r="A16" t="inlineStr">
        <is>
          <t>No</t>
        </is>
      </c>
      <c r="B16" t="inlineStr">
        <is>
          <t>CUHSL</t>
        </is>
      </c>
      <c r="C16" t="inlineStr">
        <is>
          <t>SHELVES</t>
        </is>
      </c>
      <c r="D16" t="inlineStr">
        <is>
          <t>RT85 .M83</t>
        </is>
      </c>
      <c r="E16" t="inlineStr">
        <is>
          <t>0                      RT 0085000M  83</t>
        </is>
      </c>
      <c r="F16" t="inlineStr">
        <is>
          <t>Moral problems in nursing : a philosophical investigation / James L. Muyskens.</t>
        </is>
      </c>
      <c r="H16" t="inlineStr">
        <is>
          <t>No</t>
        </is>
      </c>
      <c r="I16" t="inlineStr">
        <is>
          <t>1</t>
        </is>
      </c>
      <c r="J16" t="inlineStr">
        <is>
          <t>Yes</t>
        </is>
      </c>
      <c r="K16" t="inlineStr">
        <is>
          <t>No</t>
        </is>
      </c>
      <c r="L16" t="inlineStr">
        <is>
          <t>0</t>
        </is>
      </c>
      <c r="M16" t="inlineStr">
        <is>
          <t>Muyskens, James L., 1942-</t>
        </is>
      </c>
      <c r="N16" t="inlineStr">
        <is>
          <t>Totowa, N.J. : Rowman and Littlefield, 1982.</t>
        </is>
      </c>
      <c r="O16" t="inlineStr">
        <is>
          <t>1982</t>
        </is>
      </c>
      <c r="Q16" t="inlineStr">
        <is>
          <t>eng</t>
        </is>
      </c>
      <c r="R16" t="inlineStr">
        <is>
          <t>nju</t>
        </is>
      </c>
      <c r="S16" t="inlineStr">
        <is>
          <t>Philosophy and society</t>
        </is>
      </c>
      <c r="T16" t="inlineStr">
        <is>
          <t xml:space="preserve">RT </t>
        </is>
      </c>
      <c r="U16" t="n">
        <v>3</v>
      </c>
      <c r="V16" t="n">
        <v>3</v>
      </c>
      <c r="W16" t="inlineStr">
        <is>
          <t>2000-02-27</t>
        </is>
      </c>
      <c r="X16" t="inlineStr">
        <is>
          <t>2000-02-27</t>
        </is>
      </c>
      <c r="Y16" t="inlineStr">
        <is>
          <t>1987-12-29</t>
        </is>
      </c>
      <c r="Z16" t="inlineStr">
        <is>
          <t>1993-03-15</t>
        </is>
      </c>
      <c r="AA16" t="n">
        <v>365</v>
      </c>
      <c r="AB16" t="n">
        <v>323</v>
      </c>
      <c r="AC16" t="n">
        <v>331</v>
      </c>
      <c r="AD16" t="n">
        <v>2</v>
      </c>
      <c r="AE16" t="n">
        <v>2</v>
      </c>
      <c r="AF16" t="n">
        <v>18</v>
      </c>
      <c r="AG16" t="n">
        <v>18</v>
      </c>
      <c r="AH16" t="n">
        <v>7</v>
      </c>
      <c r="AI16" t="n">
        <v>7</v>
      </c>
      <c r="AJ16" t="n">
        <v>4</v>
      </c>
      <c r="AK16" t="n">
        <v>4</v>
      </c>
      <c r="AL16" t="n">
        <v>12</v>
      </c>
      <c r="AM16" t="n">
        <v>12</v>
      </c>
      <c r="AN16" t="n">
        <v>0</v>
      </c>
      <c r="AO16" t="n">
        <v>0</v>
      </c>
      <c r="AP16" t="n">
        <v>0</v>
      </c>
      <c r="AQ16" t="n">
        <v>0</v>
      </c>
      <c r="AR16" t="inlineStr">
        <is>
          <t>No</t>
        </is>
      </c>
      <c r="AS16" t="inlineStr">
        <is>
          <t>Yes</t>
        </is>
      </c>
      <c r="AT16">
        <f>HYPERLINK("http://catalog.hathitrust.org/Record/000276537","HathiTrust Record")</f>
        <v/>
      </c>
      <c r="AU16">
        <f>HYPERLINK("https://creighton-primo.hosted.exlibrisgroup.com/primo-explore/search?tab=default_tab&amp;search_scope=EVERYTHING&amp;vid=01CRU&amp;lang=en_US&amp;offset=0&amp;query=any,contains,991001787339702656","Catalog Record")</f>
        <v/>
      </c>
      <c r="AV16">
        <f>HYPERLINK("http://www.worldcat.org/oclc/8168840","WorldCat Record")</f>
        <v/>
      </c>
      <c r="AW16" t="inlineStr">
        <is>
          <t>508149:eng</t>
        </is>
      </c>
      <c r="AX16" t="inlineStr">
        <is>
          <t>8168840</t>
        </is>
      </c>
      <c r="AY16" t="inlineStr">
        <is>
          <t>991001787339702656</t>
        </is>
      </c>
      <c r="AZ16" t="inlineStr">
        <is>
          <t>991001787339702656</t>
        </is>
      </c>
      <c r="BA16" t="inlineStr">
        <is>
          <t>2271832740002656</t>
        </is>
      </c>
      <c r="BB16" t="inlineStr">
        <is>
          <t>BOOK</t>
        </is>
      </c>
      <c r="BD16" t="inlineStr">
        <is>
          <t>9780847670680</t>
        </is>
      </c>
      <c r="BE16" t="inlineStr">
        <is>
          <t>30001000285538</t>
        </is>
      </c>
      <c r="BF16" t="inlineStr">
        <is>
          <t>893370057</t>
        </is>
      </c>
    </row>
    <row r="17">
      <c r="A17" t="inlineStr">
        <is>
          <t>No</t>
        </is>
      </c>
      <c r="B17" t="inlineStr">
        <is>
          <t>CUHSL</t>
        </is>
      </c>
      <c r="C17" t="inlineStr">
        <is>
          <t>SHELVES</t>
        </is>
      </c>
      <c r="D17" t="inlineStr">
        <is>
          <t>RT85.5 .N86</t>
        </is>
      </c>
      <c r="E17" t="inlineStr">
        <is>
          <t>0                      RT 0085500N  86</t>
        </is>
      </c>
      <c r="F17" t="inlineStr">
        <is>
          <t>The Nurse evaluator in education and service / edited by Agnes G. Rezler, Barbara J. Stevens.</t>
        </is>
      </c>
      <c r="H17" t="inlineStr">
        <is>
          <t>No</t>
        </is>
      </c>
      <c r="I17" t="inlineStr">
        <is>
          <t>1</t>
        </is>
      </c>
      <c r="J17" t="inlineStr">
        <is>
          <t>Yes</t>
        </is>
      </c>
      <c r="K17" t="inlineStr">
        <is>
          <t>No</t>
        </is>
      </c>
      <c r="L17" t="inlineStr">
        <is>
          <t>0</t>
        </is>
      </c>
      <c r="N17" t="inlineStr">
        <is>
          <t>New York : McGraw-Hill, c1978.</t>
        </is>
      </c>
      <c r="O17" t="inlineStr">
        <is>
          <t>1978</t>
        </is>
      </c>
      <c r="Q17" t="inlineStr">
        <is>
          <t>eng</t>
        </is>
      </c>
      <c r="R17" t="inlineStr">
        <is>
          <t>nyu</t>
        </is>
      </c>
      <c r="T17" t="inlineStr">
        <is>
          <t xml:space="preserve">RT </t>
        </is>
      </c>
      <c r="U17" t="n">
        <v>5</v>
      </c>
      <c r="V17" t="n">
        <v>10</v>
      </c>
      <c r="W17" t="inlineStr">
        <is>
          <t>1994-03-11</t>
        </is>
      </c>
      <c r="X17" t="inlineStr">
        <is>
          <t>1994-03-11</t>
        </is>
      </c>
      <c r="Y17" t="inlineStr">
        <is>
          <t>1987-12-28</t>
        </is>
      </c>
      <c r="Z17" t="inlineStr">
        <is>
          <t>1993-01-13</t>
        </is>
      </c>
      <c r="AA17" t="n">
        <v>224</v>
      </c>
      <c r="AB17" t="n">
        <v>174</v>
      </c>
      <c r="AC17" t="n">
        <v>176</v>
      </c>
      <c r="AD17" t="n">
        <v>3</v>
      </c>
      <c r="AE17" t="n">
        <v>3</v>
      </c>
      <c r="AF17" t="n">
        <v>11</v>
      </c>
      <c r="AG17" t="n">
        <v>11</v>
      </c>
      <c r="AH17" t="n">
        <v>5</v>
      </c>
      <c r="AI17" t="n">
        <v>5</v>
      </c>
      <c r="AJ17" t="n">
        <v>2</v>
      </c>
      <c r="AK17" t="n">
        <v>2</v>
      </c>
      <c r="AL17" t="n">
        <v>5</v>
      </c>
      <c r="AM17" t="n">
        <v>5</v>
      </c>
      <c r="AN17" t="n">
        <v>1</v>
      </c>
      <c r="AO17" t="n">
        <v>1</v>
      </c>
      <c r="AP17" t="n">
        <v>0</v>
      </c>
      <c r="AQ17" t="n">
        <v>0</v>
      </c>
      <c r="AR17" t="inlineStr">
        <is>
          <t>No</t>
        </is>
      </c>
      <c r="AS17" t="inlineStr">
        <is>
          <t>Yes</t>
        </is>
      </c>
      <c r="AT17">
        <f>HYPERLINK("http://catalog.hathitrust.org/Record/004414024","HathiTrust Record")</f>
        <v/>
      </c>
      <c r="AU17">
        <f>HYPERLINK("https://creighton-primo.hosted.exlibrisgroup.com/primo-explore/search?tab=default_tab&amp;search_scope=EVERYTHING&amp;vid=01CRU&amp;lang=en_US&amp;offset=0&amp;query=any,contains,991001787379702656","Catalog Record")</f>
        <v/>
      </c>
      <c r="AV17">
        <f>HYPERLINK("http://www.worldcat.org/oclc/3003096","WorldCat Record")</f>
        <v/>
      </c>
      <c r="AW17" t="inlineStr">
        <is>
          <t>6709319:eng</t>
        </is>
      </c>
      <c r="AX17" t="inlineStr">
        <is>
          <t>3003096</t>
        </is>
      </c>
      <c r="AY17" t="inlineStr">
        <is>
          <t>991001787379702656</t>
        </is>
      </c>
      <c r="AZ17" t="inlineStr">
        <is>
          <t>991001787379702656</t>
        </is>
      </c>
      <c r="BA17" t="inlineStr">
        <is>
          <t>2270941060002656</t>
        </is>
      </c>
      <c r="BB17" t="inlineStr">
        <is>
          <t>BOOK</t>
        </is>
      </c>
      <c r="BD17" t="inlineStr">
        <is>
          <t>9780070520608</t>
        </is>
      </c>
      <c r="BE17" t="inlineStr">
        <is>
          <t>30001000285645</t>
        </is>
      </c>
      <c r="BF17" t="inlineStr">
        <is>
          <t>893558581</t>
        </is>
      </c>
    </row>
    <row r="18">
      <c r="A18" t="inlineStr">
        <is>
          <t>No</t>
        </is>
      </c>
      <c r="B18" t="inlineStr">
        <is>
          <t>CUHSL</t>
        </is>
      </c>
      <c r="C18" t="inlineStr">
        <is>
          <t>SHELVES</t>
        </is>
      </c>
      <c r="D18" t="inlineStr">
        <is>
          <t>RT86 .B43 1977</t>
        </is>
      </c>
      <c r="E18" t="inlineStr">
        <is>
          <t>0                      RT 0086000B  43          1977</t>
        </is>
      </c>
      <c r="F18" t="inlineStr">
        <is>
          <t>Behavior modification and the nursing process / Rosemarian Berni, Wilbert E. Fordyce.</t>
        </is>
      </c>
      <c r="H18" t="inlineStr">
        <is>
          <t>No</t>
        </is>
      </c>
      <c r="I18" t="inlineStr">
        <is>
          <t>1</t>
        </is>
      </c>
      <c r="J18" t="inlineStr">
        <is>
          <t>No</t>
        </is>
      </c>
      <c r="K18" t="inlineStr">
        <is>
          <t>No</t>
        </is>
      </c>
      <c r="L18" t="inlineStr">
        <is>
          <t>0</t>
        </is>
      </c>
      <c r="M18" t="inlineStr">
        <is>
          <t>Berni, Rosemarian, 1925-</t>
        </is>
      </c>
      <c r="N18" t="inlineStr">
        <is>
          <t>-- Saint Louis : Mosby, 1977.</t>
        </is>
      </c>
      <c r="O18" t="inlineStr">
        <is>
          <t>1977</t>
        </is>
      </c>
      <c r="P18" t="inlineStr">
        <is>
          <t>-- 2d ed.</t>
        </is>
      </c>
      <c r="Q18" t="inlineStr">
        <is>
          <t>eng</t>
        </is>
      </c>
      <c r="R18" t="inlineStr">
        <is>
          <t>mou</t>
        </is>
      </c>
      <c r="T18" t="inlineStr">
        <is>
          <t xml:space="preserve">RT </t>
        </is>
      </c>
      <c r="U18" t="n">
        <v>1</v>
      </c>
      <c r="V18" t="n">
        <v>1</v>
      </c>
      <c r="W18" t="inlineStr">
        <is>
          <t>1990-11-07</t>
        </is>
      </c>
      <c r="X18" t="inlineStr">
        <is>
          <t>1990-11-07</t>
        </is>
      </c>
      <c r="Y18" t="inlineStr">
        <is>
          <t>1987-12-29</t>
        </is>
      </c>
      <c r="Z18" t="inlineStr">
        <is>
          <t>1987-12-29</t>
        </is>
      </c>
      <c r="AA18" t="n">
        <v>182</v>
      </c>
      <c r="AB18" t="n">
        <v>129</v>
      </c>
      <c r="AC18" t="n">
        <v>251</v>
      </c>
      <c r="AD18" t="n">
        <v>2</v>
      </c>
      <c r="AE18" t="n">
        <v>3</v>
      </c>
      <c r="AF18" t="n">
        <v>5</v>
      </c>
      <c r="AG18" t="n">
        <v>7</v>
      </c>
      <c r="AH18" t="n">
        <v>1</v>
      </c>
      <c r="AI18" t="n">
        <v>2</v>
      </c>
      <c r="AJ18" t="n">
        <v>1</v>
      </c>
      <c r="AK18" t="n">
        <v>1</v>
      </c>
      <c r="AL18" t="n">
        <v>2</v>
      </c>
      <c r="AM18" t="n">
        <v>3</v>
      </c>
      <c r="AN18" t="n">
        <v>1</v>
      </c>
      <c r="AO18" t="n">
        <v>1</v>
      </c>
      <c r="AP18" t="n">
        <v>0</v>
      </c>
      <c r="AQ18" t="n">
        <v>0</v>
      </c>
      <c r="AR18" t="inlineStr">
        <is>
          <t>No</t>
        </is>
      </c>
      <c r="AS18" t="inlineStr">
        <is>
          <t>Yes</t>
        </is>
      </c>
      <c r="AT18">
        <f>HYPERLINK("http://catalog.hathitrust.org/Record/000170839","HathiTrust Record")</f>
        <v/>
      </c>
      <c r="AU18">
        <f>HYPERLINK("https://creighton-primo.hosted.exlibrisgroup.com/primo-explore/search?tab=default_tab&amp;search_scope=EVERYTHING&amp;vid=01CRU&amp;lang=en_US&amp;offset=0&amp;query=any,contains,991001131619702656","Catalog Record")</f>
        <v/>
      </c>
      <c r="AV18">
        <f>HYPERLINK("http://www.worldcat.org/oclc/2695047","WorldCat Record")</f>
        <v/>
      </c>
      <c r="AW18" t="inlineStr">
        <is>
          <t>1516294:eng</t>
        </is>
      </c>
      <c r="AX18" t="inlineStr">
        <is>
          <t>2695047</t>
        </is>
      </c>
      <c r="AY18" t="inlineStr">
        <is>
          <t>991001131619702656</t>
        </is>
      </c>
      <c r="AZ18" t="inlineStr">
        <is>
          <t>991001131619702656</t>
        </is>
      </c>
      <c r="BA18" t="inlineStr">
        <is>
          <t>2264565950002656</t>
        </is>
      </c>
      <c r="BB18" t="inlineStr">
        <is>
          <t>BOOK</t>
        </is>
      </c>
      <c r="BD18" t="inlineStr">
        <is>
          <t>9780801606564</t>
        </is>
      </c>
      <c r="BE18" t="inlineStr">
        <is>
          <t>30001000285249</t>
        </is>
      </c>
      <c r="BF18" t="inlineStr">
        <is>
          <t>893284430</t>
        </is>
      </c>
    </row>
    <row r="19">
      <c r="A19" t="inlineStr">
        <is>
          <t>No</t>
        </is>
      </c>
      <c r="B19" t="inlineStr">
        <is>
          <t>CUHSL</t>
        </is>
      </c>
      <c r="C19" t="inlineStr">
        <is>
          <t>SHELVES</t>
        </is>
      </c>
      <c r="D19" t="inlineStr">
        <is>
          <t>RT86 .K68</t>
        </is>
      </c>
      <c r="E19" t="inlineStr">
        <is>
          <t>0                      RT 0086000K  68</t>
        </is>
      </c>
      <c r="F19" t="inlineStr">
        <is>
          <t>Path to biculturalism / Marlene Kramer, Claudia Schmalenberg.</t>
        </is>
      </c>
      <c r="H19" t="inlineStr">
        <is>
          <t>No</t>
        </is>
      </c>
      <c r="I19" t="inlineStr">
        <is>
          <t>1</t>
        </is>
      </c>
      <c r="J19" t="inlineStr">
        <is>
          <t>No</t>
        </is>
      </c>
      <c r="K19" t="inlineStr">
        <is>
          <t>No</t>
        </is>
      </c>
      <c r="L19" t="inlineStr">
        <is>
          <t>0</t>
        </is>
      </c>
      <c r="M19" t="inlineStr">
        <is>
          <t>Kramer, Marlene, 1931-</t>
        </is>
      </c>
      <c r="N19" t="inlineStr">
        <is>
          <t>-- Wakefield, Mass. : Contemporary Pub., 1977.</t>
        </is>
      </c>
      <c r="O19" t="inlineStr">
        <is>
          <t>1977</t>
        </is>
      </c>
      <c r="Q19" t="inlineStr">
        <is>
          <t>eng</t>
        </is>
      </c>
      <c r="R19" t="inlineStr">
        <is>
          <t>mau</t>
        </is>
      </c>
      <c r="T19" t="inlineStr">
        <is>
          <t xml:space="preserve">RT </t>
        </is>
      </c>
      <c r="U19" t="n">
        <v>5</v>
      </c>
      <c r="V19" t="n">
        <v>5</v>
      </c>
      <c r="W19" t="inlineStr">
        <is>
          <t>1992-06-20</t>
        </is>
      </c>
      <c r="X19" t="inlineStr">
        <is>
          <t>1992-06-20</t>
        </is>
      </c>
      <c r="Y19" t="inlineStr">
        <is>
          <t>1987-12-29</t>
        </is>
      </c>
      <c r="Z19" t="inlineStr">
        <is>
          <t>1987-12-29</t>
        </is>
      </c>
      <c r="AA19" t="n">
        <v>285</v>
      </c>
      <c r="AB19" t="n">
        <v>262</v>
      </c>
      <c r="AC19" t="n">
        <v>289</v>
      </c>
      <c r="AD19" t="n">
        <v>3</v>
      </c>
      <c r="AE19" t="n">
        <v>3</v>
      </c>
      <c r="AF19" t="n">
        <v>13</v>
      </c>
      <c r="AG19" t="n">
        <v>14</v>
      </c>
      <c r="AH19" t="n">
        <v>3</v>
      </c>
      <c r="AI19" t="n">
        <v>4</v>
      </c>
      <c r="AJ19" t="n">
        <v>3</v>
      </c>
      <c r="AK19" t="n">
        <v>3</v>
      </c>
      <c r="AL19" t="n">
        <v>6</v>
      </c>
      <c r="AM19" t="n">
        <v>7</v>
      </c>
      <c r="AN19" t="n">
        <v>2</v>
      </c>
      <c r="AO19" t="n">
        <v>2</v>
      </c>
      <c r="AP19" t="n">
        <v>0</v>
      </c>
      <c r="AQ19" t="n">
        <v>0</v>
      </c>
      <c r="AR19" t="inlineStr">
        <is>
          <t>No</t>
        </is>
      </c>
      <c r="AS19" t="inlineStr">
        <is>
          <t>Yes</t>
        </is>
      </c>
      <c r="AT19">
        <f>HYPERLINK("http://catalog.hathitrust.org/Record/000020134","HathiTrust Record")</f>
        <v/>
      </c>
      <c r="AU19">
        <f>HYPERLINK("https://creighton-primo.hosted.exlibrisgroup.com/primo-explore/search?tab=default_tab&amp;search_scope=EVERYTHING&amp;vid=01CRU&amp;lang=en_US&amp;offset=0&amp;query=any,contains,991001137009702656","Catalog Record")</f>
        <v/>
      </c>
      <c r="AV19">
        <f>HYPERLINK("http://www.worldcat.org/oclc/2965313","WorldCat Record")</f>
        <v/>
      </c>
      <c r="AW19" t="inlineStr">
        <is>
          <t>6596208:eng</t>
        </is>
      </c>
      <c r="AX19" t="inlineStr">
        <is>
          <t>2965313</t>
        </is>
      </c>
      <c r="AY19" t="inlineStr">
        <is>
          <t>991001137009702656</t>
        </is>
      </c>
      <c r="AZ19" t="inlineStr">
        <is>
          <t>991001137009702656</t>
        </is>
      </c>
      <c r="BA19" t="inlineStr">
        <is>
          <t>2270336370002656</t>
        </is>
      </c>
      <c r="BB19" t="inlineStr">
        <is>
          <t>BOOK</t>
        </is>
      </c>
      <c r="BD19" t="inlineStr">
        <is>
          <t>9780913654309</t>
        </is>
      </c>
      <c r="BE19" t="inlineStr">
        <is>
          <t>30001000286510</t>
        </is>
      </c>
      <c r="BF19" t="inlineStr">
        <is>
          <t>893121192</t>
        </is>
      </c>
    </row>
    <row r="20">
      <c r="A20" t="inlineStr">
        <is>
          <t>No</t>
        </is>
      </c>
      <c r="B20" t="inlineStr">
        <is>
          <t>CUHSL</t>
        </is>
      </c>
      <c r="C20" t="inlineStr">
        <is>
          <t>SHELVES</t>
        </is>
      </c>
      <c r="D20" t="inlineStr">
        <is>
          <t>RT86 .L35 1979</t>
        </is>
      </c>
      <c r="E20" t="inlineStr">
        <is>
          <t>0                      RT 0086000L  35          1979</t>
        </is>
      </c>
      <c r="F20" t="inlineStr">
        <is>
          <t>The impact of physical illness and related mental health concepts / Vickie A. Lambert, Clinton E. Lambert, Jr.</t>
        </is>
      </c>
      <c r="H20" t="inlineStr">
        <is>
          <t>No</t>
        </is>
      </c>
      <c r="I20" t="inlineStr">
        <is>
          <t>1</t>
        </is>
      </c>
      <c r="J20" t="inlineStr">
        <is>
          <t>Yes</t>
        </is>
      </c>
      <c r="K20" t="inlineStr">
        <is>
          <t>No</t>
        </is>
      </c>
      <c r="L20" t="inlineStr">
        <is>
          <t>0</t>
        </is>
      </c>
      <c r="M20" t="inlineStr">
        <is>
          <t>Lambert, Vickie A.</t>
        </is>
      </c>
      <c r="N20" t="inlineStr">
        <is>
          <t>Englewood Cliffs, N.J. : Prentice-Hall, c1979.</t>
        </is>
      </c>
      <c r="O20" t="inlineStr">
        <is>
          <t>1979</t>
        </is>
      </c>
      <c r="Q20" t="inlineStr">
        <is>
          <t>eng</t>
        </is>
      </c>
      <c r="R20" t="inlineStr">
        <is>
          <t>nju</t>
        </is>
      </c>
      <c r="T20" t="inlineStr">
        <is>
          <t xml:space="preserve">RT </t>
        </is>
      </c>
      <c r="U20" t="n">
        <v>5</v>
      </c>
      <c r="V20" t="n">
        <v>9</v>
      </c>
      <c r="W20" t="inlineStr">
        <is>
          <t>1994-11-28</t>
        </is>
      </c>
      <c r="X20" t="inlineStr">
        <is>
          <t>1998-09-29</t>
        </is>
      </c>
      <c r="Y20" t="inlineStr">
        <is>
          <t>1990-11-13</t>
        </is>
      </c>
      <c r="Z20" t="inlineStr">
        <is>
          <t>1993-03-15</t>
        </is>
      </c>
      <c r="AA20" t="n">
        <v>299</v>
      </c>
      <c r="AB20" t="n">
        <v>240</v>
      </c>
      <c r="AC20" t="n">
        <v>241</v>
      </c>
      <c r="AD20" t="n">
        <v>4</v>
      </c>
      <c r="AE20" t="n">
        <v>4</v>
      </c>
      <c r="AF20" t="n">
        <v>12</v>
      </c>
      <c r="AG20" t="n">
        <v>12</v>
      </c>
      <c r="AH20" t="n">
        <v>3</v>
      </c>
      <c r="AI20" t="n">
        <v>3</v>
      </c>
      <c r="AJ20" t="n">
        <v>4</v>
      </c>
      <c r="AK20" t="n">
        <v>4</v>
      </c>
      <c r="AL20" t="n">
        <v>5</v>
      </c>
      <c r="AM20" t="n">
        <v>5</v>
      </c>
      <c r="AN20" t="n">
        <v>2</v>
      </c>
      <c r="AO20" t="n">
        <v>2</v>
      </c>
      <c r="AP20" t="n">
        <v>0</v>
      </c>
      <c r="AQ20" t="n">
        <v>0</v>
      </c>
      <c r="AR20" t="inlineStr">
        <is>
          <t>No</t>
        </is>
      </c>
      <c r="AS20" t="inlineStr">
        <is>
          <t>Yes</t>
        </is>
      </c>
      <c r="AT20">
        <f>HYPERLINK("http://catalog.hathitrust.org/Record/000027240","HathiTrust Record")</f>
        <v/>
      </c>
      <c r="AU20">
        <f>HYPERLINK("https://creighton-primo.hosted.exlibrisgroup.com/primo-explore/search?tab=default_tab&amp;search_scope=EVERYTHING&amp;vid=01CRU&amp;lang=en_US&amp;offset=0&amp;query=any,contains,991001761249702656","Catalog Record")</f>
        <v/>
      </c>
      <c r="AV20">
        <f>HYPERLINK("http://www.worldcat.org/oclc/4135558","WorldCat Record")</f>
        <v/>
      </c>
      <c r="AW20" t="inlineStr">
        <is>
          <t>14588217:eng</t>
        </is>
      </c>
      <c r="AX20" t="inlineStr">
        <is>
          <t>4135558</t>
        </is>
      </c>
      <c r="AY20" t="inlineStr">
        <is>
          <t>991001761249702656</t>
        </is>
      </c>
      <c r="AZ20" t="inlineStr">
        <is>
          <t>991001761249702656</t>
        </is>
      </c>
      <c r="BA20" t="inlineStr">
        <is>
          <t>2255007030002656</t>
        </is>
      </c>
      <c r="BB20" t="inlineStr">
        <is>
          <t>BOOK</t>
        </is>
      </c>
      <c r="BD20" t="inlineStr">
        <is>
          <t>9780134517322</t>
        </is>
      </c>
      <c r="BE20" t="inlineStr">
        <is>
          <t>30001002063826</t>
        </is>
      </c>
      <c r="BF20" t="inlineStr">
        <is>
          <t>893832575</t>
        </is>
      </c>
    </row>
    <row r="21">
      <c r="A21" t="inlineStr">
        <is>
          <t>No</t>
        </is>
      </c>
      <c r="B21" t="inlineStr">
        <is>
          <t>CUHSL</t>
        </is>
      </c>
      <c r="C21" t="inlineStr">
        <is>
          <t>SHELVES</t>
        </is>
      </c>
      <c r="D21" t="inlineStr">
        <is>
          <t>RT86 .W58</t>
        </is>
      </c>
      <c r="E21" t="inlineStr">
        <is>
          <t>0                      RT 0086000W  58</t>
        </is>
      </c>
      <c r="F21" t="inlineStr">
        <is>
          <t>Women in stress : a nursing perspective / edited by Diane K. Kjervik, Ida M. Martinson.</t>
        </is>
      </c>
      <c r="H21" t="inlineStr">
        <is>
          <t>No</t>
        </is>
      </c>
      <c r="I21" t="inlineStr">
        <is>
          <t>1</t>
        </is>
      </c>
      <c r="J21" t="inlineStr">
        <is>
          <t>Yes</t>
        </is>
      </c>
      <c r="K21" t="inlineStr">
        <is>
          <t>No</t>
        </is>
      </c>
      <c r="L21" t="inlineStr">
        <is>
          <t>0</t>
        </is>
      </c>
      <c r="N21" t="inlineStr">
        <is>
          <t>New York : Appleton-Century-Crofts, c1979.</t>
        </is>
      </c>
      <c r="O21" t="inlineStr">
        <is>
          <t>1979</t>
        </is>
      </c>
      <c r="Q21" t="inlineStr">
        <is>
          <t>eng</t>
        </is>
      </c>
      <c r="R21" t="inlineStr">
        <is>
          <t>nyu</t>
        </is>
      </c>
      <c r="T21" t="inlineStr">
        <is>
          <t xml:space="preserve">RT </t>
        </is>
      </c>
      <c r="U21" t="n">
        <v>4</v>
      </c>
      <c r="V21" t="n">
        <v>7</v>
      </c>
      <c r="W21" t="inlineStr">
        <is>
          <t>2008-01-07</t>
        </is>
      </c>
      <c r="X21" t="inlineStr">
        <is>
          <t>2008-01-07</t>
        </is>
      </c>
      <c r="Y21" t="inlineStr">
        <is>
          <t>1987-10-19</t>
        </is>
      </c>
      <c r="Z21" t="inlineStr">
        <is>
          <t>1992-08-12</t>
        </is>
      </c>
      <c r="AA21" t="n">
        <v>374</v>
      </c>
      <c r="AB21" t="n">
        <v>312</v>
      </c>
      <c r="AC21" t="n">
        <v>320</v>
      </c>
      <c r="AD21" t="n">
        <v>3</v>
      </c>
      <c r="AE21" t="n">
        <v>3</v>
      </c>
      <c r="AF21" t="n">
        <v>16</v>
      </c>
      <c r="AG21" t="n">
        <v>16</v>
      </c>
      <c r="AH21" t="n">
        <v>7</v>
      </c>
      <c r="AI21" t="n">
        <v>7</v>
      </c>
      <c r="AJ21" t="n">
        <v>2</v>
      </c>
      <c r="AK21" t="n">
        <v>2</v>
      </c>
      <c r="AL21" t="n">
        <v>8</v>
      </c>
      <c r="AM21" t="n">
        <v>8</v>
      </c>
      <c r="AN21" t="n">
        <v>1</v>
      </c>
      <c r="AO21" t="n">
        <v>1</v>
      </c>
      <c r="AP21" t="n">
        <v>0</v>
      </c>
      <c r="AQ21" t="n">
        <v>0</v>
      </c>
      <c r="AR21" t="inlineStr">
        <is>
          <t>No</t>
        </is>
      </c>
      <c r="AS21" t="inlineStr">
        <is>
          <t>Yes</t>
        </is>
      </c>
      <c r="AT21">
        <f>HYPERLINK("http://catalog.hathitrust.org/Record/000257201","HathiTrust Record")</f>
        <v/>
      </c>
      <c r="AU21">
        <f>HYPERLINK("https://creighton-primo.hosted.exlibrisgroup.com/primo-explore/search?tab=default_tab&amp;search_scope=EVERYTHING&amp;vid=01CRU&amp;lang=en_US&amp;offset=0&amp;query=any,contains,991001759589702656","Catalog Record")</f>
        <v/>
      </c>
      <c r="AV21">
        <f>HYPERLINK("http://www.worldcat.org/oclc/4504583","WorldCat Record")</f>
        <v/>
      </c>
      <c r="AW21" t="inlineStr">
        <is>
          <t>355433797:eng</t>
        </is>
      </c>
      <c r="AX21" t="inlineStr">
        <is>
          <t>4504583</t>
        </is>
      </c>
      <c r="AY21" t="inlineStr">
        <is>
          <t>991001759589702656</t>
        </is>
      </c>
      <c r="AZ21" t="inlineStr">
        <is>
          <t>991001759589702656</t>
        </is>
      </c>
      <c r="BA21" t="inlineStr">
        <is>
          <t>2264810210002656</t>
        </is>
      </c>
      <c r="BB21" t="inlineStr">
        <is>
          <t>BOOK</t>
        </is>
      </c>
      <c r="BD21" t="inlineStr">
        <is>
          <t>9780838598290</t>
        </is>
      </c>
      <c r="BE21" t="inlineStr">
        <is>
          <t>30001000042442</t>
        </is>
      </c>
      <c r="BF21" t="inlineStr">
        <is>
          <t>893279605</t>
        </is>
      </c>
    </row>
    <row r="22">
      <c r="A22" t="inlineStr">
        <is>
          <t>No</t>
        </is>
      </c>
      <c r="B22" t="inlineStr">
        <is>
          <t>CUHSL</t>
        </is>
      </c>
      <c r="C22" t="inlineStr">
        <is>
          <t>SHELVES</t>
        </is>
      </c>
      <c r="D22" t="inlineStr">
        <is>
          <t>RT86.7 .C67</t>
        </is>
      </c>
      <c r="E22" t="inlineStr">
        <is>
          <t>0                      RT 0086700C  67</t>
        </is>
      </c>
      <c r="F22" t="inlineStr">
        <is>
          <t>Cost-effectiveness of primary and team nursing / Gwen Marram ... [et al.].</t>
        </is>
      </c>
      <c r="H22" t="inlineStr">
        <is>
          <t>No</t>
        </is>
      </c>
      <c r="I22" t="inlineStr">
        <is>
          <t>1</t>
        </is>
      </c>
      <c r="J22" t="inlineStr">
        <is>
          <t>No</t>
        </is>
      </c>
      <c r="K22" t="inlineStr">
        <is>
          <t>No</t>
        </is>
      </c>
      <c r="L22" t="inlineStr">
        <is>
          <t>0</t>
        </is>
      </c>
      <c r="N22" t="inlineStr">
        <is>
          <t>-- Wakefield, Mass. : Contemporary Pub., 1976.</t>
        </is>
      </c>
      <c r="O22" t="inlineStr">
        <is>
          <t>1976</t>
        </is>
      </c>
      <c r="P22" t="inlineStr">
        <is>
          <t>-- 1st ed.</t>
        </is>
      </c>
      <c r="Q22" t="inlineStr">
        <is>
          <t>eng</t>
        </is>
      </c>
      <c r="R22" t="inlineStr">
        <is>
          <t>mau</t>
        </is>
      </c>
      <c r="T22" t="inlineStr">
        <is>
          <t xml:space="preserve">RT </t>
        </is>
      </c>
      <c r="U22" t="n">
        <v>3</v>
      </c>
      <c r="V22" t="n">
        <v>3</v>
      </c>
      <c r="W22" t="inlineStr">
        <is>
          <t>1988-11-13</t>
        </is>
      </c>
      <c r="X22" t="inlineStr">
        <is>
          <t>1988-11-13</t>
        </is>
      </c>
      <c r="Y22" t="inlineStr">
        <is>
          <t>1988-09-30</t>
        </is>
      </c>
      <c r="Z22" t="inlineStr">
        <is>
          <t>1988-09-30</t>
        </is>
      </c>
      <c r="AA22" t="n">
        <v>214</v>
      </c>
      <c r="AB22" t="n">
        <v>178</v>
      </c>
      <c r="AC22" t="n">
        <v>181</v>
      </c>
      <c r="AD22" t="n">
        <v>2</v>
      </c>
      <c r="AE22" t="n">
        <v>2</v>
      </c>
      <c r="AF22" t="n">
        <v>8</v>
      </c>
      <c r="AG22" t="n">
        <v>8</v>
      </c>
      <c r="AH22" t="n">
        <v>3</v>
      </c>
      <c r="AI22" t="n">
        <v>3</v>
      </c>
      <c r="AJ22" t="n">
        <v>0</v>
      </c>
      <c r="AK22" t="n">
        <v>0</v>
      </c>
      <c r="AL22" t="n">
        <v>5</v>
      </c>
      <c r="AM22" t="n">
        <v>5</v>
      </c>
      <c r="AN22" t="n">
        <v>1</v>
      </c>
      <c r="AO22" t="n">
        <v>1</v>
      </c>
      <c r="AP22" t="n">
        <v>0</v>
      </c>
      <c r="AQ22" t="n">
        <v>0</v>
      </c>
      <c r="AR22" t="inlineStr">
        <is>
          <t>No</t>
        </is>
      </c>
      <c r="AS22" t="inlineStr">
        <is>
          <t>Yes</t>
        </is>
      </c>
      <c r="AT22">
        <f>HYPERLINK("http://catalog.hathitrust.org/Record/000084164","HathiTrust Record")</f>
        <v/>
      </c>
      <c r="AU22">
        <f>HYPERLINK("https://creighton-primo.hosted.exlibrisgroup.com/primo-explore/search?tab=default_tab&amp;search_scope=EVERYTHING&amp;vid=01CRU&amp;lang=en_US&amp;offset=0&amp;query=any,contains,991001084279702656","Catalog Record")</f>
        <v/>
      </c>
      <c r="AV22">
        <f>HYPERLINK("http://www.worldcat.org/oclc/2368401","WorldCat Record")</f>
        <v/>
      </c>
      <c r="AW22" t="inlineStr">
        <is>
          <t>4688469:eng</t>
        </is>
      </c>
      <c r="AX22" t="inlineStr">
        <is>
          <t>2368401</t>
        </is>
      </c>
      <c r="AY22" t="inlineStr">
        <is>
          <t>991001084279702656</t>
        </is>
      </c>
      <c r="AZ22" t="inlineStr">
        <is>
          <t>991001084279702656</t>
        </is>
      </c>
      <c r="BA22" t="inlineStr">
        <is>
          <t>2269985950002656</t>
        </is>
      </c>
      <c r="BB22" t="inlineStr">
        <is>
          <t>BOOK</t>
        </is>
      </c>
      <c r="BD22" t="inlineStr">
        <is>
          <t>9780913654286</t>
        </is>
      </c>
      <c r="BE22" t="inlineStr">
        <is>
          <t>30001000258501</t>
        </is>
      </c>
      <c r="BF22" t="inlineStr">
        <is>
          <t>893632699</t>
        </is>
      </c>
    </row>
    <row r="23">
      <c r="A23" t="inlineStr">
        <is>
          <t>No</t>
        </is>
      </c>
      <c r="B23" t="inlineStr">
        <is>
          <t>CUHSL</t>
        </is>
      </c>
      <c r="C23" t="inlineStr">
        <is>
          <t>SHELVES</t>
        </is>
      </c>
      <c r="D23" t="inlineStr">
        <is>
          <t>RT89 .C58</t>
        </is>
      </c>
      <c r="E23" t="inlineStr">
        <is>
          <t>0                      RT 0089000C  58</t>
        </is>
      </c>
      <c r="F23" t="inlineStr">
        <is>
          <t>Power and influence in health care : a new approach to leadership / Karen E. Claus, June T. Bailey.</t>
        </is>
      </c>
      <c r="H23" t="inlineStr">
        <is>
          <t>No</t>
        </is>
      </c>
      <c r="I23" t="inlineStr">
        <is>
          <t>1</t>
        </is>
      </c>
      <c r="J23" t="inlineStr">
        <is>
          <t>No</t>
        </is>
      </c>
      <c r="K23" t="inlineStr">
        <is>
          <t>No</t>
        </is>
      </c>
      <c r="L23" t="inlineStr">
        <is>
          <t>0</t>
        </is>
      </c>
      <c r="M23" t="inlineStr">
        <is>
          <t>Claus, Karen E.</t>
        </is>
      </c>
      <c r="N23" t="inlineStr">
        <is>
          <t>St. Louis : Mosby, 1977.</t>
        </is>
      </c>
      <c r="O23" t="inlineStr">
        <is>
          <t>1977</t>
        </is>
      </c>
      <c r="Q23" t="inlineStr">
        <is>
          <t>eng</t>
        </is>
      </c>
      <c r="R23" t="inlineStr">
        <is>
          <t>mou</t>
        </is>
      </c>
      <c r="T23" t="inlineStr">
        <is>
          <t xml:space="preserve">RT </t>
        </is>
      </c>
      <c r="U23" t="n">
        <v>4</v>
      </c>
      <c r="V23" t="n">
        <v>4</v>
      </c>
      <c r="W23" t="inlineStr">
        <is>
          <t>1997-01-21</t>
        </is>
      </c>
      <c r="X23" t="inlineStr">
        <is>
          <t>1997-01-21</t>
        </is>
      </c>
      <c r="Y23" t="inlineStr">
        <is>
          <t>1987-10-22</t>
        </is>
      </c>
      <c r="Z23" t="inlineStr">
        <is>
          <t>1987-10-22</t>
        </is>
      </c>
      <c r="AA23" t="n">
        <v>244</v>
      </c>
      <c r="AB23" t="n">
        <v>199</v>
      </c>
      <c r="AC23" t="n">
        <v>205</v>
      </c>
      <c r="AD23" t="n">
        <v>3</v>
      </c>
      <c r="AE23" t="n">
        <v>3</v>
      </c>
      <c r="AF23" t="n">
        <v>13</v>
      </c>
      <c r="AG23" t="n">
        <v>13</v>
      </c>
      <c r="AH23" t="n">
        <v>4</v>
      </c>
      <c r="AI23" t="n">
        <v>4</v>
      </c>
      <c r="AJ23" t="n">
        <v>3</v>
      </c>
      <c r="AK23" t="n">
        <v>3</v>
      </c>
      <c r="AL23" t="n">
        <v>5</v>
      </c>
      <c r="AM23" t="n">
        <v>5</v>
      </c>
      <c r="AN23" t="n">
        <v>2</v>
      </c>
      <c r="AO23" t="n">
        <v>2</v>
      </c>
      <c r="AP23" t="n">
        <v>0</v>
      </c>
      <c r="AQ23" t="n">
        <v>0</v>
      </c>
      <c r="AR23" t="inlineStr">
        <is>
          <t>No</t>
        </is>
      </c>
      <c r="AS23" t="inlineStr">
        <is>
          <t>Yes</t>
        </is>
      </c>
      <c r="AT23">
        <f>HYPERLINK("http://catalog.hathitrust.org/Record/000250364","HathiTrust Record")</f>
        <v/>
      </c>
      <c r="AU23">
        <f>HYPERLINK("https://creighton-primo.hosted.exlibrisgroup.com/primo-explore/search?tab=default_tab&amp;search_scope=EVERYTHING&amp;vid=01CRU&amp;lang=en_US&amp;offset=0&amp;query=any,contains,991000736749702656","Catalog Record")</f>
        <v/>
      </c>
      <c r="AV23">
        <f>HYPERLINK("http://www.worldcat.org/oclc/2984179","WorldCat Record")</f>
        <v/>
      </c>
      <c r="AW23" t="inlineStr">
        <is>
          <t>308884042:eng</t>
        </is>
      </c>
      <c r="AX23" t="inlineStr">
        <is>
          <t>2984179</t>
        </is>
      </c>
      <c r="AY23" t="inlineStr">
        <is>
          <t>991000736749702656</t>
        </is>
      </c>
      <c r="AZ23" t="inlineStr">
        <is>
          <t>991000736749702656</t>
        </is>
      </c>
      <c r="BA23" t="inlineStr">
        <is>
          <t>2258445950002656</t>
        </is>
      </c>
      <c r="BB23" t="inlineStr">
        <is>
          <t>BOOK</t>
        </is>
      </c>
      <c r="BD23" t="inlineStr">
        <is>
          <t>9780801604171</t>
        </is>
      </c>
      <c r="BE23" t="inlineStr">
        <is>
          <t>30001000041899</t>
        </is>
      </c>
      <c r="BF23" t="inlineStr">
        <is>
          <t>893648012</t>
        </is>
      </c>
    </row>
    <row r="24">
      <c r="A24" t="inlineStr">
        <is>
          <t>No</t>
        </is>
      </c>
      <c r="B24" t="inlineStr">
        <is>
          <t>CUHSL</t>
        </is>
      </c>
      <c r="C24" t="inlineStr">
        <is>
          <t>SHELVES</t>
        </is>
      </c>
      <c r="D24" t="inlineStr">
        <is>
          <t>RT89 .T4</t>
        </is>
      </c>
      <c r="E24" t="inlineStr">
        <is>
          <t>0                      RT 0089000T  4</t>
        </is>
      </c>
      <c r="F24" t="inlineStr">
        <is>
          <t>The Techniques of nursing management : a reader consisting of nine articles especially selected by the Journal of nursing administration editorial staff.</t>
        </is>
      </c>
      <c r="H24" t="inlineStr">
        <is>
          <t>No</t>
        </is>
      </c>
      <c r="I24" t="inlineStr">
        <is>
          <t>1</t>
        </is>
      </c>
      <c r="J24" t="inlineStr">
        <is>
          <t>No</t>
        </is>
      </c>
      <c r="K24" t="inlineStr">
        <is>
          <t>No</t>
        </is>
      </c>
      <c r="L24" t="inlineStr">
        <is>
          <t>0</t>
        </is>
      </c>
      <c r="N24" t="inlineStr">
        <is>
          <t>Wakefield, Mass. : Contemporary Pub., 1975.</t>
        </is>
      </c>
      <c r="O24" t="inlineStr">
        <is>
          <t>1975</t>
        </is>
      </c>
      <c r="P24" t="inlineStr">
        <is>
          <t>-- 1st ed. --</t>
        </is>
      </c>
      <c r="Q24" t="inlineStr">
        <is>
          <t>eng</t>
        </is>
      </c>
      <c r="R24" t="inlineStr">
        <is>
          <t>mau</t>
        </is>
      </c>
      <c r="T24" t="inlineStr">
        <is>
          <t xml:space="preserve">RT </t>
        </is>
      </c>
      <c r="U24" t="n">
        <v>1</v>
      </c>
      <c r="V24" t="n">
        <v>1</v>
      </c>
      <c r="W24" t="inlineStr">
        <is>
          <t>1995-10-29</t>
        </is>
      </c>
      <c r="X24" t="inlineStr">
        <is>
          <t>1995-10-29</t>
        </is>
      </c>
      <c r="Y24" t="inlineStr">
        <is>
          <t>1987-12-30</t>
        </is>
      </c>
      <c r="Z24" t="inlineStr">
        <is>
          <t>1987-12-30</t>
        </is>
      </c>
      <c r="AA24" t="n">
        <v>79</v>
      </c>
      <c r="AB24" t="n">
        <v>72</v>
      </c>
      <c r="AC24" t="n">
        <v>75</v>
      </c>
      <c r="AD24" t="n">
        <v>1</v>
      </c>
      <c r="AE24" t="n">
        <v>1</v>
      </c>
      <c r="AF24" t="n">
        <v>3</v>
      </c>
      <c r="AG24" t="n">
        <v>3</v>
      </c>
      <c r="AH24" t="n">
        <v>0</v>
      </c>
      <c r="AI24" t="n">
        <v>0</v>
      </c>
      <c r="AJ24" t="n">
        <v>2</v>
      </c>
      <c r="AK24" t="n">
        <v>2</v>
      </c>
      <c r="AL24" t="n">
        <v>1</v>
      </c>
      <c r="AM24" t="n">
        <v>1</v>
      </c>
      <c r="AN24" t="n">
        <v>0</v>
      </c>
      <c r="AO24" t="n">
        <v>0</v>
      </c>
      <c r="AP24" t="n">
        <v>0</v>
      </c>
      <c r="AQ24" t="n">
        <v>0</v>
      </c>
      <c r="AR24" t="inlineStr">
        <is>
          <t>No</t>
        </is>
      </c>
      <c r="AS24" t="inlineStr">
        <is>
          <t>Yes</t>
        </is>
      </c>
      <c r="AT24">
        <f>HYPERLINK("http://catalog.hathitrust.org/Record/000045160","HathiTrust Record")</f>
        <v/>
      </c>
      <c r="AU24">
        <f>HYPERLINK("https://creighton-primo.hosted.exlibrisgroup.com/primo-explore/search?tab=default_tab&amp;search_scope=EVERYTHING&amp;vid=01CRU&amp;lang=en_US&amp;offset=0&amp;query=any,contains,991001083449702656","Catalog Record")</f>
        <v/>
      </c>
      <c r="AV24">
        <f>HYPERLINK("http://www.worldcat.org/oclc/1529154","WorldCat Record")</f>
        <v/>
      </c>
      <c r="AW24" t="inlineStr">
        <is>
          <t>2391372:eng</t>
        </is>
      </c>
      <c r="AX24" t="inlineStr">
        <is>
          <t>1529154</t>
        </is>
      </c>
      <c r="AY24" t="inlineStr">
        <is>
          <t>991001083449702656</t>
        </is>
      </c>
      <c r="AZ24" t="inlineStr">
        <is>
          <t>991001083449702656</t>
        </is>
      </c>
      <c r="BA24" t="inlineStr">
        <is>
          <t>2257392920002656</t>
        </is>
      </c>
      <c r="BB24" t="inlineStr">
        <is>
          <t>BOOK</t>
        </is>
      </c>
      <c r="BD24" t="inlineStr">
        <is>
          <t>9780913654071</t>
        </is>
      </c>
      <c r="BE24" t="inlineStr">
        <is>
          <t>30001000258097</t>
        </is>
      </c>
      <c r="BF24" t="inlineStr">
        <is>
          <t>893637988</t>
        </is>
      </c>
    </row>
    <row r="25">
      <c r="A25" t="inlineStr">
        <is>
          <t>No</t>
        </is>
      </c>
      <c r="B25" t="inlineStr">
        <is>
          <t>CUHSL</t>
        </is>
      </c>
      <c r="C25" t="inlineStr">
        <is>
          <t>SHELVES</t>
        </is>
      </c>
      <c r="D25" t="inlineStr">
        <is>
          <t>IN SERIALS</t>
        </is>
      </c>
      <c r="E25" t="inlineStr">
        <is>
          <t>8IN SERIALS</t>
        </is>
      </c>
      <c r="F25" t="inlineStr">
        <is>
          <t>Computers in nursing / edited by Rita D. Zielstorff.</t>
        </is>
      </c>
      <c r="H25" t="inlineStr">
        <is>
          <t>No</t>
        </is>
      </c>
      <c r="I25" t="inlineStr">
        <is>
          <t>1</t>
        </is>
      </c>
      <c r="J25" t="inlineStr">
        <is>
          <t>No</t>
        </is>
      </c>
      <c r="K25" t="inlineStr">
        <is>
          <t>No</t>
        </is>
      </c>
      <c r="L25" t="inlineStr">
        <is>
          <t>0</t>
        </is>
      </c>
      <c r="N25" t="inlineStr">
        <is>
          <t>Wakefield, Mass. : Nursing Resources, c1980.</t>
        </is>
      </c>
      <c r="O25" t="inlineStr">
        <is>
          <t>1980</t>
        </is>
      </c>
      <c r="P25" t="inlineStr">
        <is>
          <t>1st ed.</t>
        </is>
      </c>
      <c r="Q25" t="inlineStr">
        <is>
          <t>eng</t>
        </is>
      </c>
      <c r="R25" t="inlineStr">
        <is>
          <t>mau</t>
        </is>
      </c>
      <c r="S25" t="inlineStr">
        <is>
          <t>Nursing dimensions administration series ; v. 1, no. 3</t>
        </is>
      </c>
      <c r="T25" t="inlineStr">
        <is>
          <t xml:space="preserve">RT </t>
        </is>
      </c>
      <c r="U25" t="n">
        <v>5</v>
      </c>
      <c r="V25" t="n">
        <v>5</v>
      </c>
      <c r="W25" t="inlineStr">
        <is>
          <t>1997-01-19</t>
        </is>
      </c>
      <c r="X25" t="inlineStr">
        <is>
          <t>1997-01-19</t>
        </is>
      </c>
      <c r="Y25" t="inlineStr">
        <is>
          <t>1989-08-14</t>
        </is>
      </c>
      <c r="Z25" t="inlineStr">
        <is>
          <t>1989-08-14</t>
        </is>
      </c>
      <c r="AA25" t="n">
        <v>223</v>
      </c>
      <c r="AB25" t="n">
        <v>191</v>
      </c>
      <c r="AC25" t="n">
        <v>234</v>
      </c>
      <c r="AD25" t="n">
        <v>2</v>
      </c>
      <c r="AE25" t="n">
        <v>2</v>
      </c>
      <c r="AF25" t="n">
        <v>4</v>
      </c>
      <c r="AG25" t="n">
        <v>6</v>
      </c>
      <c r="AH25" t="n">
        <v>2</v>
      </c>
      <c r="AI25" t="n">
        <v>3</v>
      </c>
      <c r="AJ25" t="n">
        <v>0</v>
      </c>
      <c r="AK25" t="n">
        <v>0</v>
      </c>
      <c r="AL25" t="n">
        <v>1</v>
      </c>
      <c r="AM25" t="n">
        <v>2</v>
      </c>
      <c r="AN25" t="n">
        <v>1</v>
      </c>
      <c r="AO25" t="n">
        <v>1</v>
      </c>
      <c r="AP25" t="n">
        <v>0</v>
      </c>
      <c r="AQ25" t="n">
        <v>0</v>
      </c>
      <c r="AR25" t="inlineStr">
        <is>
          <t>No</t>
        </is>
      </c>
      <c r="AS25" t="inlineStr">
        <is>
          <t>Yes</t>
        </is>
      </c>
      <c r="AT25">
        <f>HYPERLINK("http://catalog.hathitrust.org/Record/000266941","HathiTrust Record")</f>
        <v/>
      </c>
      <c r="AU25">
        <f>HYPERLINK("https://creighton-primo.hosted.exlibrisgroup.com/primo-explore/search?tab=default_tab&amp;search_scope=EVERYTHING&amp;vid=01CRU&amp;lang=en_US&amp;offset=0&amp;query=any,contains,991001546509702656","Catalog Record")</f>
        <v/>
      </c>
      <c r="AV25">
        <f>HYPERLINK("http://www.worldcat.org/oclc/7048638","WorldCat Record")</f>
        <v/>
      </c>
      <c r="AW25" t="inlineStr">
        <is>
          <t>54418898:eng</t>
        </is>
      </c>
      <c r="AX25" t="inlineStr">
        <is>
          <t>7048638</t>
        </is>
      </c>
      <c r="AY25" t="inlineStr">
        <is>
          <t>991001546509702656</t>
        </is>
      </c>
      <c r="AZ25" t="inlineStr">
        <is>
          <t>991001546509702656</t>
        </is>
      </c>
      <c r="BA25" t="inlineStr">
        <is>
          <t>2256173260002656</t>
        </is>
      </c>
      <c r="BB25" t="inlineStr">
        <is>
          <t>BOOK</t>
        </is>
      </c>
      <c r="BD25" t="inlineStr">
        <is>
          <t>9780913654668</t>
        </is>
      </c>
      <c r="BE25" t="inlineStr">
        <is>
          <t>92573-1001</t>
        </is>
      </c>
      <c r="BF25" t="inlineStr">
        <is>
          <t>893558085</t>
        </is>
      </c>
    </row>
    <row r="26">
      <c r="A26" t="inlineStr">
        <is>
          <t>No</t>
        </is>
      </c>
      <c r="B26" t="inlineStr">
        <is>
          <t>CUHSL</t>
        </is>
      </c>
      <c r="C26" t="inlineStr">
        <is>
          <t>SHELVES</t>
        </is>
      </c>
      <c r="D26" t="inlineStr">
        <is>
          <t>IN SERIALS</t>
        </is>
      </c>
      <c r="E26" t="inlineStr">
        <is>
          <t>8IN SERIALS</t>
        </is>
      </c>
      <c r="F26" t="inlineStr">
        <is>
          <t>Nursing research in the bicentennial year / edited by Marjorie V. Batey.</t>
        </is>
      </c>
      <c r="H26" t="inlineStr">
        <is>
          <t>No</t>
        </is>
      </c>
      <c r="I26" t="inlineStr">
        <is>
          <t>1</t>
        </is>
      </c>
      <c r="J26" t="inlineStr">
        <is>
          <t>No</t>
        </is>
      </c>
      <c r="K26" t="inlineStr">
        <is>
          <t>No</t>
        </is>
      </c>
      <c r="L26" t="inlineStr">
        <is>
          <t>0</t>
        </is>
      </c>
      <c r="M26" t="inlineStr">
        <is>
          <t>Communicating Nursing Research Conference (9th : 1976 : Seattle, Wash.)</t>
        </is>
      </c>
      <c r="N26" t="inlineStr">
        <is>
          <t>Boulder, Colo. : Western Interstate Commission for Higher Education, 1977.</t>
        </is>
      </c>
      <c r="O26" t="inlineStr">
        <is>
          <t>1977</t>
        </is>
      </c>
      <c r="Q26" t="inlineStr">
        <is>
          <t>eng</t>
        </is>
      </c>
      <c r="R26" t="inlineStr">
        <is>
          <t>cou</t>
        </is>
      </c>
      <c r="S26" t="inlineStr">
        <is>
          <t>Communicating nursing research ; v. 9</t>
        </is>
      </c>
      <c r="T26" t="inlineStr">
        <is>
          <t xml:space="preserve">RT </t>
        </is>
      </c>
      <c r="U26" t="n">
        <v>2</v>
      </c>
      <c r="V26" t="n">
        <v>2</v>
      </c>
      <c r="W26" t="inlineStr">
        <is>
          <t>1990-01-04</t>
        </is>
      </c>
      <c r="X26" t="inlineStr">
        <is>
          <t>1990-01-04</t>
        </is>
      </c>
      <c r="Y26" t="inlineStr">
        <is>
          <t>1988-09-08</t>
        </is>
      </c>
      <c r="Z26" t="inlineStr">
        <is>
          <t>1988-09-08</t>
        </is>
      </c>
      <c r="AA26" t="n">
        <v>30</v>
      </c>
      <c r="AB26" t="n">
        <v>29</v>
      </c>
      <c r="AC26" t="n">
        <v>29</v>
      </c>
      <c r="AD26" t="n">
        <v>1</v>
      </c>
      <c r="AE26" t="n">
        <v>1</v>
      </c>
      <c r="AF26" t="n">
        <v>2</v>
      </c>
      <c r="AG26" t="n">
        <v>2</v>
      </c>
      <c r="AH26" t="n">
        <v>0</v>
      </c>
      <c r="AI26" t="n">
        <v>0</v>
      </c>
      <c r="AJ26" t="n">
        <v>0</v>
      </c>
      <c r="AK26" t="n">
        <v>0</v>
      </c>
      <c r="AL26" t="n">
        <v>2</v>
      </c>
      <c r="AM26" t="n">
        <v>2</v>
      </c>
      <c r="AN26" t="n">
        <v>0</v>
      </c>
      <c r="AO26" t="n">
        <v>0</v>
      </c>
      <c r="AP26" t="n">
        <v>0</v>
      </c>
      <c r="AQ26" t="n">
        <v>0</v>
      </c>
      <c r="AR26" t="inlineStr">
        <is>
          <t>No</t>
        </is>
      </c>
      <c r="AS26" t="inlineStr">
        <is>
          <t>No</t>
        </is>
      </c>
      <c r="AU26">
        <f>HYPERLINK("https://creighton-primo.hosted.exlibrisgroup.com/primo-explore/search?tab=default_tab&amp;search_scope=EVERYTHING&amp;vid=01CRU&amp;lang=en_US&amp;offset=0&amp;query=any,contains,991000828989702656","Catalog Record")</f>
        <v/>
      </c>
      <c r="AV26">
        <f>HYPERLINK("http://www.worldcat.org/oclc/4407112","WorldCat Record")</f>
        <v/>
      </c>
      <c r="AW26" t="inlineStr">
        <is>
          <t>14648173:eng</t>
        </is>
      </c>
      <c r="AX26" t="inlineStr">
        <is>
          <t>4407112</t>
        </is>
      </c>
      <c r="AY26" t="inlineStr">
        <is>
          <t>991000828989702656</t>
        </is>
      </c>
      <c r="AZ26" t="inlineStr">
        <is>
          <t>991000828989702656</t>
        </is>
      </c>
      <c r="BA26" t="inlineStr">
        <is>
          <t>2256234120002656</t>
        </is>
      </c>
      <c r="BB26" t="inlineStr">
        <is>
          <t>BOOK</t>
        </is>
      </c>
      <c r="BE26" t="inlineStr">
        <is>
          <t>64956-1001</t>
        </is>
      </c>
      <c r="BF26" t="inlineStr">
        <is>
          <t>893831457</t>
        </is>
      </c>
    </row>
    <row r="27">
      <c r="A27" t="inlineStr">
        <is>
          <t>No</t>
        </is>
      </c>
      <c r="B27" t="inlineStr">
        <is>
          <t>CUHSL</t>
        </is>
      </c>
      <c r="C27" t="inlineStr">
        <is>
          <t>SHELVES</t>
        </is>
      </c>
      <c r="D27" t="inlineStr">
        <is>
          <t>IN SERIALS</t>
        </is>
      </c>
      <c r="E27" t="inlineStr">
        <is>
          <t>8IN SERIALS</t>
        </is>
      </c>
      <c r="F27" t="inlineStr">
        <is>
          <t>Influencing the future of nursing research through power and politics.</t>
        </is>
      </c>
      <c r="H27" t="inlineStr">
        <is>
          <t>No</t>
        </is>
      </c>
      <c r="I27" t="inlineStr">
        <is>
          <t>1</t>
        </is>
      </c>
      <c r="J27" t="inlineStr">
        <is>
          <t>No</t>
        </is>
      </c>
      <c r="K27" t="inlineStr">
        <is>
          <t>No</t>
        </is>
      </c>
      <c r="L27" t="inlineStr">
        <is>
          <t>0</t>
        </is>
      </c>
      <c r="M27" t="inlineStr">
        <is>
          <t>Western Society for Research in Nursing (U.S.). Conference (18th : 1985 : Denver, Colo.)</t>
        </is>
      </c>
      <c r="N27" t="inlineStr">
        <is>
          <t>Boulder, Colo. : Western Interstate Commission for Higher Education, 1985.</t>
        </is>
      </c>
      <c r="O27" t="inlineStr">
        <is>
          <t>1985</t>
        </is>
      </c>
      <c r="Q27" t="inlineStr">
        <is>
          <t>eng</t>
        </is>
      </c>
      <c r="R27" t="inlineStr">
        <is>
          <t>cou</t>
        </is>
      </c>
      <c r="S27" t="inlineStr">
        <is>
          <t>Communicating nursing research ; v. 18</t>
        </is>
      </c>
      <c r="T27" t="inlineStr">
        <is>
          <t xml:space="preserve">RT </t>
        </is>
      </c>
      <c r="U27" t="n">
        <v>2</v>
      </c>
      <c r="V27" t="n">
        <v>2</v>
      </c>
      <c r="W27" t="inlineStr">
        <is>
          <t>1990-01-04</t>
        </is>
      </c>
      <c r="X27" t="inlineStr">
        <is>
          <t>1990-01-04</t>
        </is>
      </c>
      <c r="Y27" t="inlineStr">
        <is>
          <t>1988-09-08</t>
        </is>
      </c>
      <c r="Z27" t="inlineStr">
        <is>
          <t>1988-09-08</t>
        </is>
      </c>
      <c r="AA27" t="n">
        <v>31</v>
      </c>
      <c r="AB27" t="n">
        <v>30</v>
      </c>
      <c r="AC27" t="n">
        <v>30</v>
      </c>
      <c r="AD27" t="n">
        <v>1</v>
      </c>
      <c r="AE27" t="n">
        <v>1</v>
      </c>
      <c r="AF27" t="n">
        <v>1</v>
      </c>
      <c r="AG27" t="n">
        <v>1</v>
      </c>
      <c r="AH27" t="n">
        <v>0</v>
      </c>
      <c r="AI27" t="n">
        <v>0</v>
      </c>
      <c r="AJ27" t="n">
        <v>0</v>
      </c>
      <c r="AK27" t="n">
        <v>0</v>
      </c>
      <c r="AL27" t="n">
        <v>1</v>
      </c>
      <c r="AM27" t="n">
        <v>1</v>
      </c>
      <c r="AN27" t="n">
        <v>0</v>
      </c>
      <c r="AO27" t="n">
        <v>0</v>
      </c>
      <c r="AP27" t="n">
        <v>0</v>
      </c>
      <c r="AQ27" t="n">
        <v>0</v>
      </c>
      <c r="AR27" t="inlineStr">
        <is>
          <t>No</t>
        </is>
      </c>
      <c r="AS27" t="inlineStr">
        <is>
          <t>No</t>
        </is>
      </c>
      <c r="AU27">
        <f>HYPERLINK("https://creighton-primo.hosted.exlibrisgroup.com/primo-explore/search?tab=default_tab&amp;search_scope=EVERYTHING&amp;vid=01CRU&amp;lang=en_US&amp;offset=0&amp;query=any,contains,991001329409702656","Catalog Record")</f>
        <v/>
      </c>
      <c r="AV27">
        <f>HYPERLINK("http://www.worldcat.org/oclc/20895589","WorldCat Record")</f>
        <v/>
      </c>
      <c r="AW27" t="inlineStr">
        <is>
          <t>5576659842:eng</t>
        </is>
      </c>
      <c r="AX27" t="inlineStr">
        <is>
          <t>20895589</t>
        </is>
      </c>
      <c r="AY27" t="inlineStr">
        <is>
          <t>991001329409702656</t>
        </is>
      </c>
      <c r="AZ27" t="inlineStr">
        <is>
          <t>991001329409702656</t>
        </is>
      </c>
      <c r="BA27" t="inlineStr">
        <is>
          <t>2262785720002656</t>
        </is>
      </c>
      <c r="BB27" t="inlineStr">
        <is>
          <t>BOOK</t>
        </is>
      </c>
      <c r="BE27" t="inlineStr">
        <is>
          <t>86763-1001</t>
        </is>
      </c>
      <c r="BF27" t="inlineStr">
        <is>
          <t>893632948</t>
        </is>
      </c>
    </row>
    <row r="28">
      <c r="A28" t="inlineStr">
        <is>
          <t>No</t>
        </is>
      </c>
      <c r="B28" t="inlineStr">
        <is>
          <t>CUHSL</t>
        </is>
      </c>
      <c r="C28" t="inlineStr">
        <is>
          <t>SHELVES</t>
        </is>
      </c>
      <c r="D28" t="inlineStr">
        <is>
          <t>IN SERIALS</t>
        </is>
      </c>
      <c r="E28" t="inlineStr">
        <is>
          <t>8IN SERIALS</t>
        </is>
      </c>
      <c r="F28" t="inlineStr">
        <is>
          <t>Humanizing nursing education : a confluent approach through group process / Virginia G. King, Norma A. Gerwig.</t>
        </is>
      </c>
      <c r="H28" t="inlineStr">
        <is>
          <t>No</t>
        </is>
      </c>
      <c r="I28" t="inlineStr">
        <is>
          <t>1</t>
        </is>
      </c>
      <c r="J28" t="inlineStr">
        <is>
          <t>No</t>
        </is>
      </c>
      <c r="K28" t="inlineStr">
        <is>
          <t>No</t>
        </is>
      </c>
      <c r="L28" t="inlineStr">
        <is>
          <t>0</t>
        </is>
      </c>
      <c r="M28" t="inlineStr">
        <is>
          <t>King, Virginia G.</t>
        </is>
      </c>
      <c r="N28" t="inlineStr">
        <is>
          <t>Wakefield, Mass. : Nursing Resources, c1981.</t>
        </is>
      </c>
      <c r="O28" t="inlineStr">
        <is>
          <t>1981</t>
        </is>
      </c>
      <c r="P28" t="inlineStr">
        <is>
          <t>1st ed.</t>
        </is>
      </c>
      <c r="Q28" t="inlineStr">
        <is>
          <t>eng</t>
        </is>
      </c>
      <c r="R28" t="inlineStr">
        <is>
          <t>mau</t>
        </is>
      </c>
      <c r="S28" t="inlineStr">
        <is>
          <t>Nursing dimensions education series ; v. 1, no. 4, 1980</t>
        </is>
      </c>
      <c r="T28" t="inlineStr">
        <is>
          <t xml:space="preserve">RT </t>
        </is>
      </c>
      <c r="U28" t="n">
        <v>4</v>
      </c>
      <c r="V28" t="n">
        <v>4</v>
      </c>
      <c r="W28" t="inlineStr">
        <is>
          <t>1992-06-20</t>
        </is>
      </c>
      <c r="X28" t="inlineStr">
        <is>
          <t>1992-06-20</t>
        </is>
      </c>
      <c r="Y28" t="inlineStr">
        <is>
          <t>1989-08-14</t>
        </is>
      </c>
      <c r="Z28" t="inlineStr">
        <is>
          <t>1989-08-14</t>
        </is>
      </c>
      <c r="AA28" t="n">
        <v>214</v>
      </c>
      <c r="AB28" t="n">
        <v>190</v>
      </c>
      <c r="AC28" t="n">
        <v>197</v>
      </c>
      <c r="AD28" t="n">
        <v>1</v>
      </c>
      <c r="AE28" t="n">
        <v>1</v>
      </c>
      <c r="AF28" t="n">
        <v>8</v>
      </c>
      <c r="AG28" t="n">
        <v>9</v>
      </c>
      <c r="AH28" t="n">
        <v>5</v>
      </c>
      <c r="AI28" t="n">
        <v>6</v>
      </c>
      <c r="AJ28" t="n">
        <v>0</v>
      </c>
      <c r="AK28" t="n">
        <v>0</v>
      </c>
      <c r="AL28" t="n">
        <v>4</v>
      </c>
      <c r="AM28" t="n">
        <v>4</v>
      </c>
      <c r="AN28" t="n">
        <v>0</v>
      </c>
      <c r="AO28" t="n">
        <v>0</v>
      </c>
      <c r="AP28" t="n">
        <v>0</v>
      </c>
      <c r="AQ28" t="n">
        <v>0</v>
      </c>
      <c r="AR28" t="inlineStr">
        <is>
          <t>No</t>
        </is>
      </c>
      <c r="AS28" t="inlineStr">
        <is>
          <t>No</t>
        </is>
      </c>
      <c r="AU28">
        <f>HYPERLINK("https://creighton-primo.hosted.exlibrisgroup.com/primo-explore/search?tab=default_tab&amp;search_scope=EVERYTHING&amp;vid=01CRU&amp;lang=en_US&amp;offset=0&amp;query=any,contains,991001546659702656","Catalog Record")</f>
        <v/>
      </c>
      <c r="AV28">
        <f>HYPERLINK("http://www.worldcat.org/oclc/7773492","WorldCat Record")</f>
        <v/>
      </c>
      <c r="AW28" t="inlineStr">
        <is>
          <t>558479:eng</t>
        </is>
      </c>
      <c r="AX28" t="inlineStr">
        <is>
          <t>7773492</t>
        </is>
      </c>
      <c r="AY28" t="inlineStr">
        <is>
          <t>991001546659702656</t>
        </is>
      </c>
      <c r="AZ28" t="inlineStr">
        <is>
          <t>991001546659702656</t>
        </is>
      </c>
      <c r="BA28" t="inlineStr">
        <is>
          <t>2267950510002656</t>
        </is>
      </c>
      <c r="BB28" t="inlineStr">
        <is>
          <t>BOOK</t>
        </is>
      </c>
      <c r="BD28" t="inlineStr">
        <is>
          <t>9780913654699</t>
        </is>
      </c>
      <c r="BE28" t="inlineStr">
        <is>
          <t>92579-1001</t>
        </is>
      </c>
      <c r="BF28" t="inlineStr">
        <is>
          <t>893821333</t>
        </is>
      </c>
    </row>
    <row r="29">
      <c r="A29" t="inlineStr">
        <is>
          <t>No</t>
        </is>
      </c>
      <c r="B29" t="inlineStr">
        <is>
          <t>CUHSL</t>
        </is>
      </c>
      <c r="C29" t="inlineStr">
        <is>
          <t>SHELVES</t>
        </is>
      </c>
      <c r="D29" t="inlineStr">
        <is>
          <t>IN SERIALS</t>
        </is>
      </c>
      <c r="E29" t="inlineStr">
        <is>
          <t>8IN SERIALS</t>
        </is>
      </c>
      <c r="F29" t="inlineStr">
        <is>
          <t>Optimizing environments for health : Nursing's unique perspective / edited by Marjorie V. Batey.</t>
        </is>
      </c>
      <c r="H29" t="inlineStr">
        <is>
          <t>No</t>
        </is>
      </c>
      <c r="I29" t="inlineStr">
        <is>
          <t>1</t>
        </is>
      </c>
      <c r="J29" t="inlineStr">
        <is>
          <t>No</t>
        </is>
      </c>
      <c r="K29" t="inlineStr">
        <is>
          <t>No</t>
        </is>
      </c>
      <c r="L29" t="inlineStr">
        <is>
          <t>0</t>
        </is>
      </c>
      <c r="N29" t="inlineStr">
        <is>
          <t>Boulder, Colo.: Western Interstate Commission for Higher Education, September 1977.</t>
        </is>
      </c>
      <c r="O29" t="inlineStr">
        <is>
          <t>1977</t>
        </is>
      </c>
      <c r="Q29" t="inlineStr">
        <is>
          <t>eng</t>
        </is>
      </c>
      <c r="R29" t="inlineStr">
        <is>
          <t>cou</t>
        </is>
      </c>
      <c r="S29" t="inlineStr">
        <is>
          <t>Communicating nursing research ; v. 10</t>
        </is>
      </c>
      <c r="T29" t="inlineStr">
        <is>
          <t xml:space="preserve">RT </t>
        </is>
      </c>
      <c r="U29" t="n">
        <v>12</v>
      </c>
      <c r="V29" t="n">
        <v>12</v>
      </c>
      <c r="W29" t="inlineStr">
        <is>
          <t>1994-08-30</t>
        </is>
      </c>
      <c r="X29" t="inlineStr">
        <is>
          <t>1994-08-30</t>
        </is>
      </c>
      <c r="Y29" t="inlineStr">
        <is>
          <t>1988-09-08</t>
        </is>
      </c>
      <c r="Z29" t="inlineStr">
        <is>
          <t>1988-09-08</t>
        </is>
      </c>
      <c r="AA29" t="n">
        <v>20</v>
      </c>
      <c r="AB29" t="n">
        <v>20</v>
      </c>
      <c r="AC29" t="n">
        <v>20</v>
      </c>
      <c r="AD29" t="n">
        <v>2</v>
      </c>
      <c r="AE29" t="n">
        <v>2</v>
      </c>
      <c r="AF29" t="n">
        <v>2</v>
      </c>
      <c r="AG29" t="n">
        <v>2</v>
      </c>
      <c r="AH29" t="n">
        <v>0</v>
      </c>
      <c r="AI29" t="n">
        <v>0</v>
      </c>
      <c r="AJ29" t="n">
        <v>0</v>
      </c>
      <c r="AK29" t="n">
        <v>0</v>
      </c>
      <c r="AL29" t="n">
        <v>1</v>
      </c>
      <c r="AM29" t="n">
        <v>1</v>
      </c>
      <c r="AN29" t="n">
        <v>1</v>
      </c>
      <c r="AO29" t="n">
        <v>1</v>
      </c>
      <c r="AP29" t="n">
        <v>0</v>
      </c>
      <c r="AQ29" t="n">
        <v>0</v>
      </c>
      <c r="AR29" t="inlineStr">
        <is>
          <t>No</t>
        </is>
      </c>
      <c r="AS29" t="inlineStr">
        <is>
          <t>No</t>
        </is>
      </c>
      <c r="AU29">
        <f>HYPERLINK("https://creighton-primo.hosted.exlibrisgroup.com/primo-explore/search?tab=default_tab&amp;search_scope=EVERYTHING&amp;vid=01CRU&amp;lang=en_US&amp;offset=0&amp;query=any,contains,991000829039702656","Catalog Record")</f>
        <v/>
      </c>
      <c r="AV29">
        <f>HYPERLINK("http://www.worldcat.org/oclc/3727791","WorldCat Record")</f>
        <v/>
      </c>
      <c r="AW29" t="inlineStr">
        <is>
          <t>12352470:eng</t>
        </is>
      </c>
      <c r="AX29" t="inlineStr">
        <is>
          <t>3727791</t>
        </is>
      </c>
      <c r="AY29" t="inlineStr">
        <is>
          <t>991000829039702656</t>
        </is>
      </c>
      <c r="AZ29" t="inlineStr">
        <is>
          <t>991000829039702656</t>
        </is>
      </c>
      <c r="BA29" t="inlineStr">
        <is>
          <t>2263498010002656</t>
        </is>
      </c>
      <c r="BB29" t="inlineStr">
        <is>
          <t>BOOK</t>
        </is>
      </c>
      <c r="BE29" t="inlineStr">
        <is>
          <t>64957-1001</t>
        </is>
      </c>
      <c r="BF29" t="inlineStr">
        <is>
          <t>893560671</t>
        </is>
      </c>
    </row>
    <row r="30">
      <c r="A30" t="inlineStr">
        <is>
          <t>No</t>
        </is>
      </c>
      <c r="B30" t="inlineStr">
        <is>
          <t>CUHSL</t>
        </is>
      </c>
      <c r="C30" t="inlineStr">
        <is>
          <t>SHELVES</t>
        </is>
      </c>
      <c r="D30" t="inlineStr">
        <is>
          <t>IN SERIALS</t>
        </is>
      </c>
      <c r="E30" t="inlineStr">
        <is>
          <t>8IN SERIALS</t>
        </is>
      </c>
      <c r="F30" t="inlineStr">
        <is>
          <t>Communicating nursing research : the research critique / Edited by Marjorie V. Batey.</t>
        </is>
      </c>
      <c r="H30" t="inlineStr">
        <is>
          <t>No</t>
        </is>
      </c>
      <c r="I30" t="inlineStr">
        <is>
          <t>1</t>
        </is>
      </c>
      <c r="J30" t="inlineStr">
        <is>
          <t>No</t>
        </is>
      </c>
      <c r="K30" t="inlineStr">
        <is>
          <t>No</t>
        </is>
      </c>
      <c r="L30" t="inlineStr">
        <is>
          <t>0</t>
        </is>
      </c>
      <c r="N30" t="inlineStr">
        <is>
          <t>Boulder, Colo. : Western Interstate Commission for Higher Education, 1968.</t>
        </is>
      </c>
      <c r="O30" t="inlineStr">
        <is>
          <t>1968</t>
        </is>
      </c>
      <c r="Q30" t="inlineStr">
        <is>
          <t>eng</t>
        </is>
      </c>
      <c r="R30" t="inlineStr">
        <is>
          <t>cou</t>
        </is>
      </c>
      <c r="T30" t="inlineStr">
        <is>
          <t xml:space="preserve">RT </t>
        </is>
      </c>
      <c r="U30" t="n">
        <v>2</v>
      </c>
      <c r="V30" t="n">
        <v>2</v>
      </c>
      <c r="W30" t="inlineStr">
        <is>
          <t>1990-01-04</t>
        </is>
      </c>
      <c r="X30" t="inlineStr">
        <is>
          <t>1990-01-04</t>
        </is>
      </c>
      <c r="Y30" t="inlineStr">
        <is>
          <t>1988-09-07</t>
        </is>
      </c>
      <c r="Z30" t="inlineStr">
        <is>
          <t>1988-09-07</t>
        </is>
      </c>
      <c r="AA30" t="n">
        <v>50</v>
      </c>
      <c r="AB30" t="n">
        <v>41</v>
      </c>
      <c r="AC30" t="n">
        <v>41</v>
      </c>
      <c r="AD30" t="n">
        <v>1</v>
      </c>
      <c r="AE30" t="n">
        <v>1</v>
      </c>
      <c r="AF30" t="n">
        <v>4</v>
      </c>
      <c r="AG30" t="n">
        <v>4</v>
      </c>
      <c r="AH30" t="n">
        <v>0</v>
      </c>
      <c r="AI30" t="n">
        <v>0</v>
      </c>
      <c r="AJ30" t="n">
        <v>0</v>
      </c>
      <c r="AK30" t="n">
        <v>0</v>
      </c>
      <c r="AL30" t="n">
        <v>4</v>
      </c>
      <c r="AM30" t="n">
        <v>4</v>
      </c>
      <c r="AN30" t="n">
        <v>0</v>
      </c>
      <c r="AO30" t="n">
        <v>0</v>
      </c>
      <c r="AP30" t="n">
        <v>0</v>
      </c>
      <c r="AQ30" t="n">
        <v>0</v>
      </c>
      <c r="AR30" t="inlineStr">
        <is>
          <t>No</t>
        </is>
      </c>
      <c r="AS30" t="inlineStr">
        <is>
          <t>No</t>
        </is>
      </c>
      <c r="AU30">
        <f>HYPERLINK("https://creighton-primo.hosted.exlibrisgroup.com/primo-explore/search?tab=default_tab&amp;search_scope=EVERYTHING&amp;vid=01CRU&amp;lang=en_US&amp;offset=0&amp;query=any,contains,991000828729702656","Catalog Record")</f>
        <v/>
      </c>
      <c r="AV30">
        <f>HYPERLINK("http://www.worldcat.org/oclc/380002","WorldCat Record")</f>
        <v/>
      </c>
      <c r="AW30" t="inlineStr">
        <is>
          <t>1485295:eng</t>
        </is>
      </c>
      <c r="AX30" t="inlineStr">
        <is>
          <t>380002</t>
        </is>
      </c>
      <c r="AY30" t="inlineStr">
        <is>
          <t>991000828729702656</t>
        </is>
      </c>
      <c r="AZ30" t="inlineStr">
        <is>
          <t>991000828729702656</t>
        </is>
      </c>
      <c r="BA30" t="inlineStr">
        <is>
          <t>2260936760002656</t>
        </is>
      </c>
      <c r="BB30" t="inlineStr">
        <is>
          <t>BOOK</t>
        </is>
      </c>
      <c r="BE30" t="inlineStr">
        <is>
          <t>64951-1001</t>
        </is>
      </c>
      <c r="BF30" t="inlineStr">
        <is>
          <t>893161240</t>
        </is>
      </c>
    </row>
    <row r="31">
      <c r="A31" t="inlineStr">
        <is>
          <t>No</t>
        </is>
      </c>
      <c r="B31" t="inlineStr">
        <is>
          <t>CUHSL</t>
        </is>
      </c>
      <c r="C31" t="inlineStr">
        <is>
          <t>SHELVES</t>
        </is>
      </c>
      <c r="D31" t="inlineStr">
        <is>
          <t>LOCATED IN SERIAL COLLECTION</t>
        </is>
      </c>
      <c r="E31" t="inlineStr">
        <is>
          <t>8LOCATED IN SERIAL COLLECTION</t>
        </is>
      </c>
      <c r="F31" t="inlineStr">
        <is>
          <t>A guide for effective clinical instruction / Lynda Juall Carpenito, T. Audean Duespohl.</t>
        </is>
      </c>
      <c r="H31" t="inlineStr">
        <is>
          <t>No</t>
        </is>
      </c>
      <c r="I31" t="inlineStr">
        <is>
          <t>1</t>
        </is>
      </c>
      <c r="J31" t="inlineStr">
        <is>
          <t>No</t>
        </is>
      </c>
      <c r="K31" t="inlineStr">
        <is>
          <t>Yes</t>
        </is>
      </c>
      <c r="L31" t="inlineStr">
        <is>
          <t>0</t>
        </is>
      </c>
      <c r="M31" t="inlineStr">
        <is>
          <t>Carpenito, Lynda Juall.</t>
        </is>
      </c>
      <c r="N31" t="inlineStr">
        <is>
          <t>Wakefield, Mass. : Nursing Resources, c1981.</t>
        </is>
      </c>
      <c r="O31" t="inlineStr">
        <is>
          <t>1981</t>
        </is>
      </c>
      <c r="Q31" t="inlineStr">
        <is>
          <t>eng</t>
        </is>
      </c>
      <c r="R31" t="inlineStr">
        <is>
          <t>xxu</t>
        </is>
      </c>
      <c r="S31" t="inlineStr">
        <is>
          <t>Nursing dimensions education series ; v. 2, no. 3</t>
        </is>
      </c>
      <c r="T31" t="inlineStr">
        <is>
          <t xml:space="preserve">RT </t>
        </is>
      </c>
      <c r="U31" t="n">
        <v>3</v>
      </c>
      <c r="V31" t="n">
        <v>3</v>
      </c>
      <c r="W31" t="inlineStr">
        <is>
          <t>1992-04-03</t>
        </is>
      </c>
      <c r="X31" t="inlineStr">
        <is>
          <t>1992-04-03</t>
        </is>
      </c>
      <c r="Y31" t="inlineStr">
        <is>
          <t>1989-08-14</t>
        </is>
      </c>
      <c r="Z31" t="inlineStr">
        <is>
          <t>1989-08-14</t>
        </is>
      </c>
      <c r="AA31" t="n">
        <v>188</v>
      </c>
      <c r="AB31" t="n">
        <v>175</v>
      </c>
      <c r="AC31" t="n">
        <v>355</v>
      </c>
      <c r="AD31" t="n">
        <v>2</v>
      </c>
      <c r="AE31" t="n">
        <v>3</v>
      </c>
      <c r="AF31" t="n">
        <v>5</v>
      </c>
      <c r="AG31" t="n">
        <v>12</v>
      </c>
      <c r="AH31" t="n">
        <v>2</v>
      </c>
      <c r="AI31" t="n">
        <v>4</v>
      </c>
      <c r="AJ31" t="n">
        <v>0</v>
      </c>
      <c r="AK31" t="n">
        <v>1</v>
      </c>
      <c r="AL31" t="n">
        <v>3</v>
      </c>
      <c r="AM31" t="n">
        <v>7</v>
      </c>
      <c r="AN31" t="n">
        <v>1</v>
      </c>
      <c r="AO31" t="n">
        <v>2</v>
      </c>
      <c r="AP31" t="n">
        <v>0</v>
      </c>
      <c r="AQ31" t="n">
        <v>0</v>
      </c>
      <c r="AR31" t="inlineStr">
        <is>
          <t>No</t>
        </is>
      </c>
      <c r="AS31" t="inlineStr">
        <is>
          <t>Yes</t>
        </is>
      </c>
      <c r="AT31">
        <f>HYPERLINK("http://catalog.hathitrust.org/Record/006158277","HathiTrust Record")</f>
        <v/>
      </c>
      <c r="AU31">
        <f>HYPERLINK("https://creighton-primo.hosted.exlibrisgroup.com/primo-explore/search?tab=default_tab&amp;search_scope=EVERYTHING&amp;vid=01CRU&amp;lang=en_US&amp;offset=0&amp;query=any,contains,991001546979702656","Catalog Record")</f>
        <v/>
      </c>
      <c r="AV31">
        <f>HYPERLINK("http://www.worldcat.org/oclc/7924061","WorldCat Record")</f>
        <v/>
      </c>
      <c r="AW31" t="inlineStr">
        <is>
          <t>4138534:eng</t>
        </is>
      </c>
      <c r="AX31" t="inlineStr">
        <is>
          <t>7924061</t>
        </is>
      </c>
      <c r="AY31" t="inlineStr">
        <is>
          <t>991001546979702656</t>
        </is>
      </c>
      <c r="AZ31" t="inlineStr">
        <is>
          <t>991001546979702656</t>
        </is>
      </c>
      <c r="BA31" t="inlineStr">
        <is>
          <t>2254866500002656</t>
        </is>
      </c>
      <c r="BB31" t="inlineStr">
        <is>
          <t>BOOK</t>
        </is>
      </c>
      <c r="BD31" t="inlineStr">
        <is>
          <t>9780913654781</t>
        </is>
      </c>
      <c r="BE31" t="inlineStr">
        <is>
          <t>92588-1001</t>
        </is>
      </c>
      <c r="BF31" t="inlineStr">
        <is>
          <t>893149327</t>
        </is>
      </c>
    </row>
    <row r="32">
      <c r="A32" t="inlineStr">
        <is>
          <t>No</t>
        </is>
      </c>
      <c r="B32" t="inlineStr">
        <is>
          <t>CUHSL</t>
        </is>
      </c>
      <c r="C32" t="inlineStr">
        <is>
          <t>SHELVES</t>
        </is>
      </c>
      <c r="D32" t="inlineStr">
        <is>
          <t>LOCATED IN SERIAL COLLECTION</t>
        </is>
      </c>
      <c r="E32" t="inlineStr">
        <is>
          <t>8LOCATED IN SERIAL COLLECTION</t>
        </is>
      </c>
      <c r="F32" t="inlineStr">
        <is>
          <t>Nursing research priorities : choice or chance / edited by Marjorie V. Batey.</t>
        </is>
      </c>
      <c r="H32" t="inlineStr">
        <is>
          <t>No</t>
        </is>
      </c>
      <c r="I32" t="inlineStr">
        <is>
          <t>1</t>
        </is>
      </c>
      <c r="J32" t="inlineStr">
        <is>
          <t>No</t>
        </is>
      </c>
      <c r="K32" t="inlineStr">
        <is>
          <t>No</t>
        </is>
      </c>
      <c r="L32" t="inlineStr">
        <is>
          <t>0</t>
        </is>
      </c>
      <c r="M32" t="inlineStr">
        <is>
          <t>WICHE Nursing Research Conference (8th : 1975 : Phoenix, Ariz.)</t>
        </is>
      </c>
      <c r="N32" t="inlineStr">
        <is>
          <t>Boulder, Colo. : Western Interstate Commission for Higher Education, 1977.</t>
        </is>
      </c>
      <c r="O32" t="inlineStr">
        <is>
          <t>1977</t>
        </is>
      </c>
      <c r="Q32" t="inlineStr">
        <is>
          <t>eng</t>
        </is>
      </c>
      <c r="R32" t="inlineStr">
        <is>
          <t xml:space="preserve">xx </t>
        </is>
      </c>
      <c r="S32" t="inlineStr">
        <is>
          <t>Communicating nursing research ; v. 8</t>
        </is>
      </c>
      <c r="T32" t="inlineStr">
        <is>
          <t xml:space="preserve">RT </t>
        </is>
      </c>
      <c r="U32" t="n">
        <v>2</v>
      </c>
      <c r="V32" t="n">
        <v>2</v>
      </c>
      <c r="W32" t="inlineStr">
        <is>
          <t>1990-01-04</t>
        </is>
      </c>
      <c r="X32" t="inlineStr">
        <is>
          <t>1990-01-04</t>
        </is>
      </c>
      <c r="Y32" t="inlineStr">
        <is>
          <t>1988-09-08</t>
        </is>
      </c>
      <c r="Z32" t="inlineStr">
        <is>
          <t>1988-09-08</t>
        </is>
      </c>
      <c r="AA32" t="n">
        <v>21</v>
      </c>
      <c r="AB32" t="n">
        <v>21</v>
      </c>
      <c r="AC32" t="n">
        <v>26</v>
      </c>
      <c r="AD32" t="n">
        <v>1</v>
      </c>
      <c r="AE32" t="n">
        <v>1</v>
      </c>
      <c r="AF32" t="n">
        <v>2</v>
      </c>
      <c r="AG32" t="n">
        <v>3</v>
      </c>
      <c r="AH32" t="n">
        <v>0</v>
      </c>
      <c r="AI32" t="n">
        <v>0</v>
      </c>
      <c r="AJ32" t="n">
        <v>0</v>
      </c>
      <c r="AK32" t="n">
        <v>0</v>
      </c>
      <c r="AL32" t="n">
        <v>2</v>
      </c>
      <c r="AM32" t="n">
        <v>3</v>
      </c>
      <c r="AN32" t="n">
        <v>0</v>
      </c>
      <c r="AO32" t="n">
        <v>0</v>
      </c>
      <c r="AP32" t="n">
        <v>0</v>
      </c>
      <c r="AQ32" t="n">
        <v>0</v>
      </c>
      <c r="AR32" t="inlineStr">
        <is>
          <t>No</t>
        </is>
      </c>
      <c r="AS32" t="inlineStr">
        <is>
          <t>No</t>
        </is>
      </c>
      <c r="AU32">
        <f>HYPERLINK("https://creighton-primo.hosted.exlibrisgroup.com/primo-explore/search?tab=default_tab&amp;search_scope=EVERYTHING&amp;vid=01CRU&amp;lang=en_US&amp;offset=0&amp;query=any,contains,991000828939702656","Catalog Record")</f>
        <v/>
      </c>
      <c r="AV32">
        <f>HYPERLINK("http://www.worldcat.org/oclc/3098590","WorldCat Record")</f>
        <v/>
      </c>
      <c r="AW32" t="inlineStr">
        <is>
          <t>1376884603:eng</t>
        </is>
      </c>
      <c r="AX32" t="inlineStr">
        <is>
          <t>3098590</t>
        </is>
      </c>
      <c r="AY32" t="inlineStr">
        <is>
          <t>991000828939702656</t>
        </is>
      </c>
      <c r="AZ32" t="inlineStr">
        <is>
          <t>991000828939702656</t>
        </is>
      </c>
      <c r="BA32" t="inlineStr">
        <is>
          <t>2264774940002656</t>
        </is>
      </c>
      <c r="BB32" t="inlineStr">
        <is>
          <t>BOOK</t>
        </is>
      </c>
      <c r="BE32" t="inlineStr">
        <is>
          <t>64955-1001</t>
        </is>
      </c>
      <c r="BF32" t="inlineStr">
        <is>
          <t>893743507</t>
        </is>
      </c>
    </row>
    <row r="33">
      <c r="A33" t="inlineStr">
        <is>
          <t>No</t>
        </is>
      </c>
      <c r="B33" t="inlineStr">
        <is>
          <t>CUHSL</t>
        </is>
      </c>
      <c r="C33" t="inlineStr">
        <is>
          <t>SHELVES</t>
        </is>
      </c>
      <c r="D33" t="inlineStr">
        <is>
          <t>LOCATED IN SERIAL COLLECTION</t>
        </is>
      </c>
      <c r="E33" t="inlineStr">
        <is>
          <t>8LOCATED IN SERIAL COLLECTION</t>
        </is>
      </c>
      <c r="F33" t="inlineStr">
        <is>
          <t>Self-directed learning in nursing / edited by Signe S. Cooper.</t>
        </is>
      </c>
      <c r="H33" t="inlineStr">
        <is>
          <t>No</t>
        </is>
      </c>
      <c r="I33" t="inlineStr">
        <is>
          <t>1</t>
        </is>
      </c>
      <c r="J33" t="inlineStr">
        <is>
          <t>No</t>
        </is>
      </c>
      <c r="K33" t="inlineStr">
        <is>
          <t>No</t>
        </is>
      </c>
      <c r="L33" t="inlineStr">
        <is>
          <t>0</t>
        </is>
      </c>
      <c r="N33" t="inlineStr">
        <is>
          <t>Wakefield, MA. : Nursing Resources, 1980.</t>
        </is>
      </c>
      <c r="O33" t="inlineStr">
        <is>
          <t>1980</t>
        </is>
      </c>
      <c r="P33" t="inlineStr">
        <is>
          <t>1st ed.</t>
        </is>
      </c>
      <c r="Q33" t="inlineStr">
        <is>
          <t>eng</t>
        </is>
      </c>
      <c r="R33" t="inlineStr">
        <is>
          <t>mau</t>
        </is>
      </c>
      <c r="S33" t="inlineStr">
        <is>
          <t>Nursing Dimensions Series: Focus Education, vol. 1, no. 2</t>
        </is>
      </c>
      <c r="T33" t="inlineStr">
        <is>
          <t xml:space="preserve">RT </t>
        </is>
      </c>
      <c r="U33" t="n">
        <v>7</v>
      </c>
      <c r="V33" t="n">
        <v>7</v>
      </c>
      <c r="W33" t="inlineStr">
        <is>
          <t>1991-12-08</t>
        </is>
      </c>
      <c r="X33" t="inlineStr">
        <is>
          <t>1991-12-08</t>
        </is>
      </c>
      <c r="Y33" t="inlineStr">
        <is>
          <t>1989-08-14</t>
        </is>
      </c>
      <c r="Z33" t="inlineStr">
        <is>
          <t>1989-08-14</t>
        </is>
      </c>
      <c r="AA33" t="n">
        <v>227</v>
      </c>
      <c r="AB33" t="n">
        <v>191</v>
      </c>
      <c r="AC33" t="n">
        <v>194</v>
      </c>
      <c r="AD33" t="n">
        <v>4</v>
      </c>
      <c r="AE33" t="n">
        <v>4</v>
      </c>
      <c r="AF33" t="n">
        <v>9</v>
      </c>
      <c r="AG33" t="n">
        <v>9</v>
      </c>
      <c r="AH33" t="n">
        <v>1</v>
      </c>
      <c r="AI33" t="n">
        <v>1</v>
      </c>
      <c r="AJ33" t="n">
        <v>3</v>
      </c>
      <c r="AK33" t="n">
        <v>3</v>
      </c>
      <c r="AL33" t="n">
        <v>4</v>
      </c>
      <c r="AM33" t="n">
        <v>4</v>
      </c>
      <c r="AN33" t="n">
        <v>2</v>
      </c>
      <c r="AO33" t="n">
        <v>2</v>
      </c>
      <c r="AP33" t="n">
        <v>0</v>
      </c>
      <c r="AQ33" t="n">
        <v>0</v>
      </c>
      <c r="AR33" t="inlineStr">
        <is>
          <t>No</t>
        </is>
      </c>
      <c r="AS33" t="inlineStr">
        <is>
          <t>Yes</t>
        </is>
      </c>
      <c r="AT33">
        <f>HYPERLINK("http://catalog.hathitrust.org/Record/000221178","HathiTrust Record")</f>
        <v/>
      </c>
      <c r="AU33">
        <f>HYPERLINK("https://creighton-primo.hosted.exlibrisgroup.com/primo-explore/search?tab=default_tab&amp;search_scope=EVERYTHING&amp;vid=01CRU&amp;lang=en_US&amp;offset=0&amp;query=any,contains,991001546819702656","Catalog Record")</f>
        <v/>
      </c>
      <c r="AV33">
        <f>HYPERLINK("http://www.worldcat.org/oclc/6593945","WorldCat Record")</f>
        <v/>
      </c>
      <c r="AW33" t="inlineStr">
        <is>
          <t>23327156:eng</t>
        </is>
      </c>
      <c r="AX33" t="inlineStr">
        <is>
          <t>6593945</t>
        </is>
      </c>
      <c r="AY33" t="inlineStr">
        <is>
          <t>991001546819702656</t>
        </is>
      </c>
      <c r="AZ33" t="inlineStr">
        <is>
          <t>991001546819702656</t>
        </is>
      </c>
      <c r="BA33" t="inlineStr">
        <is>
          <t>2257728690002656</t>
        </is>
      </c>
      <c r="BB33" t="inlineStr">
        <is>
          <t>BOOK</t>
        </is>
      </c>
      <c r="BD33" t="inlineStr">
        <is>
          <t>9780913654644</t>
        </is>
      </c>
      <c r="BE33" t="inlineStr">
        <is>
          <t>92584-1001</t>
        </is>
      </c>
      <c r="BF33" t="inlineStr">
        <is>
          <t>893374721</t>
        </is>
      </c>
    </row>
    <row r="34">
      <c r="A34" t="inlineStr">
        <is>
          <t>No</t>
        </is>
      </c>
      <c r="B34" t="inlineStr">
        <is>
          <t>CUHSL</t>
        </is>
      </c>
      <c r="C34" t="inlineStr">
        <is>
          <t>SHELVES</t>
        </is>
      </c>
      <c r="D34" t="inlineStr">
        <is>
          <t>WY 2 F143 1981</t>
        </is>
      </c>
      <c r="E34" t="inlineStr">
        <is>
          <t>0                      WY 0002000F  143         1981</t>
        </is>
      </c>
      <c r="F34" t="inlineStr">
        <is>
          <t>Faculty research development grants : a follow-up report / Doris R. Schwartz.</t>
        </is>
      </c>
      <c r="H34" t="inlineStr">
        <is>
          <t>No</t>
        </is>
      </c>
      <c r="I34" t="inlineStr">
        <is>
          <t>1</t>
        </is>
      </c>
      <c r="J34" t="inlineStr">
        <is>
          <t>No</t>
        </is>
      </c>
      <c r="K34" t="inlineStr">
        <is>
          <t>No</t>
        </is>
      </c>
      <c r="L34" t="inlineStr">
        <is>
          <t>0</t>
        </is>
      </c>
      <c r="M34" t="inlineStr">
        <is>
          <t>Schwartz, Doris R.</t>
        </is>
      </c>
      <c r="N34" t="inlineStr">
        <is>
          <t>New York : National League for Nursing, c1981.</t>
        </is>
      </c>
      <c r="O34" t="inlineStr">
        <is>
          <t>1981</t>
        </is>
      </c>
      <c r="Q34" t="inlineStr">
        <is>
          <t>eng</t>
        </is>
      </c>
      <c r="R34" t="inlineStr">
        <is>
          <t>nyu</t>
        </is>
      </c>
      <c r="S34" t="inlineStr">
        <is>
          <t>League exchange ; no. 126 [i.e. 125]</t>
        </is>
      </c>
      <c r="T34" t="inlineStr">
        <is>
          <t xml:space="preserve">WY </t>
        </is>
      </c>
      <c r="U34" t="n">
        <v>3</v>
      </c>
      <c r="V34" t="n">
        <v>3</v>
      </c>
      <c r="W34" t="inlineStr">
        <is>
          <t>1993-10-20</t>
        </is>
      </c>
      <c r="X34" t="inlineStr">
        <is>
          <t>1993-10-20</t>
        </is>
      </c>
      <c r="Y34" t="inlineStr">
        <is>
          <t>1987-10-27</t>
        </is>
      </c>
      <c r="Z34" t="inlineStr">
        <is>
          <t>1987-10-27</t>
        </is>
      </c>
      <c r="AA34" t="n">
        <v>87</v>
      </c>
      <c r="AB34" t="n">
        <v>79</v>
      </c>
      <c r="AC34" t="n">
        <v>81</v>
      </c>
      <c r="AD34" t="n">
        <v>1</v>
      </c>
      <c r="AE34" t="n">
        <v>1</v>
      </c>
      <c r="AF34" t="n">
        <v>2</v>
      </c>
      <c r="AG34" t="n">
        <v>2</v>
      </c>
      <c r="AH34" t="n">
        <v>0</v>
      </c>
      <c r="AI34" t="n">
        <v>0</v>
      </c>
      <c r="AJ34" t="n">
        <v>0</v>
      </c>
      <c r="AK34" t="n">
        <v>0</v>
      </c>
      <c r="AL34" t="n">
        <v>2</v>
      </c>
      <c r="AM34" t="n">
        <v>2</v>
      </c>
      <c r="AN34" t="n">
        <v>0</v>
      </c>
      <c r="AO34" t="n">
        <v>0</v>
      </c>
      <c r="AP34" t="n">
        <v>0</v>
      </c>
      <c r="AQ34" t="n">
        <v>0</v>
      </c>
      <c r="AR34" t="inlineStr">
        <is>
          <t>No</t>
        </is>
      </c>
      <c r="AS34" t="inlineStr">
        <is>
          <t>Yes</t>
        </is>
      </c>
      <c r="AT34">
        <f>HYPERLINK("http://catalog.hathitrust.org/Record/001550547","HathiTrust Record")</f>
        <v/>
      </c>
      <c r="AU34">
        <f>HYPERLINK("https://creighton-primo.hosted.exlibrisgroup.com/primo-explore/search?tab=default_tab&amp;search_scope=EVERYTHING&amp;vid=01CRU&amp;lang=en_US&amp;offset=0&amp;query=any,contains,991001371589702656","Catalog Record")</f>
        <v/>
      </c>
      <c r="AV34">
        <f>HYPERLINK("http://www.worldcat.org/oclc/7441612","WorldCat Record")</f>
        <v/>
      </c>
      <c r="AW34" t="inlineStr">
        <is>
          <t>43015149:eng</t>
        </is>
      </c>
      <c r="AX34" t="inlineStr">
        <is>
          <t>7441612</t>
        </is>
      </c>
      <c r="AY34" t="inlineStr">
        <is>
          <t>991001371589702656</t>
        </is>
      </c>
      <c r="AZ34" t="inlineStr">
        <is>
          <t>991001371589702656</t>
        </is>
      </c>
      <c r="BA34" t="inlineStr">
        <is>
          <t>2260829640002656</t>
        </is>
      </c>
      <c r="BB34" t="inlineStr">
        <is>
          <t>BOOK</t>
        </is>
      </c>
      <c r="BE34" t="inlineStr">
        <is>
          <t>30001000461907</t>
        </is>
      </c>
      <c r="BF34" t="inlineStr">
        <is>
          <t>893374481</t>
        </is>
      </c>
    </row>
    <row r="35">
      <c r="A35" t="inlineStr">
        <is>
          <t>No</t>
        </is>
      </c>
      <c r="B35" t="inlineStr">
        <is>
          <t>CUHSL</t>
        </is>
      </c>
      <c r="C35" t="inlineStr">
        <is>
          <t>SHELVES</t>
        </is>
      </c>
      <c r="D35" t="inlineStr">
        <is>
          <t>WY 5 N9741 1975</t>
        </is>
      </c>
      <c r="E35" t="inlineStr">
        <is>
          <t>0                      WY 0005000N  9741        1975</t>
        </is>
      </c>
      <c r="F35" t="inlineStr">
        <is>
          <t>Focus on the work environment / edited by the editorial staff.</t>
        </is>
      </c>
      <c r="H35" t="inlineStr">
        <is>
          <t>No</t>
        </is>
      </c>
      <c r="I35" t="inlineStr">
        <is>
          <t>1</t>
        </is>
      </c>
      <c r="J35" t="inlineStr">
        <is>
          <t>No</t>
        </is>
      </c>
      <c r="K35" t="inlineStr">
        <is>
          <t>No</t>
        </is>
      </c>
      <c r="L35" t="inlineStr">
        <is>
          <t>0</t>
        </is>
      </c>
      <c r="N35" t="inlineStr">
        <is>
          <t>Wakefield, Mass. : Contemporary Pub., c1975.</t>
        </is>
      </c>
      <c r="O35" t="inlineStr">
        <is>
          <t>1975</t>
        </is>
      </c>
      <c r="P35" t="inlineStr">
        <is>
          <t>1st ed.</t>
        </is>
      </c>
      <c r="Q35" t="inlineStr">
        <is>
          <t>eng</t>
        </is>
      </c>
      <c r="R35" t="inlineStr">
        <is>
          <t>mau</t>
        </is>
      </c>
      <c r="T35" t="inlineStr">
        <is>
          <t xml:space="preserve">WY </t>
        </is>
      </c>
      <c r="U35" t="n">
        <v>1</v>
      </c>
      <c r="V35" t="n">
        <v>1</v>
      </c>
      <c r="W35" t="inlineStr">
        <is>
          <t>1989-10-12</t>
        </is>
      </c>
      <c r="X35" t="inlineStr">
        <is>
          <t>1989-10-12</t>
        </is>
      </c>
      <c r="Y35" t="inlineStr">
        <is>
          <t>1988-01-08</t>
        </is>
      </c>
      <c r="Z35" t="inlineStr">
        <is>
          <t>1988-01-08</t>
        </is>
      </c>
      <c r="AA35" t="n">
        <v>69</v>
      </c>
      <c r="AB35" t="n">
        <v>62</v>
      </c>
      <c r="AC35" t="n">
        <v>64</v>
      </c>
      <c r="AD35" t="n">
        <v>2</v>
      </c>
      <c r="AE35" t="n">
        <v>2</v>
      </c>
      <c r="AF35" t="n">
        <v>5</v>
      </c>
      <c r="AG35" t="n">
        <v>5</v>
      </c>
      <c r="AH35" t="n">
        <v>0</v>
      </c>
      <c r="AI35" t="n">
        <v>0</v>
      </c>
      <c r="AJ35" t="n">
        <v>0</v>
      </c>
      <c r="AK35" t="n">
        <v>0</v>
      </c>
      <c r="AL35" t="n">
        <v>4</v>
      </c>
      <c r="AM35" t="n">
        <v>4</v>
      </c>
      <c r="AN35" t="n">
        <v>1</v>
      </c>
      <c r="AO35" t="n">
        <v>1</v>
      </c>
      <c r="AP35" t="n">
        <v>0</v>
      </c>
      <c r="AQ35" t="n">
        <v>0</v>
      </c>
      <c r="AR35" t="inlineStr">
        <is>
          <t>No</t>
        </is>
      </c>
      <c r="AS35" t="inlineStr">
        <is>
          <t>Yes</t>
        </is>
      </c>
      <c r="AT35">
        <f>HYPERLINK("http://catalog.hathitrust.org/Record/000693894","HathiTrust Record")</f>
        <v/>
      </c>
      <c r="AU35">
        <f>HYPERLINK("https://creighton-primo.hosted.exlibrisgroup.com/primo-explore/search?tab=default_tab&amp;search_scope=EVERYTHING&amp;vid=01CRU&amp;lang=en_US&amp;offset=0&amp;query=any,contains,991001038739702656","Catalog Record")</f>
        <v/>
      </c>
      <c r="AV35">
        <f>HYPERLINK("http://www.worldcat.org/oclc/1992006","WorldCat Record")</f>
        <v/>
      </c>
      <c r="AW35" t="inlineStr">
        <is>
          <t>3359584:eng</t>
        </is>
      </c>
      <c r="AX35" t="inlineStr">
        <is>
          <t>1992006</t>
        </is>
      </c>
      <c r="AY35" t="inlineStr">
        <is>
          <t>991001038739702656</t>
        </is>
      </c>
      <c r="AZ35" t="inlineStr">
        <is>
          <t>991001038739702656</t>
        </is>
      </c>
      <c r="BA35" t="inlineStr">
        <is>
          <t>2262124900002656</t>
        </is>
      </c>
      <c r="BB35" t="inlineStr">
        <is>
          <t>BOOK</t>
        </is>
      </c>
      <c r="BD35" t="inlineStr">
        <is>
          <t>9780913654132</t>
        </is>
      </c>
      <c r="BE35" t="inlineStr">
        <is>
          <t>30001000241390</t>
        </is>
      </c>
      <c r="BF35" t="inlineStr">
        <is>
          <t>893374220</t>
        </is>
      </c>
    </row>
    <row r="36">
      <c r="A36" t="inlineStr">
        <is>
          <t>No</t>
        </is>
      </c>
      <c r="B36" t="inlineStr">
        <is>
          <t>CUHSL</t>
        </is>
      </c>
      <c r="C36" t="inlineStr">
        <is>
          <t>SHELVES</t>
        </is>
      </c>
      <c r="D36" t="inlineStr">
        <is>
          <t>WY 7 R728m 1994</t>
        </is>
      </c>
      <c r="E36" t="inlineStr">
        <is>
          <t>0                      WY 0007000R  728m        1994</t>
        </is>
      </c>
      <c r="F36" t="inlineStr">
        <is>
          <t>Martha E. Rogers : her life and her work / [edited by] Violet M. Malinski, Elizabeth Ann Manhart Barrett ; with special contributions by John R. Phillips.</t>
        </is>
      </c>
      <c r="H36" t="inlineStr">
        <is>
          <t>No</t>
        </is>
      </c>
      <c r="I36" t="inlineStr">
        <is>
          <t>1</t>
        </is>
      </c>
      <c r="J36" t="inlineStr">
        <is>
          <t>No</t>
        </is>
      </c>
      <c r="K36" t="inlineStr">
        <is>
          <t>No</t>
        </is>
      </c>
      <c r="L36" t="inlineStr">
        <is>
          <t>0</t>
        </is>
      </c>
      <c r="M36" t="inlineStr">
        <is>
          <t>Rogers, Martha E.</t>
        </is>
      </c>
      <c r="N36" t="inlineStr">
        <is>
          <t>Philadelphia : F.A. Davis, c1994.</t>
        </is>
      </c>
      <c r="O36" t="inlineStr">
        <is>
          <t>1994</t>
        </is>
      </c>
      <c r="Q36" t="inlineStr">
        <is>
          <t>eng</t>
        </is>
      </c>
      <c r="R36" t="inlineStr">
        <is>
          <t>pau</t>
        </is>
      </c>
      <c r="T36" t="inlineStr">
        <is>
          <t xml:space="preserve">WY </t>
        </is>
      </c>
      <c r="U36" t="n">
        <v>8</v>
      </c>
      <c r="V36" t="n">
        <v>8</v>
      </c>
      <c r="W36" t="inlineStr">
        <is>
          <t>2005-09-06</t>
        </is>
      </c>
      <c r="X36" t="inlineStr">
        <is>
          <t>2005-09-06</t>
        </is>
      </c>
      <c r="Y36" t="inlineStr">
        <is>
          <t>1995-02-20</t>
        </is>
      </c>
      <c r="Z36" t="inlineStr">
        <is>
          <t>1995-02-20</t>
        </is>
      </c>
      <c r="AA36" t="n">
        <v>313</v>
      </c>
      <c r="AB36" t="n">
        <v>258</v>
      </c>
      <c r="AC36" t="n">
        <v>265</v>
      </c>
      <c r="AD36" t="n">
        <v>2</v>
      </c>
      <c r="AE36" t="n">
        <v>2</v>
      </c>
      <c r="AF36" t="n">
        <v>16</v>
      </c>
      <c r="AG36" t="n">
        <v>16</v>
      </c>
      <c r="AH36" t="n">
        <v>7</v>
      </c>
      <c r="AI36" t="n">
        <v>7</v>
      </c>
      <c r="AJ36" t="n">
        <v>3</v>
      </c>
      <c r="AK36" t="n">
        <v>3</v>
      </c>
      <c r="AL36" t="n">
        <v>9</v>
      </c>
      <c r="AM36" t="n">
        <v>9</v>
      </c>
      <c r="AN36" t="n">
        <v>1</v>
      </c>
      <c r="AO36" t="n">
        <v>1</v>
      </c>
      <c r="AP36" t="n">
        <v>0</v>
      </c>
      <c r="AQ36" t="n">
        <v>0</v>
      </c>
      <c r="AR36" t="inlineStr">
        <is>
          <t>No</t>
        </is>
      </c>
      <c r="AS36" t="inlineStr">
        <is>
          <t>Yes</t>
        </is>
      </c>
      <c r="AT36">
        <f>HYPERLINK("http://catalog.hathitrust.org/Record/002869110","HathiTrust Record")</f>
        <v/>
      </c>
      <c r="AU36">
        <f>HYPERLINK("https://creighton-primo.hosted.exlibrisgroup.com/primo-explore/search?tab=default_tab&amp;search_scope=EVERYTHING&amp;vid=01CRU&amp;lang=en_US&amp;offset=0&amp;query=any,contains,991000688369702656","Catalog Record")</f>
        <v/>
      </c>
      <c r="AV36">
        <f>HYPERLINK("http://www.worldcat.org/oclc/29912429","WorldCat Record")</f>
        <v/>
      </c>
      <c r="AW36" t="inlineStr">
        <is>
          <t>196556002:eng</t>
        </is>
      </c>
      <c r="AX36" t="inlineStr">
        <is>
          <t>29912429</t>
        </is>
      </c>
      <c r="AY36" t="inlineStr">
        <is>
          <t>991000688369702656</t>
        </is>
      </c>
      <c r="AZ36" t="inlineStr">
        <is>
          <t>991000688369702656</t>
        </is>
      </c>
      <c r="BA36" t="inlineStr">
        <is>
          <t>2255555510002656</t>
        </is>
      </c>
      <c r="BB36" t="inlineStr">
        <is>
          <t>BOOK</t>
        </is>
      </c>
      <c r="BD36" t="inlineStr">
        <is>
          <t>9780803658073</t>
        </is>
      </c>
      <c r="BE36" t="inlineStr">
        <is>
          <t>30001002699629</t>
        </is>
      </c>
      <c r="BF36" t="inlineStr">
        <is>
          <t>893825384</t>
        </is>
      </c>
    </row>
    <row r="37">
      <c r="A37" t="inlineStr">
        <is>
          <t>No</t>
        </is>
      </c>
      <c r="B37" t="inlineStr">
        <is>
          <t>CUHSL</t>
        </is>
      </c>
      <c r="C37" t="inlineStr">
        <is>
          <t>SHELVES</t>
        </is>
      </c>
      <c r="D37" t="inlineStr">
        <is>
          <t>WY 9 B938i 1966</t>
        </is>
      </c>
      <c r="E37" t="inlineStr">
        <is>
          <t>0                      WY 0009000B  938i        1966</t>
        </is>
      </c>
      <c r="F37" t="inlineStr">
        <is>
          <t>Issues in nursing : readings selected from books and periodicals to form a basis for discussion of the problems in nursing today / Bonnie Bullough and Vern Bullough, editors.</t>
        </is>
      </c>
      <c r="H37" t="inlineStr">
        <is>
          <t>No</t>
        </is>
      </c>
      <c r="I37" t="inlineStr">
        <is>
          <t>1</t>
        </is>
      </c>
      <c r="J37" t="inlineStr">
        <is>
          <t>No</t>
        </is>
      </c>
      <c r="K37" t="inlineStr">
        <is>
          <t>No</t>
        </is>
      </c>
      <c r="L37" t="inlineStr">
        <is>
          <t>0</t>
        </is>
      </c>
      <c r="M37" t="inlineStr">
        <is>
          <t>Bullough, Bonnie editor.</t>
        </is>
      </c>
      <c r="N37" t="inlineStr">
        <is>
          <t>New York : Springer Pub. Co., 1966.</t>
        </is>
      </c>
      <c r="O37" t="inlineStr">
        <is>
          <t>1966</t>
        </is>
      </c>
      <c r="Q37" t="inlineStr">
        <is>
          <t>eng</t>
        </is>
      </c>
      <c r="R37" t="inlineStr">
        <is>
          <t>nyu</t>
        </is>
      </c>
      <c r="T37" t="inlineStr">
        <is>
          <t xml:space="preserve">WY </t>
        </is>
      </c>
      <c r="U37" t="n">
        <v>1</v>
      </c>
      <c r="V37" t="n">
        <v>1</v>
      </c>
      <c r="W37" t="inlineStr">
        <is>
          <t>1999-10-07</t>
        </is>
      </c>
      <c r="X37" t="inlineStr">
        <is>
          <t>1999-10-07</t>
        </is>
      </c>
      <c r="Y37" t="inlineStr">
        <is>
          <t>1988-01-08</t>
        </is>
      </c>
      <c r="Z37" t="inlineStr">
        <is>
          <t>1988-01-08</t>
        </is>
      </c>
      <c r="AA37" t="n">
        <v>197</v>
      </c>
      <c r="AB37" t="n">
        <v>172</v>
      </c>
      <c r="AC37" t="n">
        <v>175</v>
      </c>
      <c r="AD37" t="n">
        <v>2</v>
      </c>
      <c r="AE37" t="n">
        <v>2</v>
      </c>
      <c r="AF37" t="n">
        <v>10</v>
      </c>
      <c r="AG37" t="n">
        <v>10</v>
      </c>
      <c r="AH37" t="n">
        <v>1</v>
      </c>
      <c r="AI37" t="n">
        <v>1</v>
      </c>
      <c r="AJ37" t="n">
        <v>3</v>
      </c>
      <c r="AK37" t="n">
        <v>3</v>
      </c>
      <c r="AL37" t="n">
        <v>6</v>
      </c>
      <c r="AM37" t="n">
        <v>6</v>
      </c>
      <c r="AN37" t="n">
        <v>1</v>
      </c>
      <c r="AO37" t="n">
        <v>1</v>
      </c>
      <c r="AP37" t="n">
        <v>0</v>
      </c>
      <c r="AQ37" t="n">
        <v>0</v>
      </c>
      <c r="AR37" t="inlineStr">
        <is>
          <t>No</t>
        </is>
      </c>
      <c r="AS37" t="inlineStr">
        <is>
          <t>Yes</t>
        </is>
      </c>
      <c r="AT37">
        <f>HYPERLINK("http://catalog.hathitrust.org/Record/001574425","HathiTrust Record")</f>
        <v/>
      </c>
      <c r="AU37">
        <f>HYPERLINK("https://creighton-primo.hosted.exlibrisgroup.com/primo-explore/search?tab=default_tab&amp;search_scope=EVERYTHING&amp;vid=01CRU&amp;lang=en_US&amp;offset=0&amp;query=any,contains,991001038849702656","Catalog Record")</f>
        <v/>
      </c>
      <c r="AV37">
        <f>HYPERLINK("http://www.worldcat.org/oclc/712012","WorldCat Record")</f>
        <v/>
      </c>
      <c r="AW37" t="inlineStr">
        <is>
          <t>1662082:eng</t>
        </is>
      </c>
      <c r="AX37" t="inlineStr">
        <is>
          <t>712012</t>
        </is>
      </c>
      <c r="AY37" t="inlineStr">
        <is>
          <t>991001038849702656</t>
        </is>
      </c>
      <c r="AZ37" t="inlineStr">
        <is>
          <t>991001038849702656</t>
        </is>
      </c>
      <c r="BA37" t="inlineStr">
        <is>
          <t>2256820270002656</t>
        </is>
      </c>
      <c r="BB37" t="inlineStr">
        <is>
          <t>BOOK</t>
        </is>
      </c>
      <c r="BE37" t="inlineStr">
        <is>
          <t>30001000241465</t>
        </is>
      </c>
      <c r="BF37" t="inlineStr">
        <is>
          <t>893727195</t>
        </is>
      </c>
    </row>
    <row r="38">
      <c r="A38" t="inlineStr">
        <is>
          <t>No</t>
        </is>
      </c>
      <c r="B38" t="inlineStr">
        <is>
          <t>CUHSL</t>
        </is>
      </c>
      <c r="C38" t="inlineStr">
        <is>
          <t>SHELVES</t>
        </is>
      </c>
      <c r="D38" t="inlineStr">
        <is>
          <t>WY 9 N21t 1963</t>
        </is>
      </c>
      <c r="E38" t="inlineStr">
        <is>
          <t>0                      WY 0009000N  21t         1963</t>
        </is>
      </c>
      <c r="F38" t="inlineStr">
        <is>
          <t>Three score years and ten : 1893-1963 / [NLN Committee on Historical Source Materials in Nursing ; foreword by Martha E. Rogers]</t>
        </is>
      </c>
      <c r="H38" t="inlineStr">
        <is>
          <t>No</t>
        </is>
      </c>
      <c r="I38" t="inlineStr">
        <is>
          <t>1</t>
        </is>
      </c>
      <c r="J38" t="inlineStr">
        <is>
          <t>No</t>
        </is>
      </c>
      <c r="K38" t="inlineStr">
        <is>
          <t>No</t>
        </is>
      </c>
      <c r="L38" t="inlineStr">
        <is>
          <t>0</t>
        </is>
      </c>
      <c r="M38" t="inlineStr">
        <is>
          <t>National League for Nursing. Committee on Historical Source Materials in Nursing.</t>
        </is>
      </c>
      <c r="N38" t="inlineStr">
        <is>
          <t>-- New York : National League for Nursing, 1963.</t>
        </is>
      </c>
      <c r="O38" t="inlineStr">
        <is>
          <t>1963</t>
        </is>
      </c>
      <c r="Q38" t="inlineStr">
        <is>
          <t>eng</t>
        </is>
      </c>
      <c r="R38" t="inlineStr">
        <is>
          <t>|||</t>
        </is>
      </c>
      <c r="T38" t="inlineStr">
        <is>
          <t xml:space="preserve">WY </t>
        </is>
      </c>
      <c r="U38" t="n">
        <v>3</v>
      </c>
      <c r="V38" t="n">
        <v>3</v>
      </c>
      <c r="W38" t="inlineStr">
        <is>
          <t>1990-09-06</t>
        </is>
      </c>
      <c r="X38" t="inlineStr">
        <is>
          <t>1990-09-06</t>
        </is>
      </c>
      <c r="Y38" t="inlineStr">
        <is>
          <t>1987-10-13</t>
        </is>
      </c>
      <c r="Z38" t="inlineStr">
        <is>
          <t>1987-10-13</t>
        </is>
      </c>
      <c r="AA38" t="n">
        <v>59</v>
      </c>
      <c r="AB38" t="n">
        <v>55</v>
      </c>
      <c r="AC38" t="n">
        <v>58</v>
      </c>
      <c r="AD38" t="n">
        <v>1</v>
      </c>
      <c r="AE38" t="n">
        <v>1</v>
      </c>
      <c r="AF38" t="n">
        <v>3</v>
      </c>
      <c r="AG38" t="n">
        <v>3</v>
      </c>
      <c r="AH38" t="n">
        <v>0</v>
      </c>
      <c r="AI38" t="n">
        <v>0</v>
      </c>
      <c r="AJ38" t="n">
        <v>1</v>
      </c>
      <c r="AK38" t="n">
        <v>1</v>
      </c>
      <c r="AL38" t="n">
        <v>2</v>
      </c>
      <c r="AM38" t="n">
        <v>2</v>
      </c>
      <c r="AN38" t="n">
        <v>0</v>
      </c>
      <c r="AO38" t="n">
        <v>0</v>
      </c>
      <c r="AP38" t="n">
        <v>0</v>
      </c>
      <c r="AQ38" t="n">
        <v>0</v>
      </c>
      <c r="AR38" t="inlineStr">
        <is>
          <t>No</t>
        </is>
      </c>
      <c r="AS38" t="inlineStr">
        <is>
          <t>No</t>
        </is>
      </c>
      <c r="AT38">
        <f>HYPERLINK("http://catalog.hathitrust.org/Record/002071876","HathiTrust Record")</f>
        <v/>
      </c>
      <c r="AU38">
        <f>HYPERLINK("https://creighton-primo.hosted.exlibrisgroup.com/primo-explore/search?tab=default_tab&amp;search_scope=EVERYTHING&amp;vid=01CRU&amp;lang=en_US&amp;offset=0&amp;query=any,contains,991001360889702656","Catalog Record")</f>
        <v/>
      </c>
      <c r="AV38">
        <f>HYPERLINK("http://www.worldcat.org/oclc/1627495","WorldCat Record")</f>
        <v/>
      </c>
      <c r="AW38" t="inlineStr">
        <is>
          <t>2467765:eng</t>
        </is>
      </c>
      <c r="AX38" t="inlineStr">
        <is>
          <t>1627495</t>
        </is>
      </c>
      <c r="AY38" t="inlineStr">
        <is>
          <t>991001360889702656</t>
        </is>
      </c>
      <c r="AZ38" t="inlineStr">
        <is>
          <t>991001360889702656</t>
        </is>
      </c>
      <c r="BA38" t="inlineStr">
        <is>
          <t>2268473880002656</t>
        </is>
      </c>
      <c r="BB38" t="inlineStr">
        <is>
          <t>BOOK</t>
        </is>
      </c>
      <c r="BE38" t="inlineStr">
        <is>
          <t>30001000460644</t>
        </is>
      </c>
      <c r="BF38" t="inlineStr">
        <is>
          <t>893377221</t>
        </is>
      </c>
    </row>
    <row r="39">
      <c r="A39" t="inlineStr">
        <is>
          <t>No</t>
        </is>
      </c>
      <c r="B39" t="inlineStr">
        <is>
          <t>CUHSL</t>
        </is>
      </c>
      <c r="C39" t="inlineStr">
        <is>
          <t>SHELVES</t>
        </is>
      </c>
      <c r="D39" t="inlineStr">
        <is>
          <t>WY 9 N974 1980</t>
        </is>
      </c>
      <c r="E39" t="inlineStr">
        <is>
          <t>0                      WY 0009000N  974         1980</t>
        </is>
      </c>
      <c r="F39" t="inlineStr">
        <is>
          <t>Nursing, images and ideals : opening dialogue with the humanities / edited by Stuart F. Spicker, Sally Gadow.</t>
        </is>
      </c>
      <c r="H39" t="inlineStr">
        <is>
          <t>No</t>
        </is>
      </c>
      <c r="I39" t="inlineStr">
        <is>
          <t>1</t>
        </is>
      </c>
      <c r="J39" t="inlineStr">
        <is>
          <t>No</t>
        </is>
      </c>
      <c r="K39" t="inlineStr">
        <is>
          <t>No</t>
        </is>
      </c>
      <c r="L39" t="inlineStr">
        <is>
          <t>0</t>
        </is>
      </c>
      <c r="N39" t="inlineStr">
        <is>
          <t>New York : Springer, c1980.</t>
        </is>
      </c>
      <c r="O39" t="inlineStr">
        <is>
          <t>1980</t>
        </is>
      </c>
      <c r="Q39" t="inlineStr">
        <is>
          <t>eng</t>
        </is>
      </c>
      <c r="R39" t="inlineStr">
        <is>
          <t>nyu</t>
        </is>
      </c>
      <c r="T39" t="inlineStr">
        <is>
          <t xml:space="preserve">WY </t>
        </is>
      </c>
      <c r="U39" t="n">
        <v>7</v>
      </c>
      <c r="V39" t="n">
        <v>7</v>
      </c>
      <c r="W39" t="inlineStr">
        <is>
          <t>2007-10-12</t>
        </is>
      </c>
      <c r="X39" t="inlineStr">
        <is>
          <t>2007-10-12</t>
        </is>
      </c>
      <c r="Y39" t="inlineStr">
        <is>
          <t>1987-12-22</t>
        </is>
      </c>
      <c r="Z39" t="inlineStr">
        <is>
          <t>1987-12-22</t>
        </is>
      </c>
      <c r="AA39" t="n">
        <v>208</v>
      </c>
      <c r="AB39" t="n">
        <v>170</v>
      </c>
      <c r="AC39" t="n">
        <v>198</v>
      </c>
      <c r="AD39" t="n">
        <v>2</v>
      </c>
      <c r="AE39" t="n">
        <v>2</v>
      </c>
      <c r="AF39" t="n">
        <v>5</v>
      </c>
      <c r="AG39" t="n">
        <v>6</v>
      </c>
      <c r="AH39" t="n">
        <v>0</v>
      </c>
      <c r="AI39" t="n">
        <v>0</v>
      </c>
      <c r="AJ39" t="n">
        <v>1</v>
      </c>
      <c r="AK39" t="n">
        <v>2</v>
      </c>
      <c r="AL39" t="n">
        <v>4</v>
      </c>
      <c r="AM39" t="n">
        <v>4</v>
      </c>
      <c r="AN39" t="n">
        <v>1</v>
      </c>
      <c r="AO39" t="n">
        <v>1</v>
      </c>
      <c r="AP39" t="n">
        <v>0</v>
      </c>
      <c r="AQ39" t="n">
        <v>0</v>
      </c>
      <c r="AR39" t="inlineStr">
        <is>
          <t>No</t>
        </is>
      </c>
      <c r="AS39" t="inlineStr">
        <is>
          <t>Yes</t>
        </is>
      </c>
      <c r="AT39">
        <f>HYPERLINK("http://catalog.hathitrust.org/Record/000043826","HathiTrust Record")</f>
        <v/>
      </c>
      <c r="AU39">
        <f>HYPERLINK("https://creighton-primo.hosted.exlibrisgroup.com/primo-explore/search?tab=default_tab&amp;search_scope=EVERYTHING&amp;vid=01CRU&amp;lang=en_US&amp;offset=0&amp;query=any,contains,991001038879702656","Catalog Record")</f>
        <v/>
      </c>
      <c r="AV39">
        <f>HYPERLINK("http://www.worldcat.org/oclc/5029605","WorldCat Record")</f>
        <v/>
      </c>
      <c r="AW39" t="inlineStr">
        <is>
          <t>894364247:eng</t>
        </is>
      </c>
      <c r="AX39" t="inlineStr">
        <is>
          <t>5029605</t>
        </is>
      </c>
      <c r="AY39" t="inlineStr">
        <is>
          <t>991001038879702656</t>
        </is>
      </c>
      <c r="AZ39" t="inlineStr">
        <is>
          <t>991001038879702656</t>
        </is>
      </c>
      <c r="BA39" t="inlineStr">
        <is>
          <t>2271577080002656</t>
        </is>
      </c>
      <c r="BB39" t="inlineStr">
        <is>
          <t>BOOK</t>
        </is>
      </c>
      <c r="BD39" t="inlineStr">
        <is>
          <t>9780826127402</t>
        </is>
      </c>
      <c r="BE39" t="inlineStr">
        <is>
          <t>30001000241473</t>
        </is>
      </c>
      <c r="BF39" t="inlineStr">
        <is>
          <t>893168010</t>
        </is>
      </c>
    </row>
    <row r="40">
      <c r="A40" t="inlineStr">
        <is>
          <t>No</t>
        </is>
      </c>
      <c r="B40" t="inlineStr">
        <is>
          <t>CUHSL</t>
        </is>
      </c>
      <c r="C40" t="inlineStr">
        <is>
          <t>SHELVES</t>
        </is>
      </c>
      <c r="D40" t="inlineStr">
        <is>
          <t>WY 9 Y74 1995</t>
        </is>
      </c>
      <c r="E40" t="inlineStr">
        <is>
          <t>0                      WY 0009000Y  74          1995</t>
        </is>
      </c>
      <c r="F40" t="inlineStr">
        <is>
          <t>States of exile : correspondences between art, literature, and nursing / Jeanine Young-Mason.</t>
        </is>
      </c>
      <c r="H40" t="inlineStr">
        <is>
          <t>No</t>
        </is>
      </c>
      <c r="I40" t="inlineStr">
        <is>
          <t>1</t>
        </is>
      </c>
      <c r="J40" t="inlineStr">
        <is>
          <t>No</t>
        </is>
      </c>
      <c r="K40" t="inlineStr">
        <is>
          <t>No</t>
        </is>
      </c>
      <c r="L40" t="inlineStr">
        <is>
          <t>0</t>
        </is>
      </c>
      <c r="M40" t="inlineStr">
        <is>
          <t>Young-Mason, Jeanine, 1938-</t>
        </is>
      </c>
      <c r="N40" t="inlineStr">
        <is>
          <t>New York : National League for Nursing Press, c1995.</t>
        </is>
      </c>
      <c r="O40" t="inlineStr">
        <is>
          <t>1995</t>
        </is>
      </c>
      <c r="Q40" t="inlineStr">
        <is>
          <t>eng</t>
        </is>
      </c>
      <c r="R40" t="inlineStr">
        <is>
          <t>nyu</t>
        </is>
      </c>
      <c r="S40" t="inlineStr">
        <is>
          <t>NLN pub. no. 14-2632</t>
        </is>
      </c>
      <c r="T40" t="inlineStr">
        <is>
          <t xml:space="preserve">WY </t>
        </is>
      </c>
      <c r="U40" t="n">
        <v>3</v>
      </c>
      <c r="V40" t="n">
        <v>3</v>
      </c>
      <c r="W40" t="inlineStr">
        <is>
          <t>2003-10-24</t>
        </is>
      </c>
      <c r="X40" t="inlineStr">
        <is>
          <t>2003-10-24</t>
        </is>
      </c>
      <c r="Y40" t="inlineStr">
        <is>
          <t>2000-06-15</t>
        </is>
      </c>
      <c r="Z40" t="inlineStr">
        <is>
          <t>2000-06-15</t>
        </is>
      </c>
      <c r="AA40" t="n">
        <v>274</v>
      </c>
      <c r="AB40" t="n">
        <v>251</v>
      </c>
      <c r="AC40" t="n">
        <v>253</v>
      </c>
      <c r="AD40" t="n">
        <v>4</v>
      </c>
      <c r="AE40" t="n">
        <v>4</v>
      </c>
      <c r="AF40" t="n">
        <v>16</v>
      </c>
      <c r="AG40" t="n">
        <v>16</v>
      </c>
      <c r="AH40" t="n">
        <v>4</v>
      </c>
      <c r="AI40" t="n">
        <v>4</v>
      </c>
      <c r="AJ40" t="n">
        <v>6</v>
      </c>
      <c r="AK40" t="n">
        <v>6</v>
      </c>
      <c r="AL40" t="n">
        <v>7</v>
      </c>
      <c r="AM40" t="n">
        <v>7</v>
      </c>
      <c r="AN40" t="n">
        <v>2</v>
      </c>
      <c r="AO40" t="n">
        <v>2</v>
      </c>
      <c r="AP40" t="n">
        <v>0</v>
      </c>
      <c r="AQ40" t="n">
        <v>0</v>
      </c>
      <c r="AR40" t="inlineStr">
        <is>
          <t>No</t>
        </is>
      </c>
      <c r="AS40" t="inlineStr">
        <is>
          <t>Yes</t>
        </is>
      </c>
      <c r="AT40">
        <f>HYPERLINK("http://catalog.hathitrust.org/Record/002994742","HathiTrust Record")</f>
        <v/>
      </c>
      <c r="AU40">
        <f>HYPERLINK("https://creighton-primo.hosted.exlibrisgroup.com/primo-explore/search?tab=default_tab&amp;search_scope=EVERYTHING&amp;vid=01CRU&amp;lang=en_US&amp;offset=0&amp;query=any,contains,991000255809702656","Catalog Record")</f>
        <v/>
      </c>
      <c r="AV40">
        <f>HYPERLINK("http://www.worldcat.org/oclc/32764404","WorldCat Record")</f>
        <v/>
      </c>
      <c r="AW40" t="inlineStr">
        <is>
          <t>36534647:eng</t>
        </is>
      </c>
      <c r="AX40" t="inlineStr">
        <is>
          <t>32764404</t>
        </is>
      </c>
      <c r="AY40" t="inlineStr">
        <is>
          <t>991000255809702656</t>
        </is>
      </c>
      <c r="AZ40" t="inlineStr">
        <is>
          <t>991000255809702656</t>
        </is>
      </c>
      <c r="BA40" t="inlineStr">
        <is>
          <t>2260999680002656</t>
        </is>
      </c>
      <c r="BB40" t="inlineStr">
        <is>
          <t>BOOK</t>
        </is>
      </c>
      <c r="BD40" t="inlineStr">
        <is>
          <t>9780887376269</t>
        </is>
      </c>
      <c r="BE40" t="inlineStr">
        <is>
          <t>30001003231398</t>
        </is>
      </c>
      <c r="BF40" t="inlineStr">
        <is>
          <t>893728162</t>
        </is>
      </c>
    </row>
    <row r="41">
      <c r="A41" t="inlineStr">
        <is>
          <t>No</t>
        </is>
      </c>
      <c r="B41" t="inlineStr">
        <is>
          <t>CUHSL</t>
        </is>
      </c>
      <c r="C41" t="inlineStr">
        <is>
          <t>SHELVES</t>
        </is>
      </c>
      <c r="D41" t="inlineStr">
        <is>
          <t>WY 11 A141h 1960</t>
        </is>
      </c>
      <c r="E41" t="inlineStr">
        <is>
          <t>0                      WY 0011000A  141h        1960</t>
        </is>
      </c>
      <c r="F41" t="inlineStr">
        <is>
          <t>A history of the nursing profession in Great Britain / by Brian Abel-Smith.</t>
        </is>
      </c>
      <c r="H41" t="inlineStr">
        <is>
          <t>No</t>
        </is>
      </c>
      <c r="I41" t="inlineStr">
        <is>
          <t>1</t>
        </is>
      </c>
      <c r="J41" t="inlineStr">
        <is>
          <t>No</t>
        </is>
      </c>
      <c r="K41" t="inlineStr">
        <is>
          <t>No</t>
        </is>
      </c>
      <c r="L41" t="inlineStr">
        <is>
          <t>0</t>
        </is>
      </c>
      <c r="M41" t="inlineStr">
        <is>
          <t>Abel-Smith, Brian.</t>
        </is>
      </c>
      <c r="N41" t="inlineStr">
        <is>
          <t>New York : Springer, 1960.</t>
        </is>
      </c>
      <c r="O41" t="inlineStr">
        <is>
          <t>1960</t>
        </is>
      </c>
      <c r="Q41" t="inlineStr">
        <is>
          <t>eng</t>
        </is>
      </c>
      <c r="R41" t="inlineStr">
        <is>
          <t>nyu</t>
        </is>
      </c>
      <c r="T41" t="inlineStr">
        <is>
          <t xml:space="preserve">WY </t>
        </is>
      </c>
      <c r="U41" t="n">
        <v>2</v>
      </c>
      <c r="V41" t="n">
        <v>2</v>
      </c>
      <c r="W41" t="inlineStr">
        <is>
          <t>1999-10-07</t>
        </is>
      </c>
      <c r="X41" t="inlineStr">
        <is>
          <t>1999-10-07</t>
        </is>
      </c>
      <c r="Y41" t="inlineStr">
        <is>
          <t>1988-01-08</t>
        </is>
      </c>
      <c r="Z41" t="inlineStr">
        <is>
          <t>1988-01-08</t>
        </is>
      </c>
      <c r="AA41" t="n">
        <v>66</v>
      </c>
      <c r="AB41" t="n">
        <v>57</v>
      </c>
      <c r="AC41" t="n">
        <v>58</v>
      </c>
      <c r="AD41" t="n">
        <v>1</v>
      </c>
      <c r="AE41" t="n">
        <v>1</v>
      </c>
      <c r="AF41" t="n">
        <v>4</v>
      </c>
      <c r="AG41" t="n">
        <v>4</v>
      </c>
      <c r="AH41" t="n">
        <v>0</v>
      </c>
      <c r="AI41" t="n">
        <v>0</v>
      </c>
      <c r="AJ41" t="n">
        <v>0</v>
      </c>
      <c r="AK41" t="n">
        <v>0</v>
      </c>
      <c r="AL41" t="n">
        <v>4</v>
      </c>
      <c r="AM41" t="n">
        <v>4</v>
      </c>
      <c r="AN41" t="n">
        <v>0</v>
      </c>
      <c r="AO41" t="n">
        <v>0</v>
      </c>
      <c r="AP41" t="n">
        <v>0</v>
      </c>
      <c r="AQ41" t="n">
        <v>0</v>
      </c>
      <c r="AR41" t="inlineStr">
        <is>
          <t>No</t>
        </is>
      </c>
      <c r="AS41" t="inlineStr">
        <is>
          <t>Yes</t>
        </is>
      </c>
      <c r="AT41">
        <f>HYPERLINK("http://catalog.hathitrust.org/Record/101665838","HathiTrust Record")</f>
        <v/>
      </c>
      <c r="AU41">
        <f>HYPERLINK("https://creighton-primo.hosted.exlibrisgroup.com/primo-explore/search?tab=default_tab&amp;search_scope=EVERYTHING&amp;vid=01CRU&amp;lang=en_US&amp;offset=0&amp;query=any,contains,991001039109702656","Catalog Record")</f>
        <v/>
      </c>
      <c r="AV41">
        <f>HYPERLINK("http://www.worldcat.org/oclc/7603627","WorldCat Record")</f>
        <v/>
      </c>
      <c r="AW41" t="inlineStr">
        <is>
          <t>3055845186:eng</t>
        </is>
      </c>
      <c r="AX41" t="inlineStr">
        <is>
          <t>7603627</t>
        </is>
      </c>
      <c r="AY41" t="inlineStr">
        <is>
          <t>991001039109702656</t>
        </is>
      </c>
      <c r="AZ41" t="inlineStr">
        <is>
          <t>991001039109702656</t>
        </is>
      </c>
      <c r="BA41" t="inlineStr">
        <is>
          <t>2263199750002656</t>
        </is>
      </c>
      <c r="BB41" t="inlineStr">
        <is>
          <t>BOOK</t>
        </is>
      </c>
      <c r="BE41" t="inlineStr">
        <is>
          <t>30001000241549</t>
        </is>
      </c>
      <c r="BF41" t="inlineStr">
        <is>
          <t>893637956</t>
        </is>
      </c>
    </row>
    <row r="42">
      <c r="A42" t="inlineStr">
        <is>
          <t>No</t>
        </is>
      </c>
      <c r="B42" t="inlineStr">
        <is>
          <t>CUHSL</t>
        </is>
      </c>
      <c r="C42" t="inlineStr">
        <is>
          <t>SHELVES</t>
        </is>
      </c>
      <c r="D42" t="inlineStr">
        <is>
          <t>WY 11 A165n 1979</t>
        </is>
      </c>
      <c r="E42" t="inlineStr">
        <is>
          <t>0                      WY 0011000A  165n        1979</t>
        </is>
      </c>
      <c r="F42" t="inlineStr">
        <is>
          <t>Nursing : a world view / Huda Abu-Saad.</t>
        </is>
      </c>
      <c r="H42" t="inlineStr">
        <is>
          <t>No</t>
        </is>
      </c>
      <c r="I42" t="inlineStr">
        <is>
          <t>1</t>
        </is>
      </c>
      <c r="J42" t="inlineStr">
        <is>
          <t>No</t>
        </is>
      </c>
      <c r="K42" t="inlineStr">
        <is>
          <t>No</t>
        </is>
      </c>
      <c r="L42" t="inlineStr">
        <is>
          <t>0</t>
        </is>
      </c>
      <c r="M42" t="inlineStr">
        <is>
          <t>Abu-Saad, Huda, 1949-</t>
        </is>
      </c>
      <c r="N42" t="inlineStr">
        <is>
          <t>St. Louis : Mosby, c1979.</t>
        </is>
      </c>
      <c r="O42" t="inlineStr">
        <is>
          <t>1979</t>
        </is>
      </c>
      <c r="Q42" t="inlineStr">
        <is>
          <t>eng</t>
        </is>
      </c>
      <c r="R42" t="inlineStr">
        <is>
          <t>mou</t>
        </is>
      </c>
      <c r="T42" t="inlineStr">
        <is>
          <t xml:space="preserve">WY </t>
        </is>
      </c>
      <c r="U42" t="n">
        <v>1</v>
      </c>
      <c r="V42" t="n">
        <v>1</v>
      </c>
      <c r="W42" t="inlineStr">
        <is>
          <t>1999-10-07</t>
        </is>
      </c>
      <c r="X42" t="inlineStr">
        <is>
          <t>1999-10-07</t>
        </is>
      </c>
      <c r="Y42" t="inlineStr">
        <is>
          <t>1988-01-18</t>
        </is>
      </c>
      <c r="Z42" t="inlineStr">
        <is>
          <t>1988-01-18</t>
        </is>
      </c>
      <c r="AA42" t="n">
        <v>224</v>
      </c>
      <c r="AB42" t="n">
        <v>172</v>
      </c>
      <c r="AC42" t="n">
        <v>183</v>
      </c>
      <c r="AD42" t="n">
        <v>4</v>
      </c>
      <c r="AE42" t="n">
        <v>4</v>
      </c>
      <c r="AF42" t="n">
        <v>11</v>
      </c>
      <c r="AG42" t="n">
        <v>11</v>
      </c>
      <c r="AH42" t="n">
        <v>4</v>
      </c>
      <c r="AI42" t="n">
        <v>4</v>
      </c>
      <c r="AJ42" t="n">
        <v>0</v>
      </c>
      <c r="AK42" t="n">
        <v>0</v>
      </c>
      <c r="AL42" t="n">
        <v>6</v>
      </c>
      <c r="AM42" t="n">
        <v>6</v>
      </c>
      <c r="AN42" t="n">
        <v>3</v>
      </c>
      <c r="AO42" t="n">
        <v>3</v>
      </c>
      <c r="AP42" t="n">
        <v>0</v>
      </c>
      <c r="AQ42" t="n">
        <v>0</v>
      </c>
      <c r="AR42" t="inlineStr">
        <is>
          <t>No</t>
        </is>
      </c>
      <c r="AS42" t="inlineStr">
        <is>
          <t>Yes</t>
        </is>
      </c>
      <c r="AT42">
        <f>HYPERLINK("http://catalog.hathitrust.org/Record/000255652","HathiTrust Record")</f>
        <v/>
      </c>
      <c r="AU42">
        <f>HYPERLINK("https://creighton-primo.hosted.exlibrisgroup.com/primo-explore/search?tab=default_tab&amp;search_scope=EVERYTHING&amp;vid=01CRU&amp;lang=en_US&amp;offset=0&amp;query=any,contains,991001036829702656","Catalog Record")</f>
        <v/>
      </c>
      <c r="AV42">
        <f>HYPERLINK("http://www.worldcat.org/oclc/4492952","WorldCat Record")</f>
        <v/>
      </c>
      <c r="AW42" t="inlineStr">
        <is>
          <t>3528269:eng</t>
        </is>
      </c>
      <c r="AX42" t="inlineStr">
        <is>
          <t>4492952</t>
        </is>
      </c>
      <c r="AY42" t="inlineStr">
        <is>
          <t>991001036829702656</t>
        </is>
      </c>
      <c r="AZ42" t="inlineStr">
        <is>
          <t>991001036829702656</t>
        </is>
      </c>
      <c r="BA42" t="inlineStr">
        <is>
          <t>2263405200002656</t>
        </is>
      </c>
      <c r="BB42" t="inlineStr">
        <is>
          <t>BOOK</t>
        </is>
      </c>
      <c r="BD42" t="inlineStr">
        <is>
          <t>9780801600654</t>
        </is>
      </c>
      <c r="BE42" t="inlineStr">
        <is>
          <t>30001000240939</t>
        </is>
      </c>
      <c r="BF42" t="inlineStr">
        <is>
          <t>893460226</t>
        </is>
      </c>
    </row>
    <row r="43">
      <c r="A43" t="inlineStr">
        <is>
          <t>No</t>
        </is>
      </c>
      <c r="B43" t="inlineStr">
        <is>
          <t>CUHSL</t>
        </is>
      </c>
      <c r="C43" t="inlineStr">
        <is>
          <t>SHELVES</t>
        </is>
      </c>
      <c r="D43" t="inlineStr">
        <is>
          <t>WY 11 AA1 C289p 1991</t>
        </is>
      </c>
      <c r="E43" t="inlineStr">
        <is>
          <t>0                      WY 0011000AA 1                  C  289p        1991</t>
        </is>
      </c>
      <c r="F43" t="inlineStr">
        <is>
          <t>The path we tread : blacks in nursing, 1854-1990 / Mary Elizabeth Carnegie ; foreword by Josephine A. Dolan.</t>
        </is>
      </c>
      <c r="H43" t="inlineStr">
        <is>
          <t>No</t>
        </is>
      </c>
      <c r="I43" t="inlineStr">
        <is>
          <t>1</t>
        </is>
      </c>
      <c r="J43" t="inlineStr">
        <is>
          <t>No</t>
        </is>
      </c>
      <c r="K43" t="inlineStr">
        <is>
          <t>Yes</t>
        </is>
      </c>
      <c r="L43" t="inlineStr">
        <is>
          <t>0</t>
        </is>
      </c>
      <c r="M43" t="inlineStr">
        <is>
          <t>Carnegie, Mary Elizabeth, 1916-2008.</t>
        </is>
      </c>
      <c r="N43" t="inlineStr">
        <is>
          <t>Philadelphia : Lippincott, c1991.</t>
        </is>
      </c>
      <c r="O43" t="inlineStr">
        <is>
          <t>1991</t>
        </is>
      </c>
      <c r="P43" t="inlineStr">
        <is>
          <t>2nd ed.</t>
        </is>
      </c>
      <c r="Q43" t="inlineStr">
        <is>
          <t>eng</t>
        </is>
      </c>
      <c r="R43" t="inlineStr">
        <is>
          <t>pau</t>
        </is>
      </c>
      <c r="S43" t="inlineStr">
        <is>
          <t>NLN pub. no. 14-2438.</t>
        </is>
      </c>
      <c r="T43" t="inlineStr">
        <is>
          <t xml:space="preserve">WY </t>
        </is>
      </c>
      <c r="U43" t="n">
        <v>3</v>
      </c>
      <c r="V43" t="n">
        <v>3</v>
      </c>
      <c r="W43" t="inlineStr">
        <is>
          <t>2003-10-24</t>
        </is>
      </c>
      <c r="X43" t="inlineStr">
        <is>
          <t>2003-10-24</t>
        </is>
      </c>
      <c r="Y43" t="inlineStr">
        <is>
          <t>2000-06-15</t>
        </is>
      </c>
      <c r="Z43" t="inlineStr">
        <is>
          <t>2000-06-15</t>
        </is>
      </c>
      <c r="AA43" t="n">
        <v>513</v>
      </c>
      <c r="AB43" t="n">
        <v>500</v>
      </c>
      <c r="AC43" t="n">
        <v>863</v>
      </c>
      <c r="AD43" t="n">
        <v>4</v>
      </c>
      <c r="AE43" t="n">
        <v>9</v>
      </c>
      <c r="AF43" t="n">
        <v>16</v>
      </c>
      <c r="AG43" t="n">
        <v>36</v>
      </c>
      <c r="AH43" t="n">
        <v>7</v>
      </c>
      <c r="AI43" t="n">
        <v>12</v>
      </c>
      <c r="AJ43" t="n">
        <v>3</v>
      </c>
      <c r="AK43" t="n">
        <v>8</v>
      </c>
      <c r="AL43" t="n">
        <v>7</v>
      </c>
      <c r="AM43" t="n">
        <v>14</v>
      </c>
      <c r="AN43" t="n">
        <v>2</v>
      </c>
      <c r="AO43" t="n">
        <v>6</v>
      </c>
      <c r="AP43" t="n">
        <v>0</v>
      </c>
      <c r="AQ43" t="n">
        <v>0</v>
      </c>
      <c r="AR43" t="inlineStr">
        <is>
          <t>No</t>
        </is>
      </c>
      <c r="AS43" t="inlineStr">
        <is>
          <t>Yes</t>
        </is>
      </c>
      <c r="AT43">
        <f>HYPERLINK("http://catalog.hathitrust.org/Record/002652130","HathiTrust Record")</f>
        <v/>
      </c>
      <c r="AU43">
        <f>HYPERLINK("https://creighton-primo.hosted.exlibrisgroup.com/primo-explore/search?tab=default_tab&amp;search_scope=EVERYTHING&amp;vid=01CRU&amp;lang=en_US&amp;offset=0&amp;query=any,contains,991000232029702656","Catalog Record")</f>
        <v/>
      </c>
      <c r="AV43">
        <f>HYPERLINK("http://www.worldcat.org/oclc/24941653","WorldCat Record")</f>
        <v/>
      </c>
      <c r="AW43" t="inlineStr">
        <is>
          <t>3856935423:eng</t>
        </is>
      </c>
      <c r="AX43" t="inlineStr">
        <is>
          <t>24941653</t>
        </is>
      </c>
      <c r="AY43" t="inlineStr">
        <is>
          <t>991000232029702656</t>
        </is>
      </c>
      <c r="AZ43" t="inlineStr">
        <is>
          <t>991000232029702656</t>
        </is>
      </c>
      <c r="BA43" t="inlineStr">
        <is>
          <t>2271300270002656</t>
        </is>
      </c>
      <c r="BB43" t="inlineStr">
        <is>
          <t>BOOK</t>
        </is>
      </c>
      <c r="BD43" t="inlineStr">
        <is>
          <t>9780887375347</t>
        </is>
      </c>
      <c r="BE43" t="inlineStr">
        <is>
          <t>30001002318162</t>
        </is>
      </c>
      <c r="BF43" t="inlineStr">
        <is>
          <t>893451905</t>
        </is>
      </c>
    </row>
    <row r="44">
      <c r="A44" t="inlineStr">
        <is>
          <t>No</t>
        </is>
      </c>
      <c r="B44" t="inlineStr">
        <is>
          <t>CUHSL</t>
        </is>
      </c>
      <c r="C44" t="inlineStr">
        <is>
          <t>SHELVES</t>
        </is>
      </c>
      <c r="D44" t="inlineStr">
        <is>
          <t>WY 11 AA1 K3r 1949</t>
        </is>
      </c>
      <c r="E44" t="inlineStr">
        <is>
          <t>0                      WY 0011000AA 1                  K  3r          1949</t>
        </is>
      </c>
      <c r="F44" t="inlineStr">
        <is>
          <t>The Red Cross nurse in action, 1882-1948.</t>
        </is>
      </c>
      <c r="H44" t="inlineStr">
        <is>
          <t>No</t>
        </is>
      </c>
      <c r="I44" t="inlineStr">
        <is>
          <t>1</t>
        </is>
      </c>
      <c r="J44" t="inlineStr">
        <is>
          <t>No</t>
        </is>
      </c>
      <c r="K44" t="inlineStr">
        <is>
          <t>No</t>
        </is>
      </c>
      <c r="L44" t="inlineStr">
        <is>
          <t>0</t>
        </is>
      </c>
      <c r="M44" t="inlineStr">
        <is>
          <t>Kernodle, Portia.</t>
        </is>
      </c>
      <c r="N44" t="inlineStr">
        <is>
          <t>New York : Harper, 1949.</t>
        </is>
      </c>
      <c r="O44" t="inlineStr">
        <is>
          <t>1949</t>
        </is>
      </c>
      <c r="Q44" t="inlineStr">
        <is>
          <t>eng</t>
        </is>
      </c>
      <c r="R44" t="inlineStr">
        <is>
          <t>nyu</t>
        </is>
      </c>
      <c r="T44" t="inlineStr">
        <is>
          <t xml:space="preserve">WY </t>
        </is>
      </c>
      <c r="U44" t="n">
        <v>7</v>
      </c>
      <c r="V44" t="n">
        <v>7</v>
      </c>
      <c r="W44" t="inlineStr">
        <is>
          <t>1994-03-01</t>
        </is>
      </c>
      <c r="X44" t="inlineStr">
        <is>
          <t>1994-03-01</t>
        </is>
      </c>
      <c r="Y44" t="inlineStr">
        <is>
          <t>1988-01-08</t>
        </is>
      </c>
      <c r="Z44" t="inlineStr">
        <is>
          <t>1988-01-08</t>
        </is>
      </c>
      <c r="AA44" t="n">
        <v>284</v>
      </c>
      <c r="AB44" t="n">
        <v>264</v>
      </c>
      <c r="AC44" t="n">
        <v>266</v>
      </c>
      <c r="AD44" t="n">
        <v>5</v>
      </c>
      <c r="AE44" t="n">
        <v>5</v>
      </c>
      <c r="AF44" t="n">
        <v>18</v>
      </c>
      <c r="AG44" t="n">
        <v>18</v>
      </c>
      <c r="AH44" t="n">
        <v>6</v>
      </c>
      <c r="AI44" t="n">
        <v>6</v>
      </c>
      <c r="AJ44" t="n">
        <v>3</v>
      </c>
      <c r="AK44" t="n">
        <v>3</v>
      </c>
      <c r="AL44" t="n">
        <v>8</v>
      </c>
      <c r="AM44" t="n">
        <v>8</v>
      </c>
      <c r="AN44" t="n">
        <v>3</v>
      </c>
      <c r="AO44" t="n">
        <v>3</v>
      </c>
      <c r="AP44" t="n">
        <v>0</v>
      </c>
      <c r="AQ44" t="n">
        <v>0</v>
      </c>
      <c r="AR44" t="inlineStr">
        <is>
          <t>No</t>
        </is>
      </c>
      <c r="AS44" t="inlineStr">
        <is>
          <t>Yes</t>
        </is>
      </c>
      <c r="AT44">
        <f>HYPERLINK("http://catalog.hathitrust.org/Record/001132215","HathiTrust Record")</f>
        <v/>
      </c>
      <c r="AU44">
        <f>HYPERLINK("https://creighton-primo.hosted.exlibrisgroup.com/primo-explore/search?tab=default_tab&amp;search_scope=EVERYTHING&amp;vid=01CRU&amp;lang=en_US&amp;offset=0&amp;query=any,contains,991001038959702656","Catalog Record")</f>
        <v/>
      </c>
      <c r="AV44">
        <f>HYPERLINK("http://www.worldcat.org/oclc/1247541","WorldCat Record")</f>
        <v/>
      </c>
      <c r="AW44" t="inlineStr">
        <is>
          <t>2155957:eng</t>
        </is>
      </c>
      <c r="AX44" t="inlineStr">
        <is>
          <t>1247541</t>
        </is>
      </c>
      <c r="AY44" t="inlineStr">
        <is>
          <t>991001038959702656</t>
        </is>
      </c>
      <c r="AZ44" t="inlineStr">
        <is>
          <t>991001038959702656</t>
        </is>
      </c>
      <c r="BA44" t="inlineStr">
        <is>
          <t>2263557870002656</t>
        </is>
      </c>
      <c r="BB44" t="inlineStr">
        <is>
          <t>BOOK</t>
        </is>
      </c>
      <c r="BE44" t="inlineStr">
        <is>
          <t>30001000241499</t>
        </is>
      </c>
      <c r="BF44" t="inlineStr">
        <is>
          <t>893727196</t>
        </is>
      </c>
    </row>
    <row r="45">
      <c r="A45" t="inlineStr">
        <is>
          <t>No</t>
        </is>
      </c>
      <c r="B45" t="inlineStr">
        <is>
          <t>CUHSL</t>
        </is>
      </c>
      <c r="C45" t="inlineStr">
        <is>
          <t>SHELVES</t>
        </is>
      </c>
      <c r="D45" t="inlineStr">
        <is>
          <t>WY 11 AA1 O5 1976</t>
        </is>
      </c>
      <c r="E45" t="inlineStr">
        <is>
          <t>0                      WY 0011000AA 1                  O  5           1976</t>
        </is>
      </c>
      <c r="F45" t="inlineStr">
        <is>
          <t>One strong voice : the story of the American Nurses' Association / compiled by Lyndia Flanagan.</t>
        </is>
      </c>
      <c r="H45" t="inlineStr">
        <is>
          <t>No</t>
        </is>
      </c>
      <c r="I45" t="inlineStr">
        <is>
          <t>1</t>
        </is>
      </c>
      <c r="J45" t="inlineStr">
        <is>
          <t>No</t>
        </is>
      </c>
      <c r="K45" t="inlineStr">
        <is>
          <t>No</t>
        </is>
      </c>
      <c r="L45" t="inlineStr">
        <is>
          <t>0</t>
        </is>
      </c>
      <c r="N45" t="inlineStr">
        <is>
          <t>-- Kansas City, Mo. : American Nurses' Association, 1976.</t>
        </is>
      </c>
      <c r="O45" t="inlineStr">
        <is>
          <t>1976</t>
        </is>
      </c>
      <c r="Q45" t="inlineStr">
        <is>
          <t>eng</t>
        </is>
      </c>
      <c r="R45" t="inlineStr">
        <is>
          <t>mou</t>
        </is>
      </c>
      <c r="S45" t="inlineStr">
        <is>
          <t>-- American Nurses' Association</t>
        </is>
      </c>
      <c r="T45" t="inlineStr">
        <is>
          <t xml:space="preserve">WY </t>
        </is>
      </c>
      <c r="U45" t="n">
        <v>6</v>
      </c>
      <c r="V45" t="n">
        <v>6</v>
      </c>
      <c r="W45" t="inlineStr">
        <is>
          <t>2005-07-21</t>
        </is>
      </c>
      <c r="X45" t="inlineStr">
        <is>
          <t>2005-07-21</t>
        </is>
      </c>
      <c r="Y45" t="inlineStr">
        <is>
          <t>1987-12-22</t>
        </is>
      </c>
      <c r="Z45" t="inlineStr">
        <is>
          <t>1987-12-22</t>
        </is>
      </c>
      <c r="AA45" t="n">
        <v>551</v>
      </c>
      <c r="AB45" t="n">
        <v>529</v>
      </c>
      <c r="AC45" t="n">
        <v>539</v>
      </c>
      <c r="AD45" t="n">
        <v>6</v>
      </c>
      <c r="AE45" t="n">
        <v>6</v>
      </c>
      <c r="AF45" t="n">
        <v>26</v>
      </c>
      <c r="AG45" t="n">
        <v>26</v>
      </c>
      <c r="AH45" t="n">
        <v>9</v>
      </c>
      <c r="AI45" t="n">
        <v>9</v>
      </c>
      <c r="AJ45" t="n">
        <v>5</v>
      </c>
      <c r="AK45" t="n">
        <v>5</v>
      </c>
      <c r="AL45" t="n">
        <v>12</v>
      </c>
      <c r="AM45" t="n">
        <v>12</v>
      </c>
      <c r="AN45" t="n">
        <v>4</v>
      </c>
      <c r="AO45" t="n">
        <v>4</v>
      </c>
      <c r="AP45" t="n">
        <v>0</v>
      </c>
      <c r="AQ45" t="n">
        <v>0</v>
      </c>
      <c r="AR45" t="inlineStr">
        <is>
          <t>No</t>
        </is>
      </c>
      <c r="AS45" t="inlineStr">
        <is>
          <t>Yes</t>
        </is>
      </c>
      <c r="AT45">
        <f>HYPERLINK("http://catalog.hathitrust.org/Record/000743731","HathiTrust Record")</f>
        <v/>
      </c>
      <c r="AU45">
        <f>HYPERLINK("https://creighton-primo.hosted.exlibrisgroup.com/primo-explore/search?tab=default_tab&amp;search_scope=EVERYTHING&amp;vid=01CRU&amp;lang=en_US&amp;offset=0&amp;query=any,contains,991001038989702656","Catalog Record")</f>
        <v/>
      </c>
      <c r="AV45">
        <f>HYPERLINK("http://www.worldcat.org/oclc/2409813","WorldCat Record")</f>
        <v/>
      </c>
      <c r="AW45" t="inlineStr">
        <is>
          <t>46802673:eng</t>
        </is>
      </c>
      <c r="AX45" t="inlineStr">
        <is>
          <t>2409813</t>
        </is>
      </c>
      <c r="AY45" t="inlineStr">
        <is>
          <t>991001038989702656</t>
        </is>
      </c>
      <c r="AZ45" t="inlineStr">
        <is>
          <t>991001038989702656</t>
        </is>
      </c>
      <c r="BA45" t="inlineStr">
        <is>
          <t>2269193970002656</t>
        </is>
      </c>
      <c r="BB45" t="inlineStr">
        <is>
          <t>BOOK</t>
        </is>
      </c>
      <c r="BD45" t="inlineStr">
        <is>
          <t>9780913504314</t>
        </is>
      </c>
      <c r="BE45" t="inlineStr">
        <is>
          <t>30001000241515</t>
        </is>
      </c>
      <c r="BF45" t="inlineStr">
        <is>
          <t>893637955</t>
        </is>
      </c>
    </row>
    <row r="46">
      <c r="A46" t="inlineStr">
        <is>
          <t>No</t>
        </is>
      </c>
      <c r="B46" t="inlineStr">
        <is>
          <t>CUHSL</t>
        </is>
      </c>
      <c r="C46" t="inlineStr">
        <is>
          <t>SHELVES</t>
        </is>
      </c>
      <c r="D46" t="inlineStr">
        <is>
          <t>WY 11AA1 R6a</t>
        </is>
      </c>
      <c r="E46" t="inlineStr">
        <is>
          <t>0                      WY 0011000AA 1                  R  6a</t>
        </is>
      </c>
      <c r="F46" t="inlineStr">
        <is>
          <t>American nursing : history and interpretation.</t>
        </is>
      </c>
      <c r="H46" t="inlineStr">
        <is>
          <t>No</t>
        </is>
      </c>
      <c r="I46" t="inlineStr">
        <is>
          <t>1</t>
        </is>
      </c>
      <c r="J46" t="inlineStr">
        <is>
          <t>No</t>
        </is>
      </c>
      <c r="K46" t="inlineStr">
        <is>
          <t>No</t>
        </is>
      </c>
      <c r="L46" t="inlineStr">
        <is>
          <t>0</t>
        </is>
      </c>
      <c r="M46" t="inlineStr">
        <is>
          <t>Roberts, Mary M.</t>
        </is>
      </c>
      <c r="N46" t="inlineStr">
        <is>
          <t>New York : Macmillan, 1954.</t>
        </is>
      </c>
      <c r="O46" t="inlineStr">
        <is>
          <t>1954</t>
        </is>
      </c>
      <c r="Q46" t="inlineStr">
        <is>
          <t>eng</t>
        </is>
      </c>
      <c r="R46" t="inlineStr">
        <is>
          <t>nyu</t>
        </is>
      </c>
      <c r="T46" t="inlineStr">
        <is>
          <t xml:space="preserve">WY </t>
        </is>
      </c>
      <c r="U46" t="n">
        <v>5</v>
      </c>
      <c r="V46" t="n">
        <v>5</v>
      </c>
      <c r="W46" t="inlineStr">
        <is>
          <t>2003-10-24</t>
        </is>
      </c>
      <c r="X46" t="inlineStr">
        <is>
          <t>2003-10-24</t>
        </is>
      </c>
      <c r="Y46" t="inlineStr">
        <is>
          <t>1988-04-24</t>
        </is>
      </c>
      <c r="Z46" t="inlineStr">
        <is>
          <t>1988-04-24</t>
        </is>
      </c>
      <c r="AA46" t="n">
        <v>470</v>
      </c>
      <c r="AB46" t="n">
        <v>440</v>
      </c>
      <c r="AC46" t="n">
        <v>467</v>
      </c>
      <c r="AD46" t="n">
        <v>7</v>
      </c>
      <c r="AE46" t="n">
        <v>7</v>
      </c>
      <c r="AF46" t="n">
        <v>27</v>
      </c>
      <c r="AG46" t="n">
        <v>27</v>
      </c>
      <c r="AH46" t="n">
        <v>12</v>
      </c>
      <c r="AI46" t="n">
        <v>12</v>
      </c>
      <c r="AJ46" t="n">
        <v>3</v>
      </c>
      <c r="AK46" t="n">
        <v>3</v>
      </c>
      <c r="AL46" t="n">
        <v>11</v>
      </c>
      <c r="AM46" t="n">
        <v>11</v>
      </c>
      <c r="AN46" t="n">
        <v>5</v>
      </c>
      <c r="AO46" t="n">
        <v>5</v>
      </c>
      <c r="AP46" t="n">
        <v>0</v>
      </c>
      <c r="AQ46" t="n">
        <v>0</v>
      </c>
      <c r="AR46" t="inlineStr">
        <is>
          <t>No</t>
        </is>
      </c>
      <c r="AS46" t="inlineStr">
        <is>
          <t>Yes</t>
        </is>
      </c>
      <c r="AT46">
        <f>HYPERLINK("http://catalog.hathitrust.org/Record/001574064","HathiTrust Record")</f>
        <v/>
      </c>
      <c r="AU46">
        <f>HYPERLINK("https://creighton-primo.hosted.exlibrisgroup.com/primo-explore/search?tab=default_tab&amp;search_scope=EVERYTHING&amp;vid=01CRU&amp;lang=en_US&amp;offset=0&amp;query=any,contains,991000741719702656","Catalog Record")</f>
        <v/>
      </c>
      <c r="AV46">
        <f>HYPERLINK("http://www.worldcat.org/oclc/743081","WorldCat Record")</f>
        <v/>
      </c>
      <c r="AW46" t="inlineStr">
        <is>
          <t>1813966:eng</t>
        </is>
      </c>
      <c r="AX46" t="inlineStr">
        <is>
          <t>743081</t>
        </is>
      </c>
      <c r="AY46" t="inlineStr">
        <is>
          <t>991000741719702656</t>
        </is>
      </c>
      <c r="AZ46" t="inlineStr">
        <is>
          <t>991000741719702656</t>
        </is>
      </c>
      <c r="BA46" t="inlineStr">
        <is>
          <t>2267446470002656</t>
        </is>
      </c>
      <c r="BB46" t="inlineStr">
        <is>
          <t>BOOK</t>
        </is>
      </c>
      <c r="BE46" t="inlineStr">
        <is>
          <t>30001000043515</t>
        </is>
      </c>
      <c r="BF46" t="inlineStr">
        <is>
          <t>893815323</t>
        </is>
      </c>
    </row>
    <row r="47">
      <c r="A47" t="inlineStr">
        <is>
          <t>No</t>
        </is>
      </c>
      <c r="B47" t="inlineStr">
        <is>
          <t>CUHSL</t>
        </is>
      </c>
      <c r="C47" t="inlineStr">
        <is>
          <t>SHELVES</t>
        </is>
      </c>
      <c r="D47" t="inlineStr">
        <is>
          <t>WY 11 B659n 1978</t>
        </is>
      </c>
      <c r="E47" t="inlineStr">
        <is>
          <t>0                      WY 0011000B  659n        1978</t>
        </is>
      </c>
      <c r="F47" t="inlineStr">
        <is>
          <t>Nursing in society : a historical perspective / Josephine A. Dolan.</t>
        </is>
      </c>
      <c r="H47" t="inlineStr">
        <is>
          <t>No</t>
        </is>
      </c>
      <c r="I47" t="inlineStr">
        <is>
          <t>1</t>
        </is>
      </c>
      <c r="J47" t="inlineStr">
        <is>
          <t>No</t>
        </is>
      </c>
      <c r="K47" t="inlineStr">
        <is>
          <t>Yes</t>
        </is>
      </c>
      <c r="L47" t="inlineStr">
        <is>
          <t>0</t>
        </is>
      </c>
      <c r="M47" t="inlineStr">
        <is>
          <t>Dolan, Josephine A.</t>
        </is>
      </c>
      <c r="N47" t="inlineStr">
        <is>
          <t>Philadelphia : Saunders, c1978.</t>
        </is>
      </c>
      <c r="O47" t="inlineStr">
        <is>
          <t>1978</t>
        </is>
      </c>
      <c r="P47" t="inlineStr">
        <is>
          <t>14th ed.</t>
        </is>
      </c>
      <c r="Q47" t="inlineStr">
        <is>
          <t>eng</t>
        </is>
      </c>
      <c r="R47" t="inlineStr">
        <is>
          <t>pau</t>
        </is>
      </c>
      <c r="T47" t="inlineStr">
        <is>
          <t xml:space="preserve">WY </t>
        </is>
      </c>
      <c r="U47" t="n">
        <v>6</v>
      </c>
      <c r="V47" t="n">
        <v>6</v>
      </c>
      <c r="W47" t="inlineStr">
        <is>
          <t>1994-06-11</t>
        </is>
      </c>
      <c r="X47" t="inlineStr">
        <is>
          <t>1994-06-11</t>
        </is>
      </c>
      <c r="Y47" t="inlineStr">
        <is>
          <t>1988-01-13</t>
        </is>
      </c>
      <c r="Z47" t="inlineStr">
        <is>
          <t>1988-01-13</t>
        </is>
      </c>
      <c r="AA47" t="n">
        <v>424</v>
      </c>
      <c r="AB47" t="n">
        <v>317</v>
      </c>
      <c r="AC47" t="n">
        <v>881</v>
      </c>
      <c r="AD47" t="n">
        <v>4</v>
      </c>
      <c r="AE47" t="n">
        <v>11</v>
      </c>
      <c r="AF47" t="n">
        <v>11</v>
      </c>
      <c r="AG47" t="n">
        <v>31</v>
      </c>
      <c r="AH47" t="n">
        <v>2</v>
      </c>
      <c r="AI47" t="n">
        <v>13</v>
      </c>
      <c r="AJ47" t="n">
        <v>2</v>
      </c>
      <c r="AK47" t="n">
        <v>4</v>
      </c>
      <c r="AL47" t="n">
        <v>4</v>
      </c>
      <c r="AM47" t="n">
        <v>13</v>
      </c>
      <c r="AN47" t="n">
        <v>3</v>
      </c>
      <c r="AO47" t="n">
        <v>7</v>
      </c>
      <c r="AP47" t="n">
        <v>0</v>
      </c>
      <c r="AQ47" t="n">
        <v>0</v>
      </c>
      <c r="AR47" t="inlineStr">
        <is>
          <t>No</t>
        </is>
      </c>
      <c r="AS47" t="inlineStr">
        <is>
          <t>Yes</t>
        </is>
      </c>
      <c r="AT47">
        <f>HYPERLINK("http://catalog.hathitrust.org/Record/000176875","HathiTrust Record")</f>
        <v/>
      </c>
      <c r="AU47">
        <f>HYPERLINK("https://creighton-primo.hosted.exlibrisgroup.com/primo-explore/search?tab=default_tab&amp;search_scope=EVERYTHING&amp;vid=01CRU&amp;lang=en_US&amp;offset=0&amp;query=any,contains,991001035459702656","Catalog Record")</f>
        <v/>
      </c>
      <c r="AV47">
        <f>HYPERLINK("http://www.worldcat.org/oclc/4005219","WorldCat Record")</f>
        <v/>
      </c>
      <c r="AW47" t="inlineStr">
        <is>
          <t>1685823:eng</t>
        </is>
      </c>
      <c r="AX47" t="inlineStr">
        <is>
          <t>4005219</t>
        </is>
      </c>
      <c r="AY47" t="inlineStr">
        <is>
          <t>991001035459702656</t>
        </is>
      </c>
      <c r="AZ47" t="inlineStr">
        <is>
          <t>991001035459702656</t>
        </is>
      </c>
      <c r="BA47" t="inlineStr">
        <is>
          <t>2264864680002656</t>
        </is>
      </c>
      <c r="BB47" t="inlineStr">
        <is>
          <t>BOOK</t>
        </is>
      </c>
      <c r="BD47" t="inlineStr">
        <is>
          <t>9780721631332</t>
        </is>
      </c>
      <c r="BE47" t="inlineStr">
        <is>
          <t>30001000240699</t>
        </is>
      </c>
      <c r="BF47" t="inlineStr">
        <is>
          <t>893168009</t>
        </is>
      </c>
    </row>
    <row r="48">
      <c r="A48" t="inlineStr">
        <is>
          <t>No</t>
        </is>
      </c>
      <c r="B48" t="inlineStr">
        <is>
          <t>CUHSL</t>
        </is>
      </c>
      <c r="C48" t="inlineStr">
        <is>
          <t>SHELVES</t>
        </is>
      </c>
      <c r="D48" t="inlineStr">
        <is>
          <t>WY 11 B829w 1952</t>
        </is>
      </c>
      <c r="E48" t="inlineStr">
        <is>
          <t>0                      WY 0011000B  829w        1952</t>
        </is>
      </c>
      <c r="F48" t="inlineStr">
        <is>
          <t>Wide neighborhoods : a story of the Frontier Nursing Service.</t>
        </is>
      </c>
      <c r="H48" t="inlineStr">
        <is>
          <t>No</t>
        </is>
      </c>
      <c r="I48" t="inlineStr">
        <is>
          <t>1</t>
        </is>
      </c>
      <c r="J48" t="inlineStr">
        <is>
          <t>No</t>
        </is>
      </c>
      <c r="K48" t="inlineStr">
        <is>
          <t>No</t>
        </is>
      </c>
      <c r="L48" t="inlineStr">
        <is>
          <t>0</t>
        </is>
      </c>
      <c r="M48" t="inlineStr">
        <is>
          <t>Breckinridge, Mary, 1881-1965.</t>
        </is>
      </c>
      <c r="N48" t="inlineStr">
        <is>
          <t>New York : Harper, 1952.</t>
        </is>
      </c>
      <c r="O48" t="inlineStr">
        <is>
          <t>1952</t>
        </is>
      </c>
      <c r="P48" t="inlineStr">
        <is>
          <t>1st ed.</t>
        </is>
      </c>
      <c r="Q48" t="inlineStr">
        <is>
          <t>eng</t>
        </is>
      </c>
      <c r="R48" t="inlineStr">
        <is>
          <t>nyu</t>
        </is>
      </c>
      <c r="T48" t="inlineStr">
        <is>
          <t xml:space="preserve">WY </t>
        </is>
      </c>
      <c r="U48" t="n">
        <v>1</v>
      </c>
      <c r="V48" t="n">
        <v>1</v>
      </c>
      <c r="W48" t="inlineStr">
        <is>
          <t>1994-11-19</t>
        </is>
      </c>
      <c r="X48" t="inlineStr">
        <is>
          <t>1994-11-19</t>
        </is>
      </c>
      <c r="Y48" t="inlineStr">
        <is>
          <t>1988-01-08</t>
        </is>
      </c>
      <c r="Z48" t="inlineStr">
        <is>
          <t>1988-01-08</t>
        </is>
      </c>
      <c r="AA48" t="n">
        <v>494</v>
      </c>
      <c r="AB48" t="n">
        <v>470</v>
      </c>
      <c r="AC48" t="n">
        <v>734</v>
      </c>
      <c r="AD48" t="n">
        <v>5</v>
      </c>
      <c r="AE48" t="n">
        <v>7</v>
      </c>
      <c r="AF48" t="n">
        <v>13</v>
      </c>
      <c r="AG48" t="n">
        <v>21</v>
      </c>
      <c r="AH48" t="n">
        <v>4</v>
      </c>
      <c r="AI48" t="n">
        <v>8</v>
      </c>
      <c r="AJ48" t="n">
        <v>4</v>
      </c>
      <c r="AK48" t="n">
        <v>4</v>
      </c>
      <c r="AL48" t="n">
        <v>4</v>
      </c>
      <c r="AM48" t="n">
        <v>8</v>
      </c>
      <c r="AN48" t="n">
        <v>2</v>
      </c>
      <c r="AO48" t="n">
        <v>3</v>
      </c>
      <c r="AP48" t="n">
        <v>0</v>
      </c>
      <c r="AQ48" t="n">
        <v>0</v>
      </c>
      <c r="AR48" t="inlineStr">
        <is>
          <t>No</t>
        </is>
      </c>
      <c r="AS48" t="inlineStr">
        <is>
          <t>Yes</t>
        </is>
      </c>
      <c r="AT48">
        <f>HYPERLINK("http://catalog.hathitrust.org/Record/001558784","HathiTrust Record")</f>
        <v/>
      </c>
      <c r="AU48">
        <f>HYPERLINK("https://creighton-primo.hosted.exlibrisgroup.com/primo-explore/search?tab=default_tab&amp;search_scope=EVERYTHING&amp;vid=01CRU&amp;lang=en_US&amp;offset=0&amp;query=any,contains,991001035119702656","Catalog Record")</f>
        <v/>
      </c>
      <c r="AV48">
        <f>HYPERLINK("http://www.worldcat.org/oclc/299354","WorldCat Record")</f>
        <v/>
      </c>
      <c r="AW48" t="inlineStr">
        <is>
          <t>473977:eng</t>
        </is>
      </c>
      <c r="AX48" t="inlineStr">
        <is>
          <t>299354</t>
        </is>
      </c>
      <c r="AY48" t="inlineStr">
        <is>
          <t>991001035119702656</t>
        </is>
      </c>
      <c r="AZ48" t="inlineStr">
        <is>
          <t>991001035119702656</t>
        </is>
      </c>
      <c r="BA48" t="inlineStr">
        <is>
          <t>2264356270002656</t>
        </is>
      </c>
      <c r="BB48" t="inlineStr">
        <is>
          <t>BOOK</t>
        </is>
      </c>
      <c r="BE48" t="inlineStr">
        <is>
          <t>30001000240624</t>
        </is>
      </c>
      <c r="BF48" t="inlineStr">
        <is>
          <t>893161632</t>
        </is>
      </c>
    </row>
    <row r="49">
      <c r="A49" t="inlineStr">
        <is>
          <t>No</t>
        </is>
      </c>
      <c r="B49" t="inlineStr">
        <is>
          <t>CUHSL</t>
        </is>
      </c>
      <c r="C49" t="inlineStr">
        <is>
          <t>SHELVES</t>
        </is>
      </c>
      <c r="D49" t="inlineStr">
        <is>
          <t>WY 11 B938e 1964</t>
        </is>
      </c>
      <c r="E49" t="inlineStr">
        <is>
          <t>0                      WY 0011000B  938e        1964</t>
        </is>
      </c>
      <c r="F49" t="inlineStr">
        <is>
          <t>The emergence of modern nursing / by Bonnie Bullough and Vern L. Bullough.</t>
        </is>
      </c>
      <c r="H49" t="inlineStr">
        <is>
          <t>No</t>
        </is>
      </c>
      <c r="I49" t="inlineStr">
        <is>
          <t>1</t>
        </is>
      </c>
      <c r="J49" t="inlineStr">
        <is>
          <t>No</t>
        </is>
      </c>
      <c r="K49" t="inlineStr">
        <is>
          <t>No</t>
        </is>
      </c>
      <c r="L49" t="inlineStr">
        <is>
          <t>0</t>
        </is>
      </c>
      <c r="M49" t="inlineStr">
        <is>
          <t>Bullough, Bonnie.</t>
        </is>
      </c>
      <c r="N49" t="inlineStr">
        <is>
          <t>New York : Macmillan, 1964.</t>
        </is>
      </c>
      <c r="O49" t="inlineStr">
        <is>
          <t>1964</t>
        </is>
      </c>
      <c r="Q49" t="inlineStr">
        <is>
          <t>eng</t>
        </is>
      </c>
      <c r="R49" t="inlineStr">
        <is>
          <t>nyu</t>
        </is>
      </c>
      <c r="T49" t="inlineStr">
        <is>
          <t xml:space="preserve">WY </t>
        </is>
      </c>
      <c r="U49" t="n">
        <v>2</v>
      </c>
      <c r="V49" t="n">
        <v>2</v>
      </c>
      <c r="W49" t="inlineStr">
        <is>
          <t>2004-03-23</t>
        </is>
      </c>
      <c r="X49" t="inlineStr">
        <is>
          <t>2004-03-23</t>
        </is>
      </c>
      <c r="Y49" t="inlineStr">
        <is>
          <t>1988-01-09</t>
        </is>
      </c>
      <c r="Z49" t="inlineStr">
        <is>
          <t>1988-01-09</t>
        </is>
      </c>
      <c r="AA49" t="n">
        <v>407</v>
      </c>
      <c r="AB49" t="n">
        <v>372</v>
      </c>
      <c r="AC49" t="n">
        <v>712</v>
      </c>
      <c r="AD49" t="n">
        <v>6</v>
      </c>
      <c r="AE49" t="n">
        <v>8</v>
      </c>
      <c r="AF49" t="n">
        <v>14</v>
      </c>
      <c r="AG49" t="n">
        <v>30</v>
      </c>
      <c r="AH49" t="n">
        <v>4</v>
      </c>
      <c r="AI49" t="n">
        <v>10</v>
      </c>
      <c r="AJ49" t="n">
        <v>1</v>
      </c>
      <c r="AK49" t="n">
        <v>5</v>
      </c>
      <c r="AL49" t="n">
        <v>4</v>
      </c>
      <c r="AM49" t="n">
        <v>13</v>
      </c>
      <c r="AN49" t="n">
        <v>5</v>
      </c>
      <c r="AO49" t="n">
        <v>7</v>
      </c>
      <c r="AP49" t="n">
        <v>0</v>
      </c>
      <c r="AQ49" t="n">
        <v>0</v>
      </c>
      <c r="AR49" t="inlineStr">
        <is>
          <t>No</t>
        </is>
      </c>
      <c r="AS49" t="inlineStr">
        <is>
          <t>Yes</t>
        </is>
      </c>
      <c r="AT49">
        <f>HYPERLINK("http://catalog.hathitrust.org/Record/001574103","HathiTrust Record")</f>
        <v/>
      </c>
      <c r="AU49">
        <f>HYPERLINK("https://creighton-primo.hosted.exlibrisgroup.com/primo-explore/search?tab=default_tab&amp;search_scope=EVERYTHING&amp;vid=01CRU&amp;lang=en_US&amp;offset=0&amp;query=any,contains,991001035239702656","Catalog Record")</f>
        <v/>
      </c>
      <c r="AV49">
        <f>HYPERLINK("http://www.worldcat.org/oclc/965283","WorldCat Record")</f>
        <v/>
      </c>
      <c r="AW49" t="inlineStr">
        <is>
          <t>540930:eng</t>
        </is>
      </c>
      <c r="AX49" t="inlineStr">
        <is>
          <t>965283</t>
        </is>
      </c>
      <c r="AY49" t="inlineStr">
        <is>
          <t>991001035239702656</t>
        </is>
      </c>
      <c r="AZ49" t="inlineStr">
        <is>
          <t>991001035239702656</t>
        </is>
      </c>
      <c r="BA49" t="inlineStr">
        <is>
          <t>2258339830002656</t>
        </is>
      </c>
      <c r="BB49" t="inlineStr">
        <is>
          <t>BOOK</t>
        </is>
      </c>
      <c r="BE49" t="inlineStr">
        <is>
          <t>30001000240632</t>
        </is>
      </c>
      <c r="BF49" t="inlineStr">
        <is>
          <t>893743611</t>
        </is>
      </c>
    </row>
    <row r="50">
      <c r="A50" t="inlineStr">
        <is>
          <t>No</t>
        </is>
      </c>
      <c r="B50" t="inlineStr">
        <is>
          <t>CUHSL</t>
        </is>
      </c>
      <c r="C50" t="inlineStr">
        <is>
          <t>SHELVES</t>
        </is>
      </c>
      <c r="D50" t="inlineStr">
        <is>
          <t>WY 11 F673e 1983</t>
        </is>
      </c>
      <c r="E50" t="inlineStr">
        <is>
          <t>0                      WY 0011000F  673e        1983</t>
        </is>
      </c>
      <c r="F50" t="inlineStr">
        <is>
          <t>The entry dilemma : the National League for Nursing and the higher education movement, 1952-1972, with an epilogue to 1983 / Shirley H. Fondiller.</t>
        </is>
      </c>
      <c r="H50" t="inlineStr">
        <is>
          <t>No</t>
        </is>
      </c>
      <c r="I50" t="inlineStr">
        <is>
          <t>1</t>
        </is>
      </c>
      <c r="J50" t="inlineStr">
        <is>
          <t>No</t>
        </is>
      </c>
      <c r="K50" t="inlineStr">
        <is>
          <t>No</t>
        </is>
      </c>
      <c r="L50" t="inlineStr">
        <is>
          <t>0</t>
        </is>
      </c>
      <c r="M50" t="inlineStr">
        <is>
          <t>Fondiller, Shirley H.</t>
        </is>
      </c>
      <c r="N50" t="inlineStr">
        <is>
          <t>New York, N.Y. : National League for Nursing, c1983.</t>
        </is>
      </c>
      <c r="O50" t="inlineStr">
        <is>
          <t>1983</t>
        </is>
      </c>
      <c r="Q50" t="inlineStr">
        <is>
          <t>eng</t>
        </is>
      </c>
      <c r="R50" t="inlineStr">
        <is>
          <t>nyu</t>
        </is>
      </c>
      <c r="S50" t="inlineStr">
        <is>
          <t>NLN pub. no. 41-1896</t>
        </is>
      </c>
      <c r="T50" t="inlineStr">
        <is>
          <t xml:space="preserve">WY </t>
        </is>
      </c>
      <c r="U50" t="n">
        <v>2</v>
      </c>
      <c r="V50" t="n">
        <v>2</v>
      </c>
      <c r="W50" t="inlineStr">
        <is>
          <t>1994-06-11</t>
        </is>
      </c>
      <c r="X50" t="inlineStr">
        <is>
          <t>1994-06-11</t>
        </is>
      </c>
      <c r="Y50" t="inlineStr">
        <is>
          <t>1987-11-12</t>
        </is>
      </c>
      <c r="Z50" t="inlineStr">
        <is>
          <t>1987-11-12</t>
        </is>
      </c>
      <c r="AA50" t="n">
        <v>199</v>
      </c>
      <c r="AB50" t="n">
        <v>181</v>
      </c>
      <c r="AC50" t="n">
        <v>183</v>
      </c>
      <c r="AD50" t="n">
        <v>2</v>
      </c>
      <c r="AE50" t="n">
        <v>2</v>
      </c>
      <c r="AF50" t="n">
        <v>7</v>
      </c>
      <c r="AG50" t="n">
        <v>7</v>
      </c>
      <c r="AH50" t="n">
        <v>2</v>
      </c>
      <c r="AI50" t="n">
        <v>2</v>
      </c>
      <c r="AJ50" t="n">
        <v>2</v>
      </c>
      <c r="AK50" t="n">
        <v>2</v>
      </c>
      <c r="AL50" t="n">
        <v>4</v>
      </c>
      <c r="AM50" t="n">
        <v>4</v>
      </c>
      <c r="AN50" t="n">
        <v>0</v>
      </c>
      <c r="AO50" t="n">
        <v>0</v>
      </c>
      <c r="AP50" t="n">
        <v>0</v>
      </c>
      <c r="AQ50" t="n">
        <v>0</v>
      </c>
      <c r="AR50" t="inlineStr">
        <is>
          <t>No</t>
        </is>
      </c>
      <c r="AS50" t="inlineStr">
        <is>
          <t>Yes</t>
        </is>
      </c>
      <c r="AT50">
        <f>HYPERLINK("http://catalog.hathitrust.org/Record/000281061","HathiTrust Record")</f>
        <v/>
      </c>
      <c r="AU50">
        <f>HYPERLINK("https://creighton-primo.hosted.exlibrisgroup.com/primo-explore/search?tab=default_tab&amp;search_scope=EVERYTHING&amp;vid=01CRU&amp;lang=en_US&amp;offset=0&amp;query=any,contains,991001390339702656","Catalog Record")</f>
        <v/>
      </c>
      <c r="AV50">
        <f>HYPERLINK("http://www.worldcat.org/oclc/11291695","WorldCat Record")</f>
        <v/>
      </c>
      <c r="AW50" t="inlineStr">
        <is>
          <t>292539750:eng</t>
        </is>
      </c>
      <c r="AX50" t="inlineStr">
        <is>
          <t>11291695</t>
        </is>
      </c>
      <c r="AY50" t="inlineStr">
        <is>
          <t>991001390339702656</t>
        </is>
      </c>
      <c r="AZ50" t="inlineStr">
        <is>
          <t>991001390339702656</t>
        </is>
      </c>
      <c r="BA50" t="inlineStr">
        <is>
          <t>2262180940002656</t>
        </is>
      </c>
      <c r="BB50" t="inlineStr">
        <is>
          <t>BOOK</t>
        </is>
      </c>
      <c r="BE50" t="inlineStr">
        <is>
          <t>30001000464901</t>
        </is>
      </c>
      <c r="BF50" t="inlineStr">
        <is>
          <t>893552427</t>
        </is>
      </c>
    </row>
    <row r="51">
      <c r="A51" t="inlineStr">
        <is>
          <t>No</t>
        </is>
      </c>
      <c r="B51" t="inlineStr">
        <is>
          <t>CUHSL</t>
        </is>
      </c>
      <c r="C51" t="inlineStr">
        <is>
          <t>SHELVES</t>
        </is>
      </c>
      <c r="D51" t="inlineStr">
        <is>
          <t>WY 11 F828 1953</t>
        </is>
      </c>
      <c r="E51" t="inlineStr">
        <is>
          <t>0                      WY 0011000F  828         1953</t>
        </is>
      </c>
      <c r="F51" t="inlineStr">
        <is>
          <t>The historical development of nursing : emphasizing the cultural background of the race and the influence of philosophy and religion on the healing arts.</t>
        </is>
      </c>
      <c r="H51" t="inlineStr">
        <is>
          <t>No</t>
        </is>
      </c>
      <c r="I51" t="inlineStr">
        <is>
          <t>1</t>
        </is>
      </c>
      <c r="J51" t="inlineStr">
        <is>
          <t>No</t>
        </is>
      </c>
      <c r="K51" t="inlineStr">
        <is>
          <t>No</t>
        </is>
      </c>
      <c r="L51" t="inlineStr">
        <is>
          <t>0</t>
        </is>
      </c>
      <c r="M51" t="inlineStr">
        <is>
          <t>Frank, Charles Marie, Sister.</t>
        </is>
      </c>
      <c r="N51" t="inlineStr">
        <is>
          <t>Philadelphia : Saunders, 1953.</t>
        </is>
      </c>
      <c r="O51" t="inlineStr">
        <is>
          <t>1953</t>
        </is>
      </c>
      <c r="Q51" t="inlineStr">
        <is>
          <t>eng</t>
        </is>
      </c>
      <c r="R51" t="inlineStr">
        <is>
          <t>pau</t>
        </is>
      </c>
      <c r="T51" t="inlineStr">
        <is>
          <t xml:space="preserve">WY </t>
        </is>
      </c>
      <c r="U51" t="n">
        <v>4</v>
      </c>
      <c r="V51" t="n">
        <v>4</v>
      </c>
      <c r="W51" t="inlineStr">
        <is>
          <t>1994-06-11</t>
        </is>
      </c>
      <c r="X51" t="inlineStr">
        <is>
          <t>1994-06-11</t>
        </is>
      </c>
      <c r="Y51" t="inlineStr">
        <is>
          <t>1988-01-13</t>
        </is>
      </c>
      <c r="Z51" t="inlineStr">
        <is>
          <t>1988-01-13</t>
        </is>
      </c>
      <c r="AA51" t="n">
        <v>202</v>
      </c>
      <c r="AB51" t="n">
        <v>173</v>
      </c>
      <c r="AC51" t="n">
        <v>180</v>
      </c>
      <c r="AD51" t="n">
        <v>1</v>
      </c>
      <c r="AE51" t="n">
        <v>1</v>
      </c>
      <c r="AF51" t="n">
        <v>14</v>
      </c>
      <c r="AG51" t="n">
        <v>14</v>
      </c>
      <c r="AH51" t="n">
        <v>3</v>
      </c>
      <c r="AI51" t="n">
        <v>3</v>
      </c>
      <c r="AJ51" t="n">
        <v>6</v>
      </c>
      <c r="AK51" t="n">
        <v>6</v>
      </c>
      <c r="AL51" t="n">
        <v>8</v>
      </c>
      <c r="AM51" t="n">
        <v>8</v>
      </c>
      <c r="AN51" t="n">
        <v>0</v>
      </c>
      <c r="AO51" t="n">
        <v>0</v>
      </c>
      <c r="AP51" t="n">
        <v>0</v>
      </c>
      <c r="AQ51" t="n">
        <v>0</v>
      </c>
      <c r="AR51" t="inlineStr">
        <is>
          <t>Yes</t>
        </is>
      </c>
      <c r="AS51" t="inlineStr">
        <is>
          <t>No</t>
        </is>
      </c>
      <c r="AT51">
        <f>HYPERLINK("http://catalog.hathitrust.org/Record/001574111","HathiTrust Record")</f>
        <v/>
      </c>
      <c r="AU51">
        <f>HYPERLINK("https://creighton-primo.hosted.exlibrisgroup.com/primo-explore/search?tab=default_tab&amp;search_scope=EVERYTHING&amp;vid=01CRU&amp;lang=en_US&amp;offset=0&amp;query=any,contains,991001035659702656","Catalog Record")</f>
        <v/>
      </c>
      <c r="AV51">
        <f>HYPERLINK("http://www.worldcat.org/oclc/1355210","WorldCat Record")</f>
        <v/>
      </c>
      <c r="AW51" t="inlineStr">
        <is>
          <t>229638069:eng</t>
        </is>
      </c>
      <c r="AX51" t="inlineStr">
        <is>
          <t>1355210</t>
        </is>
      </c>
      <c r="AY51" t="inlineStr">
        <is>
          <t>991001035659702656</t>
        </is>
      </c>
      <c r="AZ51" t="inlineStr">
        <is>
          <t>991001035659702656</t>
        </is>
      </c>
      <c r="BA51" t="inlineStr">
        <is>
          <t>2272381820002656</t>
        </is>
      </c>
      <c r="BB51" t="inlineStr">
        <is>
          <t>BOOK</t>
        </is>
      </c>
      <c r="BE51" t="inlineStr">
        <is>
          <t>30001000240715</t>
        </is>
      </c>
      <c r="BF51" t="inlineStr">
        <is>
          <t>893467791</t>
        </is>
      </c>
    </row>
    <row r="52">
      <c r="A52" t="inlineStr">
        <is>
          <t>No</t>
        </is>
      </c>
      <c r="B52" t="inlineStr">
        <is>
          <t>CUHSL</t>
        </is>
      </c>
      <c r="C52" t="inlineStr">
        <is>
          <t>SHELVES</t>
        </is>
      </c>
      <c r="D52" t="inlineStr">
        <is>
          <t>WY 11 G653 1968</t>
        </is>
      </c>
      <c r="E52" t="inlineStr">
        <is>
          <t>0                      WY 0011000G  653         1968</t>
        </is>
      </c>
      <c r="F52" t="inlineStr">
        <is>
          <t>History of nursing / by Josephine A. Dolan.</t>
        </is>
      </c>
      <c r="H52" t="inlineStr">
        <is>
          <t>No</t>
        </is>
      </c>
      <c r="I52" t="inlineStr">
        <is>
          <t>1</t>
        </is>
      </c>
      <c r="J52" t="inlineStr">
        <is>
          <t>No</t>
        </is>
      </c>
      <c r="K52" t="inlineStr">
        <is>
          <t>No</t>
        </is>
      </c>
      <c r="L52" t="inlineStr">
        <is>
          <t>0</t>
        </is>
      </c>
      <c r="M52" t="inlineStr">
        <is>
          <t>Dolan, Josephine A.</t>
        </is>
      </c>
      <c r="N52" t="inlineStr">
        <is>
          <t>Philadelphia : Saunders, 1968.</t>
        </is>
      </c>
      <c r="O52" t="inlineStr">
        <is>
          <t>1968</t>
        </is>
      </c>
      <c r="P52" t="inlineStr">
        <is>
          <t>12th ed.</t>
        </is>
      </c>
      <c r="Q52" t="inlineStr">
        <is>
          <t>eng</t>
        </is>
      </c>
      <c r="R52" t="inlineStr">
        <is>
          <t>pau</t>
        </is>
      </c>
      <c r="T52" t="inlineStr">
        <is>
          <t xml:space="preserve">WY </t>
        </is>
      </c>
      <c r="U52" t="n">
        <v>8</v>
      </c>
      <c r="V52" t="n">
        <v>8</v>
      </c>
      <c r="W52" t="inlineStr">
        <is>
          <t>2005-07-21</t>
        </is>
      </c>
      <c r="X52" t="inlineStr">
        <is>
          <t>2005-07-21</t>
        </is>
      </c>
      <c r="Y52" t="inlineStr">
        <is>
          <t>1988-01-08</t>
        </is>
      </c>
      <c r="Z52" t="inlineStr">
        <is>
          <t>1988-01-08</t>
        </is>
      </c>
      <c r="AA52" t="n">
        <v>388</v>
      </c>
      <c r="AB52" t="n">
        <v>322</v>
      </c>
      <c r="AC52" t="n">
        <v>474</v>
      </c>
      <c r="AD52" t="n">
        <v>5</v>
      </c>
      <c r="AE52" t="n">
        <v>6</v>
      </c>
      <c r="AF52" t="n">
        <v>17</v>
      </c>
      <c r="AG52" t="n">
        <v>20</v>
      </c>
      <c r="AH52" t="n">
        <v>6</v>
      </c>
      <c r="AI52" t="n">
        <v>7</v>
      </c>
      <c r="AJ52" t="n">
        <v>2</v>
      </c>
      <c r="AK52" t="n">
        <v>2</v>
      </c>
      <c r="AL52" t="n">
        <v>8</v>
      </c>
      <c r="AM52" t="n">
        <v>9</v>
      </c>
      <c r="AN52" t="n">
        <v>3</v>
      </c>
      <c r="AO52" t="n">
        <v>4</v>
      </c>
      <c r="AP52" t="n">
        <v>0</v>
      </c>
      <c r="AQ52" t="n">
        <v>0</v>
      </c>
      <c r="AR52" t="inlineStr">
        <is>
          <t>No</t>
        </is>
      </c>
      <c r="AS52" t="inlineStr">
        <is>
          <t>No</t>
        </is>
      </c>
      <c r="AU52">
        <f>HYPERLINK("https://creighton-primo.hosted.exlibrisgroup.com/primo-explore/search?tab=default_tab&amp;search_scope=EVERYTHING&amp;vid=01CRU&amp;lang=en_US&amp;offset=0&amp;query=any,contains,991001035789702656","Catalog Record")</f>
        <v/>
      </c>
      <c r="AV52">
        <f>HYPERLINK("http://www.worldcat.org/oclc/795696","WorldCat Record")</f>
        <v/>
      </c>
      <c r="AW52" t="inlineStr">
        <is>
          <t>1761440:eng</t>
        </is>
      </c>
      <c r="AX52" t="inlineStr">
        <is>
          <t>795696</t>
        </is>
      </c>
      <c r="AY52" t="inlineStr">
        <is>
          <t>991001035789702656</t>
        </is>
      </c>
      <c r="AZ52" t="inlineStr">
        <is>
          <t>991001035789702656</t>
        </is>
      </c>
      <c r="BA52" t="inlineStr">
        <is>
          <t>2260105380002656</t>
        </is>
      </c>
      <c r="BB52" t="inlineStr">
        <is>
          <t>BOOK</t>
        </is>
      </c>
      <c r="BE52" t="inlineStr">
        <is>
          <t>30001000240749</t>
        </is>
      </c>
      <c r="BF52" t="inlineStr">
        <is>
          <t>893740694</t>
        </is>
      </c>
    </row>
    <row r="53">
      <c r="A53" t="inlineStr">
        <is>
          <t>No</t>
        </is>
      </c>
      <c r="B53" t="inlineStr">
        <is>
          <t>CUHSL</t>
        </is>
      </c>
      <c r="C53" t="inlineStr">
        <is>
          <t>SHELVES</t>
        </is>
      </c>
      <c r="D53" t="inlineStr">
        <is>
          <t>WY 11 J32h 1946</t>
        </is>
      </c>
      <c r="E53" t="inlineStr">
        <is>
          <t>0                      WY 0011000J  32h         1946</t>
        </is>
      </c>
      <c r="F53" t="inlineStr">
        <is>
          <t>History of nursing notebook / by Elizabeth M. Jamieson and Mary Sewall.</t>
        </is>
      </c>
      <c r="H53" t="inlineStr">
        <is>
          <t>No</t>
        </is>
      </c>
      <c r="I53" t="inlineStr">
        <is>
          <t>1</t>
        </is>
      </c>
      <c r="J53" t="inlineStr">
        <is>
          <t>No</t>
        </is>
      </c>
      <c r="K53" t="inlineStr">
        <is>
          <t>No</t>
        </is>
      </c>
      <c r="L53" t="inlineStr">
        <is>
          <t>0</t>
        </is>
      </c>
      <c r="M53" t="inlineStr">
        <is>
          <t>Jamieson, Elizabeth M. (Elizabeth Marion)</t>
        </is>
      </c>
      <c r="N53" t="inlineStr">
        <is>
          <t>Philadelphia : Lippincott, c1946.</t>
        </is>
      </c>
      <c r="O53" t="inlineStr">
        <is>
          <t>1946</t>
        </is>
      </c>
      <c r="P53" t="inlineStr">
        <is>
          <t>8th ed.</t>
        </is>
      </c>
      <c r="Q53" t="inlineStr">
        <is>
          <t>eng</t>
        </is>
      </c>
      <c r="R53" t="inlineStr">
        <is>
          <t>pau</t>
        </is>
      </c>
      <c r="T53" t="inlineStr">
        <is>
          <t xml:space="preserve">WY </t>
        </is>
      </c>
      <c r="U53" t="n">
        <v>3</v>
      </c>
      <c r="V53" t="n">
        <v>3</v>
      </c>
      <c r="W53" t="inlineStr">
        <is>
          <t>2000-10-14</t>
        </is>
      </c>
      <c r="X53" t="inlineStr">
        <is>
          <t>2000-10-14</t>
        </is>
      </c>
      <c r="Y53" t="inlineStr">
        <is>
          <t>1988-01-08</t>
        </is>
      </c>
      <c r="Z53" t="inlineStr">
        <is>
          <t>1988-01-08</t>
        </is>
      </c>
      <c r="AA53" t="n">
        <v>6</v>
      </c>
      <c r="AB53" t="n">
        <v>6</v>
      </c>
      <c r="AC53" t="n">
        <v>31</v>
      </c>
      <c r="AD53" t="n">
        <v>1</v>
      </c>
      <c r="AE53" t="n">
        <v>1</v>
      </c>
      <c r="AF53" t="n">
        <v>1</v>
      </c>
      <c r="AG53" t="n">
        <v>1</v>
      </c>
      <c r="AH53" t="n">
        <v>0</v>
      </c>
      <c r="AI53" t="n">
        <v>0</v>
      </c>
      <c r="AJ53" t="n">
        <v>0</v>
      </c>
      <c r="AK53" t="n">
        <v>0</v>
      </c>
      <c r="AL53" t="n">
        <v>1</v>
      </c>
      <c r="AM53" t="n">
        <v>1</v>
      </c>
      <c r="AN53" t="n">
        <v>0</v>
      </c>
      <c r="AO53" t="n">
        <v>0</v>
      </c>
      <c r="AP53" t="n">
        <v>0</v>
      </c>
      <c r="AQ53" t="n">
        <v>0</v>
      </c>
      <c r="AR53" t="inlineStr">
        <is>
          <t>No</t>
        </is>
      </c>
      <c r="AS53" t="inlineStr">
        <is>
          <t>No</t>
        </is>
      </c>
      <c r="AU53">
        <f>HYPERLINK("https://creighton-primo.hosted.exlibrisgroup.com/primo-explore/search?tab=default_tab&amp;search_scope=EVERYTHING&amp;vid=01CRU&amp;lang=en_US&amp;offset=0&amp;query=any,contains,991001035869702656","Catalog Record")</f>
        <v/>
      </c>
      <c r="AV53">
        <f>HYPERLINK("http://www.worldcat.org/oclc/15176554","WorldCat Record")</f>
        <v/>
      </c>
      <c r="AW53" t="inlineStr">
        <is>
          <t>8434332:eng</t>
        </is>
      </c>
      <c r="AX53" t="inlineStr">
        <is>
          <t>15176554</t>
        </is>
      </c>
      <c r="AY53" t="inlineStr">
        <is>
          <t>991001035869702656</t>
        </is>
      </c>
      <c r="AZ53" t="inlineStr">
        <is>
          <t>991001035869702656</t>
        </is>
      </c>
      <c r="BA53" t="inlineStr">
        <is>
          <t>2260952060002656</t>
        </is>
      </c>
      <c r="BB53" t="inlineStr">
        <is>
          <t>BOOK</t>
        </is>
      </c>
      <c r="BE53" t="inlineStr">
        <is>
          <t>30001000240764</t>
        </is>
      </c>
      <c r="BF53" t="inlineStr">
        <is>
          <t>893278647</t>
        </is>
      </c>
    </row>
    <row r="54">
      <c r="A54" t="inlineStr">
        <is>
          <t>No</t>
        </is>
      </c>
      <c r="B54" t="inlineStr">
        <is>
          <t>CUHSL</t>
        </is>
      </c>
      <c r="C54" t="inlineStr">
        <is>
          <t>SHELVES</t>
        </is>
      </c>
      <c r="D54" t="inlineStr">
        <is>
          <t>WY 11 J32t 1966</t>
        </is>
      </c>
      <c r="E54" t="inlineStr">
        <is>
          <t>0                      WY 0011000J  32t         1966</t>
        </is>
      </c>
      <c r="F54" t="inlineStr">
        <is>
          <t>Trends in nursing history : their social, international, and ethical relationships / by Elizabeth M. Jamieson ... [et al.].</t>
        </is>
      </c>
      <c r="H54" t="inlineStr">
        <is>
          <t>No</t>
        </is>
      </c>
      <c r="I54" t="inlineStr">
        <is>
          <t>1</t>
        </is>
      </c>
      <c r="J54" t="inlineStr">
        <is>
          <t>No</t>
        </is>
      </c>
      <c r="K54" t="inlineStr">
        <is>
          <t>No</t>
        </is>
      </c>
      <c r="L54" t="inlineStr">
        <is>
          <t>0</t>
        </is>
      </c>
      <c r="M54" t="inlineStr">
        <is>
          <t>Jamieson, Elizabeth M. (Elizabeth Marion)</t>
        </is>
      </c>
      <c r="N54" t="inlineStr">
        <is>
          <t>Philadelphia : Saunders, 1966.</t>
        </is>
      </c>
      <c r="O54" t="inlineStr">
        <is>
          <t>1966</t>
        </is>
      </c>
      <c r="P54" t="inlineStr">
        <is>
          <t>6th ed.</t>
        </is>
      </c>
      <c r="Q54" t="inlineStr">
        <is>
          <t>eng</t>
        </is>
      </c>
      <c r="R54" t="inlineStr">
        <is>
          <t xml:space="preserve">xx </t>
        </is>
      </c>
      <c r="T54" t="inlineStr">
        <is>
          <t xml:space="preserve">WY </t>
        </is>
      </c>
      <c r="U54" t="n">
        <v>5</v>
      </c>
      <c r="V54" t="n">
        <v>5</v>
      </c>
      <c r="W54" t="inlineStr">
        <is>
          <t>1989-12-05</t>
        </is>
      </c>
      <c r="X54" t="inlineStr">
        <is>
          <t>1989-12-05</t>
        </is>
      </c>
      <c r="Y54" t="inlineStr">
        <is>
          <t>1988-01-08</t>
        </is>
      </c>
      <c r="Z54" t="inlineStr">
        <is>
          <t>1988-01-08</t>
        </is>
      </c>
      <c r="AA54" t="n">
        <v>464</v>
      </c>
      <c r="AB54" t="n">
        <v>386</v>
      </c>
      <c r="AC54" t="n">
        <v>480</v>
      </c>
      <c r="AD54" t="n">
        <v>9</v>
      </c>
      <c r="AE54" t="n">
        <v>11</v>
      </c>
      <c r="AF54" t="n">
        <v>22</v>
      </c>
      <c r="AG54" t="n">
        <v>24</v>
      </c>
      <c r="AH54" t="n">
        <v>5</v>
      </c>
      <c r="AI54" t="n">
        <v>5</v>
      </c>
      <c r="AJ54" t="n">
        <v>2</v>
      </c>
      <c r="AK54" t="n">
        <v>3</v>
      </c>
      <c r="AL54" t="n">
        <v>9</v>
      </c>
      <c r="AM54" t="n">
        <v>9</v>
      </c>
      <c r="AN54" t="n">
        <v>7</v>
      </c>
      <c r="AO54" t="n">
        <v>8</v>
      </c>
      <c r="AP54" t="n">
        <v>0</v>
      </c>
      <c r="AQ54" t="n">
        <v>0</v>
      </c>
      <c r="AR54" t="inlineStr">
        <is>
          <t>No</t>
        </is>
      </c>
      <c r="AS54" t="inlineStr">
        <is>
          <t>Yes</t>
        </is>
      </c>
      <c r="AT54">
        <f>HYPERLINK("http://catalog.hathitrust.org/Record/001574117","HathiTrust Record")</f>
        <v/>
      </c>
      <c r="AU54">
        <f>HYPERLINK("https://creighton-primo.hosted.exlibrisgroup.com/primo-explore/search?tab=default_tab&amp;search_scope=EVERYTHING&amp;vid=01CRU&amp;lang=en_US&amp;offset=0&amp;query=any,contains,991001035929702656","Catalog Record")</f>
        <v/>
      </c>
      <c r="AV54">
        <f>HYPERLINK("http://www.worldcat.org/oclc/625033","WorldCat Record")</f>
        <v/>
      </c>
      <c r="AW54" t="inlineStr">
        <is>
          <t>3856420868:eng</t>
        </is>
      </c>
      <c r="AX54" t="inlineStr">
        <is>
          <t>625033</t>
        </is>
      </c>
      <c r="AY54" t="inlineStr">
        <is>
          <t>991001035929702656</t>
        </is>
      </c>
      <c r="AZ54" t="inlineStr">
        <is>
          <t>991001035929702656</t>
        </is>
      </c>
      <c r="BA54" t="inlineStr">
        <is>
          <t>2262466840002656</t>
        </is>
      </c>
      <c r="BB54" t="inlineStr">
        <is>
          <t>BOOK</t>
        </is>
      </c>
      <c r="BE54" t="inlineStr">
        <is>
          <t>30001000240772</t>
        </is>
      </c>
      <c r="BF54" t="inlineStr">
        <is>
          <t>893363677</t>
        </is>
      </c>
    </row>
    <row r="55">
      <c r="A55" t="inlineStr">
        <is>
          <t>No</t>
        </is>
      </c>
      <c r="B55" t="inlineStr">
        <is>
          <t>CUHSL</t>
        </is>
      </c>
      <c r="C55" t="inlineStr">
        <is>
          <t>SHELVES</t>
        </is>
      </c>
      <c r="D55" t="inlineStr">
        <is>
          <t>WY 11 L671t 1996</t>
        </is>
      </c>
      <c r="E55" t="inlineStr">
        <is>
          <t>0                      WY 0011000L  671t        1996</t>
        </is>
      </c>
      <c r="F55" t="inlineStr">
        <is>
          <t>Taking charge : nursing, suffrage, and feminism in America, 1873-1920 / Sandra Beth Lewenson.</t>
        </is>
      </c>
      <c r="H55" t="inlineStr">
        <is>
          <t>No</t>
        </is>
      </c>
      <c r="I55" t="inlineStr">
        <is>
          <t>1</t>
        </is>
      </c>
      <c r="J55" t="inlineStr">
        <is>
          <t>No</t>
        </is>
      </c>
      <c r="K55" t="inlineStr">
        <is>
          <t>No</t>
        </is>
      </c>
      <c r="L55" t="inlineStr">
        <is>
          <t>0</t>
        </is>
      </c>
      <c r="M55" t="inlineStr">
        <is>
          <t>Lewenson, Sandra.</t>
        </is>
      </c>
      <c r="N55" t="inlineStr">
        <is>
          <t>New York : NLN Press, c1996.</t>
        </is>
      </c>
      <c r="O55" t="inlineStr">
        <is>
          <t>1996</t>
        </is>
      </c>
      <c r="Q55" t="inlineStr">
        <is>
          <t>eng</t>
        </is>
      </c>
      <c r="R55" t="inlineStr">
        <is>
          <t>nyu</t>
        </is>
      </c>
      <c r="S55" t="inlineStr">
        <is>
          <t>NLN pub. no. 14-6843</t>
        </is>
      </c>
      <c r="T55" t="inlineStr">
        <is>
          <t xml:space="preserve">WY </t>
        </is>
      </c>
      <c r="U55" t="n">
        <v>3</v>
      </c>
      <c r="V55" t="n">
        <v>3</v>
      </c>
      <c r="W55" t="inlineStr">
        <is>
          <t>2007-05-15</t>
        </is>
      </c>
      <c r="X55" t="inlineStr">
        <is>
          <t>2007-05-15</t>
        </is>
      </c>
      <c r="Y55" t="inlineStr">
        <is>
          <t>2000-06-15</t>
        </is>
      </c>
      <c r="Z55" t="inlineStr">
        <is>
          <t>2000-06-15</t>
        </is>
      </c>
      <c r="AA55" t="n">
        <v>340</v>
      </c>
      <c r="AB55" t="n">
        <v>314</v>
      </c>
      <c r="AC55" t="n">
        <v>627</v>
      </c>
      <c r="AD55" t="n">
        <v>5</v>
      </c>
      <c r="AE55" t="n">
        <v>8</v>
      </c>
      <c r="AF55" t="n">
        <v>16</v>
      </c>
      <c r="AG55" t="n">
        <v>38</v>
      </c>
      <c r="AH55" t="n">
        <v>6</v>
      </c>
      <c r="AI55" t="n">
        <v>14</v>
      </c>
      <c r="AJ55" t="n">
        <v>3</v>
      </c>
      <c r="AK55" t="n">
        <v>7</v>
      </c>
      <c r="AL55" t="n">
        <v>7</v>
      </c>
      <c r="AM55" t="n">
        <v>19</v>
      </c>
      <c r="AN55" t="n">
        <v>3</v>
      </c>
      <c r="AO55" t="n">
        <v>5</v>
      </c>
      <c r="AP55" t="n">
        <v>0</v>
      </c>
      <c r="AQ55" t="n">
        <v>1</v>
      </c>
      <c r="AR55" t="inlineStr">
        <is>
          <t>No</t>
        </is>
      </c>
      <c r="AS55" t="inlineStr">
        <is>
          <t>Yes</t>
        </is>
      </c>
      <c r="AT55">
        <f>HYPERLINK("http://catalog.hathitrust.org/Record/003045963","HathiTrust Record")</f>
        <v/>
      </c>
      <c r="AU55">
        <f>HYPERLINK("https://creighton-primo.hosted.exlibrisgroup.com/primo-explore/search?tab=default_tab&amp;search_scope=EVERYTHING&amp;vid=01CRU&amp;lang=en_US&amp;offset=0&amp;query=any,contains,991000259799702656","Catalog Record")</f>
        <v/>
      </c>
      <c r="AV55">
        <f>HYPERLINK("http://www.worldcat.org/oclc/34245000","WorldCat Record")</f>
        <v/>
      </c>
      <c r="AW55" t="inlineStr">
        <is>
          <t>10075899794:eng</t>
        </is>
      </c>
      <c r="AX55" t="inlineStr">
        <is>
          <t>34245000</t>
        </is>
      </c>
      <c r="AY55" t="inlineStr">
        <is>
          <t>991000259799702656</t>
        </is>
      </c>
      <c r="AZ55" t="inlineStr">
        <is>
          <t>991000259799702656</t>
        </is>
      </c>
      <c r="BA55" t="inlineStr">
        <is>
          <t>2264435180002656</t>
        </is>
      </c>
      <c r="BB55" t="inlineStr">
        <is>
          <t>BOOK</t>
        </is>
      </c>
      <c r="BD55" t="inlineStr">
        <is>
          <t>9780887376849</t>
        </is>
      </c>
      <c r="BE55" t="inlineStr">
        <is>
          <t>30001003353184</t>
        </is>
      </c>
      <c r="BF55" t="inlineStr">
        <is>
          <t>893628959</t>
        </is>
      </c>
    </row>
    <row r="56">
      <c r="A56" t="inlineStr">
        <is>
          <t>No</t>
        </is>
      </c>
      <c r="B56" t="inlineStr">
        <is>
          <t>CUHSL</t>
        </is>
      </c>
      <c r="C56" t="inlineStr">
        <is>
          <t>SHELVES</t>
        </is>
      </c>
      <c r="D56" t="inlineStr">
        <is>
          <t>WY 11 M861h 1941</t>
        </is>
      </c>
      <c r="E56" t="inlineStr">
        <is>
          <t>0                      WY 0011000M  861h        1941</t>
        </is>
      </c>
      <c r="F56" t="inlineStr">
        <is>
          <t>History of nursing.</t>
        </is>
      </c>
      <c r="H56" t="inlineStr">
        <is>
          <t>No</t>
        </is>
      </c>
      <c r="I56" t="inlineStr">
        <is>
          <t>1</t>
        </is>
      </c>
      <c r="J56" t="inlineStr">
        <is>
          <t>No</t>
        </is>
      </c>
      <c r="K56" t="inlineStr">
        <is>
          <t>No</t>
        </is>
      </c>
      <c r="L56" t="inlineStr">
        <is>
          <t>0</t>
        </is>
      </c>
      <c r="M56" t="inlineStr">
        <is>
          <t>Morison, Luella J.</t>
        </is>
      </c>
      <c r="N56" t="inlineStr">
        <is>
          <t>Philadelphia : Davis, 1942, c1941.</t>
        </is>
      </c>
      <c r="O56" t="inlineStr">
        <is>
          <t>1942</t>
        </is>
      </c>
      <c r="Q56" t="inlineStr">
        <is>
          <t>eng</t>
        </is>
      </c>
      <c r="R56" t="inlineStr">
        <is>
          <t>pau</t>
        </is>
      </c>
      <c r="T56" t="inlineStr">
        <is>
          <t xml:space="preserve">WY </t>
        </is>
      </c>
      <c r="U56" t="n">
        <v>6</v>
      </c>
      <c r="V56" t="n">
        <v>6</v>
      </c>
      <c r="W56" t="inlineStr">
        <is>
          <t>1994-02-18</t>
        </is>
      </c>
      <c r="X56" t="inlineStr">
        <is>
          <t>1994-02-18</t>
        </is>
      </c>
      <c r="Y56" t="inlineStr">
        <is>
          <t>1988-01-08</t>
        </is>
      </c>
      <c r="Z56" t="inlineStr">
        <is>
          <t>1988-01-08</t>
        </is>
      </c>
      <c r="AA56" t="n">
        <v>20</v>
      </c>
      <c r="AB56" t="n">
        <v>18</v>
      </c>
      <c r="AC56" t="n">
        <v>40</v>
      </c>
      <c r="AD56" t="n">
        <v>1</v>
      </c>
      <c r="AE56" t="n">
        <v>1</v>
      </c>
      <c r="AF56" t="n">
        <v>2</v>
      </c>
      <c r="AG56" t="n">
        <v>4</v>
      </c>
      <c r="AH56" t="n">
        <v>0</v>
      </c>
      <c r="AI56" t="n">
        <v>2</v>
      </c>
      <c r="AJ56" t="n">
        <v>1</v>
      </c>
      <c r="AK56" t="n">
        <v>1</v>
      </c>
      <c r="AL56" t="n">
        <v>1</v>
      </c>
      <c r="AM56" t="n">
        <v>2</v>
      </c>
      <c r="AN56" t="n">
        <v>0</v>
      </c>
      <c r="AO56" t="n">
        <v>0</v>
      </c>
      <c r="AP56" t="n">
        <v>0</v>
      </c>
      <c r="AQ56" t="n">
        <v>0</v>
      </c>
      <c r="AR56" t="inlineStr">
        <is>
          <t>No</t>
        </is>
      </c>
      <c r="AS56" t="inlineStr">
        <is>
          <t>No</t>
        </is>
      </c>
      <c r="AU56">
        <f>HYPERLINK("https://creighton-primo.hosted.exlibrisgroup.com/primo-explore/search?tab=default_tab&amp;search_scope=EVERYTHING&amp;vid=01CRU&amp;lang=en_US&amp;offset=0&amp;query=any,contains,991001036289702656","Catalog Record")</f>
        <v/>
      </c>
      <c r="AV56">
        <f>HYPERLINK("http://www.worldcat.org/oclc/1846656","WorldCat Record")</f>
        <v/>
      </c>
      <c r="AW56" t="inlineStr">
        <is>
          <t>3080929:eng</t>
        </is>
      </c>
      <c r="AX56" t="inlineStr">
        <is>
          <t>1846656</t>
        </is>
      </c>
      <c r="AY56" t="inlineStr">
        <is>
          <t>991001036289702656</t>
        </is>
      </c>
      <c r="AZ56" t="inlineStr">
        <is>
          <t>991001036289702656</t>
        </is>
      </c>
      <c r="BA56" t="inlineStr">
        <is>
          <t>2258338630002656</t>
        </is>
      </c>
      <c r="BB56" t="inlineStr">
        <is>
          <t>BOOK</t>
        </is>
      </c>
      <c r="BE56" t="inlineStr">
        <is>
          <t>30001000240806</t>
        </is>
      </c>
      <c r="BF56" t="inlineStr">
        <is>
          <t>893278648</t>
        </is>
      </c>
    </row>
    <row r="57">
      <c r="A57" t="inlineStr">
        <is>
          <t>No</t>
        </is>
      </c>
      <c r="B57" t="inlineStr">
        <is>
          <t>CUHSL</t>
        </is>
      </c>
      <c r="C57" t="inlineStr">
        <is>
          <t>SHELVES</t>
        </is>
      </c>
      <c r="D57" t="inlineStr">
        <is>
          <t>WY 11 N988h</t>
        </is>
      </c>
      <c r="E57" t="inlineStr">
        <is>
          <t>0                      WY 0011000N  988h</t>
        </is>
      </c>
      <c r="F57" t="inlineStr">
        <is>
          <t>A history of nursing : the evolution of nursing systems from the earliest times to the foundation of the first English and American training schools for nurses / by M. Adelaide Nutting and Lavinia L. Dock.</t>
        </is>
      </c>
      <c r="G57" t="inlineStr">
        <is>
          <t>V. 2</t>
        </is>
      </c>
      <c r="H57" t="inlineStr">
        <is>
          <t>Yes</t>
        </is>
      </c>
      <c r="I57" t="inlineStr">
        <is>
          <t>1</t>
        </is>
      </c>
      <c r="J57" t="inlineStr">
        <is>
          <t>No</t>
        </is>
      </c>
      <c r="K57" t="inlineStr">
        <is>
          <t>No</t>
        </is>
      </c>
      <c r="L57" t="inlineStr">
        <is>
          <t>0</t>
        </is>
      </c>
      <c r="M57" t="inlineStr">
        <is>
          <t>Nutting, M. Adelaide (Mary Adelaide), 1858-1948.</t>
        </is>
      </c>
      <c r="N57" t="inlineStr">
        <is>
          <t>New York ; London : G.P. Putnam's Sons, 1907-12.</t>
        </is>
      </c>
      <c r="O57" t="inlineStr">
        <is>
          <t>1907</t>
        </is>
      </c>
      <c r="Q57" t="inlineStr">
        <is>
          <t>eng</t>
        </is>
      </c>
      <c r="R57" t="inlineStr">
        <is>
          <t>nyu</t>
        </is>
      </c>
      <c r="T57" t="inlineStr">
        <is>
          <t xml:space="preserve">WY </t>
        </is>
      </c>
      <c r="U57" t="n">
        <v>10</v>
      </c>
      <c r="V57" t="n">
        <v>30</v>
      </c>
      <c r="W57" t="inlineStr">
        <is>
          <t>2007-08-13</t>
        </is>
      </c>
      <c r="X57" t="inlineStr">
        <is>
          <t>2007-08-13</t>
        </is>
      </c>
      <c r="Y57" t="inlineStr">
        <is>
          <t>1988-01-08</t>
        </is>
      </c>
      <c r="Z57" t="inlineStr">
        <is>
          <t>1989-03-16</t>
        </is>
      </c>
      <c r="AA57" t="n">
        <v>391</v>
      </c>
      <c r="AB57" t="n">
        <v>319</v>
      </c>
      <c r="AC57" t="n">
        <v>586</v>
      </c>
      <c r="AD57" t="n">
        <v>4</v>
      </c>
      <c r="AE57" t="n">
        <v>7</v>
      </c>
      <c r="AF57" t="n">
        <v>15</v>
      </c>
      <c r="AG57" t="n">
        <v>30</v>
      </c>
      <c r="AH57" t="n">
        <v>3</v>
      </c>
      <c r="AI57" t="n">
        <v>7</v>
      </c>
      <c r="AJ57" t="n">
        <v>4</v>
      </c>
      <c r="AK57" t="n">
        <v>7</v>
      </c>
      <c r="AL57" t="n">
        <v>6</v>
      </c>
      <c r="AM57" t="n">
        <v>14</v>
      </c>
      <c r="AN57" t="n">
        <v>3</v>
      </c>
      <c r="AO57" t="n">
        <v>5</v>
      </c>
      <c r="AP57" t="n">
        <v>0</v>
      </c>
      <c r="AQ57" t="n">
        <v>1</v>
      </c>
      <c r="AR57" t="inlineStr">
        <is>
          <t>Yes</t>
        </is>
      </c>
      <c r="AS57" t="inlineStr">
        <is>
          <t>No</t>
        </is>
      </c>
      <c r="AT57">
        <f>HYPERLINK("http://catalog.hathitrust.org/Record/001574122","HathiTrust Record")</f>
        <v/>
      </c>
      <c r="AU57">
        <f>HYPERLINK("https://creighton-primo.hosted.exlibrisgroup.com/primo-explore/search?tab=default_tab&amp;search_scope=EVERYTHING&amp;vid=01CRU&amp;lang=en_US&amp;offset=0&amp;query=any,contains,991001036439702656","Catalog Record")</f>
        <v/>
      </c>
      <c r="AV57">
        <f>HYPERLINK("http://www.worldcat.org/oclc/1351332","WorldCat Record")</f>
        <v/>
      </c>
      <c r="AW57" t="inlineStr">
        <is>
          <t>2845297229:eng</t>
        </is>
      </c>
      <c r="AX57" t="inlineStr">
        <is>
          <t>1351332</t>
        </is>
      </c>
      <c r="AY57" t="inlineStr">
        <is>
          <t>991001036439702656</t>
        </is>
      </c>
      <c r="AZ57" t="inlineStr">
        <is>
          <t>991001036439702656</t>
        </is>
      </c>
      <c r="BA57" t="inlineStr">
        <is>
          <t>2266165190002656</t>
        </is>
      </c>
      <c r="BB57" t="inlineStr">
        <is>
          <t>BOOK</t>
        </is>
      </c>
      <c r="BE57" t="inlineStr">
        <is>
          <t>30001000240855</t>
        </is>
      </c>
      <c r="BF57" t="inlineStr">
        <is>
          <t>893273621</t>
        </is>
      </c>
    </row>
    <row r="58">
      <c r="A58" t="inlineStr">
        <is>
          <t>No</t>
        </is>
      </c>
      <c r="B58" t="inlineStr">
        <is>
          <t>CUHSL</t>
        </is>
      </c>
      <c r="C58" t="inlineStr">
        <is>
          <t>SHELVES</t>
        </is>
      </c>
      <c r="D58" t="inlineStr">
        <is>
          <t>WY 11 N988h</t>
        </is>
      </c>
      <c r="E58" t="inlineStr">
        <is>
          <t>0                      WY 0011000N  988h</t>
        </is>
      </c>
      <c r="F58" t="inlineStr">
        <is>
          <t>A history of nursing : the evolution of nursing systems from the earliest times to the foundation of the first English and American training schools for nurses / by M. Adelaide Nutting and Lavinia L. Dock.</t>
        </is>
      </c>
      <c r="G58" t="inlineStr">
        <is>
          <t>V. 3</t>
        </is>
      </c>
      <c r="H58" t="inlineStr">
        <is>
          <t>Yes</t>
        </is>
      </c>
      <c r="I58" t="inlineStr">
        <is>
          <t>1</t>
        </is>
      </c>
      <c r="J58" t="inlineStr">
        <is>
          <t>No</t>
        </is>
      </c>
      <c r="K58" t="inlineStr">
        <is>
          <t>No</t>
        </is>
      </c>
      <c r="L58" t="inlineStr">
        <is>
          <t>0</t>
        </is>
      </c>
      <c r="M58" t="inlineStr">
        <is>
          <t>Nutting, M. Adelaide (Mary Adelaide), 1858-1948.</t>
        </is>
      </c>
      <c r="N58" t="inlineStr">
        <is>
          <t>New York ; London : G.P. Putnam's Sons, 1907-12.</t>
        </is>
      </c>
      <c r="O58" t="inlineStr">
        <is>
          <t>1907</t>
        </is>
      </c>
      <c r="Q58" t="inlineStr">
        <is>
          <t>eng</t>
        </is>
      </c>
      <c r="R58" t="inlineStr">
        <is>
          <t>nyu</t>
        </is>
      </c>
      <c r="T58" t="inlineStr">
        <is>
          <t xml:space="preserve">WY </t>
        </is>
      </c>
      <c r="U58" t="n">
        <v>3</v>
      </c>
      <c r="V58" t="n">
        <v>30</v>
      </c>
      <c r="W58" t="inlineStr">
        <is>
          <t>2004-12-13</t>
        </is>
      </c>
      <c r="X58" t="inlineStr">
        <is>
          <t>2007-08-13</t>
        </is>
      </c>
      <c r="Y58" t="inlineStr">
        <is>
          <t>1989-03-16</t>
        </is>
      </c>
      <c r="Z58" t="inlineStr">
        <is>
          <t>1989-03-16</t>
        </is>
      </c>
      <c r="AA58" t="n">
        <v>391</v>
      </c>
      <c r="AB58" t="n">
        <v>319</v>
      </c>
      <c r="AC58" t="n">
        <v>586</v>
      </c>
      <c r="AD58" t="n">
        <v>4</v>
      </c>
      <c r="AE58" t="n">
        <v>7</v>
      </c>
      <c r="AF58" t="n">
        <v>15</v>
      </c>
      <c r="AG58" t="n">
        <v>30</v>
      </c>
      <c r="AH58" t="n">
        <v>3</v>
      </c>
      <c r="AI58" t="n">
        <v>7</v>
      </c>
      <c r="AJ58" t="n">
        <v>4</v>
      </c>
      <c r="AK58" t="n">
        <v>7</v>
      </c>
      <c r="AL58" t="n">
        <v>6</v>
      </c>
      <c r="AM58" t="n">
        <v>14</v>
      </c>
      <c r="AN58" t="n">
        <v>3</v>
      </c>
      <c r="AO58" t="n">
        <v>5</v>
      </c>
      <c r="AP58" t="n">
        <v>0</v>
      </c>
      <c r="AQ58" t="n">
        <v>1</v>
      </c>
      <c r="AR58" t="inlineStr">
        <is>
          <t>Yes</t>
        </is>
      </c>
      <c r="AS58" t="inlineStr">
        <is>
          <t>No</t>
        </is>
      </c>
      <c r="AT58">
        <f>HYPERLINK("http://catalog.hathitrust.org/Record/001574122","HathiTrust Record")</f>
        <v/>
      </c>
      <c r="AU58">
        <f>HYPERLINK("https://creighton-primo.hosted.exlibrisgroup.com/primo-explore/search?tab=default_tab&amp;search_scope=EVERYTHING&amp;vid=01CRU&amp;lang=en_US&amp;offset=0&amp;query=any,contains,991001036439702656","Catalog Record")</f>
        <v/>
      </c>
      <c r="AV58">
        <f>HYPERLINK("http://www.worldcat.org/oclc/1351332","WorldCat Record")</f>
        <v/>
      </c>
      <c r="AW58" t="inlineStr">
        <is>
          <t>2845297229:eng</t>
        </is>
      </c>
      <c r="AX58" t="inlineStr">
        <is>
          <t>1351332</t>
        </is>
      </c>
      <c r="AY58" t="inlineStr">
        <is>
          <t>991001036439702656</t>
        </is>
      </c>
      <c r="AZ58" t="inlineStr">
        <is>
          <t>991001036439702656</t>
        </is>
      </c>
      <c r="BA58" t="inlineStr">
        <is>
          <t>2266165190002656</t>
        </is>
      </c>
      <c r="BB58" t="inlineStr">
        <is>
          <t>BOOK</t>
        </is>
      </c>
      <c r="BE58" t="inlineStr">
        <is>
          <t>30001000240848</t>
        </is>
      </c>
      <c r="BF58" t="inlineStr">
        <is>
          <t>893273620</t>
        </is>
      </c>
    </row>
    <row r="59">
      <c r="A59" t="inlineStr">
        <is>
          <t>No</t>
        </is>
      </c>
      <c r="B59" t="inlineStr">
        <is>
          <t>CUHSL</t>
        </is>
      </c>
      <c r="C59" t="inlineStr">
        <is>
          <t>SHELVES</t>
        </is>
      </c>
      <c r="D59" t="inlineStr">
        <is>
          <t>WY 11 N988h</t>
        </is>
      </c>
      <c r="E59" t="inlineStr">
        <is>
          <t>0                      WY 0011000N  988h</t>
        </is>
      </c>
      <c r="F59" t="inlineStr">
        <is>
          <t>A history of nursing : the evolution of nursing systems from the earliest times to the foundation of the first English and American training schools for nurses / by M. Adelaide Nutting and Lavinia L. Dock.</t>
        </is>
      </c>
      <c r="G59" t="inlineStr">
        <is>
          <t>V. 4</t>
        </is>
      </c>
      <c r="H59" t="inlineStr">
        <is>
          <t>Yes</t>
        </is>
      </c>
      <c r="I59" t="inlineStr">
        <is>
          <t>1</t>
        </is>
      </c>
      <c r="J59" t="inlineStr">
        <is>
          <t>No</t>
        </is>
      </c>
      <c r="K59" t="inlineStr">
        <is>
          <t>No</t>
        </is>
      </c>
      <c r="L59" t="inlineStr">
        <is>
          <t>0</t>
        </is>
      </c>
      <c r="M59" t="inlineStr">
        <is>
          <t>Nutting, M. Adelaide (Mary Adelaide), 1858-1948.</t>
        </is>
      </c>
      <c r="N59" t="inlineStr">
        <is>
          <t>New York ; London : G.P. Putnam's Sons, 1907-12.</t>
        </is>
      </c>
      <c r="O59" t="inlineStr">
        <is>
          <t>1907</t>
        </is>
      </c>
      <c r="Q59" t="inlineStr">
        <is>
          <t>eng</t>
        </is>
      </c>
      <c r="R59" t="inlineStr">
        <is>
          <t>nyu</t>
        </is>
      </c>
      <c r="T59" t="inlineStr">
        <is>
          <t xml:space="preserve">WY </t>
        </is>
      </c>
      <c r="U59" t="n">
        <v>13</v>
      </c>
      <c r="V59" t="n">
        <v>30</v>
      </c>
      <c r="W59" t="inlineStr">
        <is>
          <t>2007-08-13</t>
        </is>
      </c>
      <c r="X59" t="inlineStr">
        <is>
          <t>2007-08-13</t>
        </is>
      </c>
      <c r="Y59" t="inlineStr">
        <is>
          <t>1988-01-08</t>
        </is>
      </c>
      <c r="Z59" t="inlineStr">
        <is>
          <t>1989-03-16</t>
        </is>
      </c>
      <c r="AA59" t="n">
        <v>391</v>
      </c>
      <c r="AB59" t="n">
        <v>319</v>
      </c>
      <c r="AC59" t="n">
        <v>586</v>
      </c>
      <c r="AD59" t="n">
        <v>4</v>
      </c>
      <c r="AE59" t="n">
        <v>7</v>
      </c>
      <c r="AF59" t="n">
        <v>15</v>
      </c>
      <c r="AG59" t="n">
        <v>30</v>
      </c>
      <c r="AH59" t="n">
        <v>3</v>
      </c>
      <c r="AI59" t="n">
        <v>7</v>
      </c>
      <c r="AJ59" t="n">
        <v>4</v>
      </c>
      <c r="AK59" t="n">
        <v>7</v>
      </c>
      <c r="AL59" t="n">
        <v>6</v>
      </c>
      <c r="AM59" t="n">
        <v>14</v>
      </c>
      <c r="AN59" t="n">
        <v>3</v>
      </c>
      <c r="AO59" t="n">
        <v>5</v>
      </c>
      <c r="AP59" t="n">
        <v>0</v>
      </c>
      <c r="AQ59" t="n">
        <v>1</v>
      </c>
      <c r="AR59" t="inlineStr">
        <is>
          <t>Yes</t>
        </is>
      </c>
      <c r="AS59" t="inlineStr">
        <is>
          <t>No</t>
        </is>
      </c>
      <c r="AT59">
        <f>HYPERLINK("http://catalog.hathitrust.org/Record/001574122","HathiTrust Record")</f>
        <v/>
      </c>
      <c r="AU59">
        <f>HYPERLINK("https://creighton-primo.hosted.exlibrisgroup.com/primo-explore/search?tab=default_tab&amp;search_scope=EVERYTHING&amp;vid=01CRU&amp;lang=en_US&amp;offset=0&amp;query=any,contains,991001036439702656","Catalog Record")</f>
        <v/>
      </c>
      <c r="AV59">
        <f>HYPERLINK("http://www.worldcat.org/oclc/1351332","WorldCat Record")</f>
        <v/>
      </c>
      <c r="AW59" t="inlineStr">
        <is>
          <t>2845297229:eng</t>
        </is>
      </c>
      <c r="AX59" t="inlineStr">
        <is>
          <t>1351332</t>
        </is>
      </c>
      <c r="AY59" t="inlineStr">
        <is>
          <t>991001036439702656</t>
        </is>
      </c>
      <c r="AZ59" t="inlineStr">
        <is>
          <t>991001036439702656</t>
        </is>
      </c>
      <c r="BA59" t="inlineStr">
        <is>
          <t>2266165190002656</t>
        </is>
      </c>
      <c r="BB59" t="inlineStr">
        <is>
          <t>BOOK</t>
        </is>
      </c>
      <c r="BE59" t="inlineStr">
        <is>
          <t>30001000240863</t>
        </is>
      </c>
      <c r="BF59" t="inlineStr">
        <is>
          <t>893273619</t>
        </is>
      </c>
    </row>
    <row r="60">
      <c r="A60" t="inlineStr">
        <is>
          <t>No</t>
        </is>
      </c>
      <c r="B60" t="inlineStr">
        <is>
          <t>CUHSL</t>
        </is>
      </c>
      <c r="C60" t="inlineStr">
        <is>
          <t>SHELVES</t>
        </is>
      </c>
      <c r="D60" t="inlineStr">
        <is>
          <t>WY 11 N988h</t>
        </is>
      </c>
      <c r="E60" t="inlineStr">
        <is>
          <t>0                      WY 0011000N  988h</t>
        </is>
      </c>
      <c r="F60" t="inlineStr">
        <is>
          <t>A history of nursing : the evolution of nursing systems from the earliest times to the foundation of the first English and American training schools for nurses / by M. Adelaide Nutting and Lavinia L. Dock.</t>
        </is>
      </c>
      <c r="G60" t="inlineStr">
        <is>
          <t>V. 1</t>
        </is>
      </c>
      <c r="H60" t="inlineStr">
        <is>
          <t>Yes</t>
        </is>
      </c>
      <c r="I60" t="inlineStr">
        <is>
          <t>1</t>
        </is>
      </c>
      <c r="J60" t="inlineStr">
        <is>
          <t>No</t>
        </is>
      </c>
      <c r="K60" t="inlineStr">
        <is>
          <t>No</t>
        </is>
      </c>
      <c r="L60" t="inlineStr">
        <is>
          <t>0</t>
        </is>
      </c>
      <c r="M60" t="inlineStr">
        <is>
          <t>Nutting, M. Adelaide (Mary Adelaide), 1858-1948.</t>
        </is>
      </c>
      <c r="N60" t="inlineStr">
        <is>
          <t>New York ; London : G.P. Putnam's Sons, 1907-12.</t>
        </is>
      </c>
      <c r="O60" t="inlineStr">
        <is>
          <t>1907</t>
        </is>
      </c>
      <c r="Q60" t="inlineStr">
        <is>
          <t>eng</t>
        </is>
      </c>
      <c r="R60" t="inlineStr">
        <is>
          <t>nyu</t>
        </is>
      </c>
      <c r="T60" t="inlineStr">
        <is>
          <t xml:space="preserve">WY </t>
        </is>
      </c>
      <c r="U60" t="n">
        <v>4</v>
      </c>
      <c r="V60" t="n">
        <v>30</v>
      </c>
      <c r="W60" t="inlineStr">
        <is>
          <t>2004-12-13</t>
        </is>
      </c>
      <c r="X60" t="inlineStr">
        <is>
          <t>2007-08-13</t>
        </is>
      </c>
      <c r="Y60" t="inlineStr">
        <is>
          <t>1988-01-08</t>
        </is>
      </c>
      <c r="Z60" t="inlineStr">
        <is>
          <t>1989-03-16</t>
        </is>
      </c>
      <c r="AA60" t="n">
        <v>391</v>
      </c>
      <c r="AB60" t="n">
        <v>319</v>
      </c>
      <c r="AC60" t="n">
        <v>586</v>
      </c>
      <c r="AD60" t="n">
        <v>4</v>
      </c>
      <c r="AE60" t="n">
        <v>7</v>
      </c>
      <c r="AF60" t="n">
        <v>15</v>
      </c>
      <c r="AG60" t="n">
        <v>30</v>
      </c>
      <c r="AH60" t="n">
        <v>3</v>
      </c>
      <c r="AI60" t="n">
        <v>7</v>
      </c>
      <c r="AJ60" t="n">
        <v>4</v>
      </c>
      <c r="AK60" t="n">
        <v>7</v>
      </c>
      <c r="AL60" t="n">
        <v>6</v>
      </c>
      <c r="AM60" t="n">
        <v>14</v>
      </c>
      <c r="AN60" t="n">
        <v>3</v>
      </c>
      <c r="AO60" t="n">
        <v>5</v>
      </c>
      <c r="AP60" t="n">
        <v>0</v>
      </c>
      <c r="AQ60" t="n">
        <v>1</v>
      </c>
      <c r="AR60" t="inlineStr">
        <is>
          <t>Yes</t>
        </is>
      </c>
      <c r="AS60" t="inlineStr">
        <is>
          <t>No</t>
        </is>
      </c>
      <c r="AT60">
        <f>HYPERLINK("http://catalog.hathitrust.org/Record/001574122","HathiTrust Record")</f>
        <v/>
      </c>
      <c r="AU60">
        <f>HYPERLINK("https://creighton-primo.hosted.exlibrisgroup.com/primo-explore/search?tab=default_tab&amp;search_scope=EVERYTHING&amp;vid=01CRU&amp;lang=en_US&amp;offset=0&amp;query=any,contains,991001036439702656","Catalog Record")</f>
        <v/>
      </c>
      <c r="AV60">
        <f>HYPERLINK("http://www.worldcat.org/oclc/1351332","WorldCat Record")</f>
        <v/>
      </c>
      <c r="AW60" t="inlineStr">
        <is>
          <t>2845297229:eng</t>
        </is>
      </c>
      <c r="AX60" t="inlineStr">
        <is>
          <t>1351332</t>
        </is>
      </c>
      <c r="AY60" t="inlineStr">
        <is>
          <t>991001036439702656</t>
        </is>
      </c>
      <c r="AZ60" t="inlineStr">
        <is>
          <t>991001036439702656</t>
        </is>
      </c>
      <c r="BA60" t="inlineStr">
        <is>
          <t>2266165190002656</t>
        </is>
      </c>
      <c r="BB60" t="inlineStr">
        <is>
          <t>BOOK</t>
        </is>
      </c>
      <c r="BE60" t="inlineStr">
        <is>
          <t>30001000240830</t>
        </is>
      </c>
      <c r="BF60" t="inlineStr">
        <is>
          <t>893273622</t>
        </is>
      </c>
    </row>
    <row r="61">
      <c r="A61" t="inlineStr">
        <is>
          <t>No</t>
        </is>
      </c>
      <c r="B61" t="inlineStr">
        <is>
          <t>CUHSL</t>
        </is>
      </c>
      <c r="C61" t="inlineStr">
        <is>
          <t>SHELVES</t>
        </is>
      </c>
      <c r="D61" t="inlineStr">
        <is>
          <t>WY 11 S467h 1946</t>
        </is>
      </c>
      <c r="E61" t="inlineStr">
        <is>
          <t>0                      WY 0011000S  467h        1946</t>
        </is>
      </c>
      <c r="F61" t="inlineStr">
        <is>
          <t>A history of nursing / by Gladys Sellew and C. J. Nuesse.</t>
        </is>
      </c>
      <c r="H61" t="inlineStr">
        <is>
          <t>No</t>
        </is>
      </c>
      <c r="I61" t="inlineStr">
        <is>
          <t>1</t>
        </is>
      </c>
      <c r="J61" t="inlineStr">
        <is>
          <t>No</t>
        </is>
      </c>
      <c r="K61" t="inlineStr">
        <is>
          <t>No</t>
        </is>
      </c>
      <c r="L61" t="inlineStr">
        <is>
          <t>0</t>
        </is>
      </c>
      <c r="M61" t="inlineStr">
        <is>
          <t>Sellew, Gladys, 1887-1977.</t>
        </is>
      </c>
      <c r="N61" t="inlineStr">
        <is>
          <t>St. Louis : Mosby, 1946.</t>
        </is>
      </c>
      <c r="O61" t="inlineStr">
        <is>
          <t>1946</t>
        </is>
      </c>
      <c r="Q61" t="inlineStr">
        <is>
          <t>eng</t>
        </is>
      </c>
      <c r="R61" t="inlineStr">
        <is>
          <t>|||</t>
        </is>
      </c>
      <c r="T61" t="inlineStr">
        <is>
          <t xml:space="preserve">WY </t>
        </is>
      </c>
      <c r="U61" t="n">
        <v>2</v>
      </c>
      <c r="V61" t="n">
        <v>2</v>
      </c>
      <c r="W61" t="inlineStr">
        <is>
          <t>1990-04-04</t>
        </is>
      </c>
      <c r="X61" t="inlineStr">
        <is>
          <t>1990-04-04</t>
        </is>
      </c>
      <c r="Y61" t="inlineStr">
        <is>
          <t>1987-12-22</t>
        </is>
      </c>
      <c r="Z61" t="inlineStr">
        <is>
          <t>1987-12-22</t>
        </is>
      </c>
      <c r="AA61" t="n">
        <v>115</v>
      </c>
      <c r="AB61" t="n">
        <v>101</v>
      </c>
      <c r="AC61" t="n">
        <v>244</v>
      </c>
      <c r="AD61" t="n">
        <v>2</v>
      </c>
      <c r="AE61" t="n">
        <v>3</v>
      </c>
      <c r="AF61" t="n">
        <v>8</v>
      </c>
      <c r="AG61" t="n">
        <v>13</v>
      </c>
      <c r="AH61" t="n">
        <v>2</v>
      </c>
      <c r="AI61" t="n">
        <v>5</v>
      </c>
      <c r="AJ61" t="n">
        <v>0</v>
      </c>
      <c r="AK61" t="n">
        <v>1</v>
      </c>
      <c r="AL61" t="n">
        <v>6</v>
      </c>
      <c r="AM61" t="n">
        <v>7</v>
      </c>
      <c r="AN61" t="n">
        <v>1</v>
      </c>
      <c r="AO61" t="n">
        <v>2</v>
      </c>
      <c r="AP61" t="n">
        <v>0</v>
      </c>
      <c r="AQ61" t="n">
        <v>0</v>
      </c>
      <c r="AR61" t="inlineStr">
        <is>
          <t>No</t>
        </is>
      </c>
      <c r="AS61" t="inlineStr">
        <is>
          <t>Yes</t>
        </is>
      </c>
      <c r="AT61">
        <f>HYPERLINK("http://catalog.hathitrust.org/Record/100959588","HathiTrust Record")</f>
        <v/>
      </c>
      <c r="AU61">
        <f>HYPERLINK("https://creighton-primo.hosted.exlibrisgroup.com/primo-explore/search?tab=default_tab&amp;search_scope=EVERYTHING&amp;vid=01CRU&amp;lang=en_US&amp;offset=0&amp;query=any,contains,991001036599702656","Catalog Record")</f>
        <v/>
      </c>
      <c r="AV61">
        <f>HYPERLINK("http://www.worldcat.org/oclc/1349095","WorldCat Record")</f>
        <v/>
      </c>
      <c r="AW61" t="inlineStr">
        <is>
          <t>2216895:eng</t>
        </is>
      </c>
      <c r="AX61" t="inlineStr">
        <is>
          <t>1349095</t>
        </is>
      </c>
      <c r="AY61" t="inlineStr">
        <is>
          <t>991001036599702656</t>
        </is>
      </c>
      <c r="AZ61" t="inlineStr">
        <is>
          <t>991001036599702656</t>
        </is>
      </c>
      <c r="BA61" t="inlineStr">
        <is>
          <t>2257289490002656</t>
        </is>
      </c>
      <c r="BB61" t="inlineStr">
        <is>
          <t>BOOK</t>
        </is>
      </c>
      <c r="BE61" t="inlineStr">
        <is>
          <t>30001000240889</t>
        </is>
      </c>
      <c r="BF61" t="inlineStr">
        <is>
          <t>893552073</t>
        </is>
      </c>
    </row>
    <row r="62">
      <c r="A62" t="inlineStr">
        <is>
          <t>No</t>
        </is>
      </c>
      <c r="B62" t="inlineStr">
        <is>
          <t>CUHSL</t>
        </is>
      </c>
      <c r="C62" t="inlineStr">
        <is>
          <t>SHELVES</t>
        </is>
      </c>
      <c r="D62" t="inlineStr">
        <is>
          <t>WY 11 S521g 1933</t>
        </is>
      </c>
      <c r="E62" t="inlineStr">
        <is>
          <t>0                      WY 0011000S  521g        1933</t>
        </is>
      </c>
      <c r="F62" t="inlineStr">
        <is>
          <t>A general history of nursing / by Lucy Ridgely Seymer.</t>
        </is>
      </c>
      <c r="H62" t="inlineStr">
        <is>
          <t>No</t>
        </is>
      </c>
      <c r="I62" t="inlineStr">
        <is>
          <t>1</t>
        </is>
      </c>
      <c r="J62" t="inlineStr">
        <is>
          <t>No</t>
        </is>
      </c>
      <c r="K62" t="inlineStr">
        <is>
          <t>No</t>
        </is>
      </c>
      <c r="L62" t="inlineStr">
        <is>
          <t>0</t>
        </is>
      </c>
      <c r="M62" t="inlineStr">
        <is>
          <t>Seymer, Lucy Ridgely.</t>
        </is>
      </c>
      <c r="N62" t="inlineStr">
        <is>
          <t>New York, NY : The Macmillan company, 1933.</t>
        </is>
      </c>
      <c r="O62" t="inlineStr">
        <is>
          <t>1933</t>
        </is>
      </c>
      <c r="Q62" t="inlineStr">
        <is>
          <t>eng</t>
        </is>
      </c>
      <c r="R62" t="inlineStr">
        <is>
          <t>nyu</t>
        </is>
      </c>
      <c r="T62" t="inlineStr">
        <is>
          <t xml:space="preserve">WY </t>
        </is>
      </c>
      <c r="U62" t="n">
        <v>3</v>
      </c>
      <c r="V62" t="n">
        <v>3</v>
      </c>
      <c r="W62" t="inlineStr">
        <is>
          <t>1994-04-13</t>
        </is>
      </c>
      <c r="X62" t="inlineStr">
        <is>
          <t>1994-04-13</t>
        </is>
      </c>
      <c r="Y62" t="inlineStr">
        <is>
          <t>1988-01-18</t>
        </is>
      </c>
      <c r="Z62" t="inlineStr">
        <is>
          <t>1988-01-18</t>
        </is>
      </c>
      <c r="AA62" t="n">
        <v>187</v>
      </c>
      <c r="AB62" t="n">
        <v>170</v>
      </c>
      <c r="AC62" t="n">
        <v>373</v>
      </c>
      <c r="AD62" t="n">
        <v>4</v>
      </c>
      <c r="AE62" t="n">
        <v>4</v>
      </c>
      <c r="AF62" t="n">
        <v>8</v>
      </c>
      <c r="AG62" t="n">
        <v>18</v>
      </c>
      <c r="AH62" t="n">
        <v>2</v>
      </c>
      <c r="AI62" t="n">
        <v>8</v>
      </c>
      <c r="AJ62" t="n">
        <v>1</v>
      </c>
      <c r="AK62" t="n">
        <v>2</v>
      </c>
      <c r="AL62" t="n">
        <v>3</v>
      </c>
      <c r="AM62" t="n">
        <v>9</v>
      </c>
      <c r="AN62" t="n">
        <v>3</v>
      </c>
      <c r="AO62" t="n">
        <v>3</v>
      </c>
      <c r="AP62" t="n">
        <v>0</v>
      </c>
      <c r="AQ62" t="n">
        <v>0</v>
      </c>
      <c r="AR62" t="inlineStr">
        <is>
          <t>No</t>
        </is>
      </c>
      <c r="AS62" t="inlineStr">
        <is>
          <t>No</t>
        </is>
      </c>
      <c r="AU62">
        <f>HYPERLINK("https://creighton-primo.hosted.exlibrisgroup.com/primo-explore/search?tab=default_tab&amp;search_scope=EVERYTHING&amp;vid=01CRU&amp;lang=en_US&amp;offset=0&amp;query=any,contains,991001036669702656","Catalog Record")</f>
        <v/>
      </c>
      <c r="AV62">
        <f>HYPERLINK("http://www.worldcat.org/oclc/1880989","WorldCat Record")</f>
        <v/>
      </c>
      <c r="AW62" t="inlineStr">
        <is>
          <t>1284626:eng</t>
        </is>
      </c>
      <c r="AX62" t="inlineStr">
        <is>
          <t>1880989</t>
        </is>
      </c>
      <c r="AY62" t="inlineStr">
        <is>
          <t>991001036669702656</t>
        </is>
      </c>
      <c r="AZ62" t="inlineStr">
        <is>
          <t>991001036669702656</t>
        </is>
      </c>
      <c r="BA62" t="inlineStr">
        <is>
          <t>2257414500002656</t>
        </is>
      </c>
      <c r="BB62" t="inlineStr">
        <is>
          <t>BOOK</t>
        </is>
      </c>
      <c r="BE62" t="inlineStr">
        <is>
          <t>30001000240897</t>
        </is>
      </c>
      <c r="BF62" t="inlineStr">
        <is>
          <t>893632678</t>
        </is>
      </c>
    </row>
    <row r="63">
      <c r="A63" t="inlineStr">
        <is>
          <t>No</t>
        </is>
      </c>
      <c r="B63" t="inlineStr">
        <is>
          <t>CUHSL</t>
        </is>
      </c>
      <c r="C63" t="inlineStr">
        <is>
          <t>SHELVES</t>
        </is>
      </c>
      <c r="D63" t="inlineStr">
        <is>
          <t>WY 11.1 B857h 1989</t>
        </is>
      </c>
      <c r="E63" t="inlineStr">
        <is>
          <t>0                      WY 0011100B  857h        1989</t>
        </is>
      </c>
      <c r="F63" t="inlineStr">
        <is>
          <t>A history of diploma programs in nursing and the National League for Nursing 1952-1987 / Katherine Brim.</t>
        </is>
      </c>
      <c r="H63" t="inlineStr">
        <is>
          <t>No</t>
        </is>
      </c>
      <c r="I63" t="inlineStr">
        <is>
          <t>1</t>
        </is>
      </c>
      <c r="J63" t="inlineStr">
        <is>
          <t>No</t>
        </is>
      </c>
      <c r="K63" t="inlineStr">
        <is>
          <t>No</t>
        </is>
      </c>
      <c r="L63" t="inlineStr">
        <is>
          <t>0</t>
        </is>
      </c>
      <c r="M63" t="inlineStr">
        <is>
          <t>Brim, Katherine.</t>
        </is>
      </c>
      <c r="N63" t="inlineStr">
        <is>
          <t>New York : National League for Nursing, c1989.</t>
        </is>
      </c>
      <c r="O63" t="inlineStr">
        <is>
          <t>1989</t>
        </is>
      </c>
      <c r="Q63" t="inlineStr">
        <is>
          <t>eng</t>
        </is>
      </c>
      <c r="R63" t="inlineStr">
        <is>
          <t>nyu</t>
        </is>
      </c>
      <c r="S63" t="inlineStr">
        <is>
          <t>NLN Pub. no. 16-2284.</t>
        </is>
      </c>
      <c r="T63" t="inlineStr">
        <is>
          <t xml:space="preserve">WY </t>
        </is>
      </c>
      <c r="U63" t="n">
        <v>1</v>
      </c>
      <c r="V63" t="n">
        <v>1</v>
      </c>
      <c r="W63" t="inlineStr">
        <is>
          <t>1990-03-27</t>
        </is>
      </c>
      <c r="X63" t="inlineStr">
        <is>
          <t>1990-03-27</t>
        </is>
      </c>
      <c r="Y63" t="inlineStr">
        <is>
          <t>1989-12-27</t>
        </is>
      </c>
      <c r="Z63" t="inlineStr">
        <is>
          <t>1989-12-27</t>
        </is>
      </c>
      <c r="AA63" t="n">
        <v>237</v>
      </c>
      <c r="AB63" t="n">
        <v>213</v>
      </c>
      <c r="AC63" t="n">
        <v>215</v>
      </c>
      <c r="AD63" t="n">
        <v>4</v>
      </c>
      <c r="AE63" t="n">
        <v>4</v>
      </c>
      <c r="AF63" t="n">
        <v>10</v>
      </c>
      <c r="AG63" t="n">
        <v>10</v>
      </c>
      <c r="AH63" t="n">
        <v>2</v>
      </c>
      <c r="AI63" t="n">
        <v>2</v>
      </c>
      <c r="AJ63" t="n">
        <v>2</v>
      </c>
      <c r="AK63" t="n">
        <v>2</v>
      </c>
      <c r="AL63" t="n">
        <v>5</v>
      </c>
      <c r="AM63" t="n">
        <v>5</v>
      </c>
      <c r="AN63" t="n">
        <v>2</v>
      </c>
      <c r="AO63" t="n">
        <v>2</v>
      </c>
      <c r="AP63" t="n">
        <v>0</v>
      </c>
      <c r="AQ63" t="n">
        <v>0</v>
      </c>
      <c r="AR63" t="inlineStr">
        <is>
          <t>No</t>
        </is>
      </c>
      <c r="AS63" t="inlineStr">
        <is>
          <t>Yes</t>
        </is>
      </c>
      <c r="AT63">
        <f>HYPERLINK("http://catalog.hathitrust.org/Record/002506788","HathiTrust Record")</f>
        <v/>
      </c>
      <c r="AU63">
        <f>HYPERLINK("https://creighton-primo.hosted.exlibrisgroup.com/primo-explore/search?tab=default_tab&amp;search_scope=EVERYTHING&amp;vid=01CRU&amp;lang=en_US&amp;offset=0&amp;query=any,contains,991001382849702656","Catalog Record")</f>
        <v/>
      </c>
      <c r="AV63">
        <f>HYPERLINK("http://www.worldcat.org/oclc/21163894","WorldCat Record")</f>
        <v/>
      </c>
      <c r="AW63" t="inlineStr">
        <is>
          <t>22256913:eng</t>
        </is>
      </c>
      <c r="AX63" t="inlineStr">
        <is>
          <t>21163894</t>
        </is>
      </c>
      <c r="AY63" t="inlineStr">
        <is>
          <t>991001382849702656</t>
        </is>
      </c>
      <c r="AZ63" t="inlineStr">
        <is>
          <t>991001382849702656</t>
        </is>
      </c>
      <c r="BA63" t="inlineStr">
        <is>
          <t>2259759270002656</t>
        </is>
      </c>
      <c r="BB63" t="inlineStr">
        <is>
          <t>BOOK</t>
        </is>
      </c>
      <c r="BD63" t="inlineStr">
        <is>
          <t>9780887374463</t>
        </is>
      </c>
      <c r="BE63" t="inlineStr">
        <is>
          <t>30001001799123</t>
        </is>
      </c>
      <c r="BF63" t="inlineStr">
        <is>
          <t>893451122</t>
        </is>
      </c>
    </row>
    <row r="64">
      <c r="A64" t="inlineStr">
        <is>
          <t>No</t>
        </is>
      </c>
      <c r="B64" t="inlineStr">
        <is>
          <t>CUHSL</t>
        </is>
      </c>
      <c r="C64" t="inlineStr">
        <is>
          <t>SHELVES</t>
        </is>
      </c>
      <c r="D64" t="inlineStr">
        <is>
          <t>WY 11.1 B938h 1984</t>
        </is>
      </c>
      <c r="E64" t="inlineStr">
        <is>
          <t>0                      WY 0011100B  938h        1984</t>
        </is>
      </c>
      <c r="F64" t="inlineStr">
        <is>
          <t>History, trends, and politics of nursing / Vern L. Bullough, Bonnie Bullough.</t>
        </is>
      </c>
      <c r="H64" t="inlineStr">
        <is>
          <t>No</t>
        </is>
      </c>
      <c r="I64" t="inlineStr">
        <is>
          <t>1</t>
        </is>
      </c>
      <c r="J64" t="inlineStr">
        <is>
          <t>No</t>
        </is>
      </c>
      <c r="K64" t="inlineStr">
        <is>
          <t>No</t>
        </is>
      </c>
      <c r="L64" t="inlineStr">
        <is>
          <t>0</t>
        </is>
      </c>
      <c r="M64" t="inlineStr">
        <is>
          <t>Bullough, Vern L.</t>
        </is>
      </c>
      <c r="N64" t="inlineStr">
        <is>
          <t>Norwalk, Conn. : Appleton-Century-Crofts, c1984.</t>
        </is>
      </c>
      <c r="O64" t="inlineStr">
        <is>
          <t>1984</t>
        </is>
      </c>
      <c r="Q64" t="inlineStr">
        <is>
          <t>eng</t>
        </is>
      </c>
      <c r="R64" t="inlineStr">
        <is>
          <t>xxu</t>
        </is>
      </c>
      <c r="T64" t="inlineStr">
        <is>
          <t xml:space="preserve">WY </t>
        </is>
      </c>
      <c r="U64" t="n">
        <v>11</v>
      </c>
      <c r="V64" t="n">
        <v>11</v>
      </c>
      <c r="W64" t="inlineStr">
        <is>
          <t>2002-07-11</t>
        </is>
      </c>
      <c r="X64" t="inlineStr">
        <is>
          <t>2002-07-11</t>
        </is>
      </c>
      <c r="Y64" t="inlineStr">
        <is>
          <t>1987-12-22</t>
        </is>
      </c>
      <c r="Z64" t="inlineStr">
        <is>
          <t>1987-12-22</t>
        </is>
      </c>
      <c r="AA64" t="n">
        <v>411</v>
      </c>
      <c r="AB64" t="n">
        <v>358</v>
      </c>
      <c r="AC64" t="n">
        <v>360</v>
      </c>
      <c r="AD64" t="n">
        <v>2</v>
      </c>
      <c r="AE64" t="n">
        <v>2</v>
      </c>
      <c r="AF64" t="n">
        <v>14</v>
      </c>
      <c r="AG64" t="n">
        <v>14</v>
      </c>
      <c r="AH64" t="n">
        <v>9</v>
      </c>
      <c r="AI64" t="n">
        <v>9</v>
      </c>
      <c r="AJ64" t="n">
        <v>1</v>
      </c>
      <c r="AK64" t="n">
        <v>1</v>
      </c>
      <c r="AL64" t="n">
        <v>7</v>
      </c>
      <c r="AM64" t="n">
        <v>7</v>
      </c>
      <c r="AN64" t="n">
        <v>1</v>
      </c>
      <c r="AO64" t="n">
        <v>1</v>
      </c>
      <c r="AP64" t="n">
        <v>0</v>
      </c>
      <c r="AQ64" t="n">
        <v>0</v>
      </c>
      <c r="AR64" t="inlineStr">
        <is>
          <t>No</t>
        </is>
      </c>
      <c r="AS64" t="inlineStr">
        <is>
          <t>Yes</t>
        </is>
      </c>
      <c r="AT64">
        <f>HYPERLINK("http://catalog.hathitrust.org/Record/000783587","HathiTrust Record")</f>
        <v/>
      </c>
      <c r="AU64">
        <f>HYPERLINK("https://creighton-primo.hosted.exlibrisgroup.com/primo-explore/search?tab=default_tab&amp;search_scope=EVERYTHING&amp;vid=01CRU&amp;lang=en_US&amp;offset=0&amp;query=any,contains,991001037039702656","Catalog Record")</f>
        <v/>
      </c>
      <c r="AV64">
        <f>HYPERLINK("http://www.worldcat.org/oclc/10208334","WorldCat Record")</f>
        <v/>
      </c>
      <c r="AW64" t="inlineStr">
        <is>
          <t>2898596:eng</t>
        </is>
      </c>
      <c r="AX64" t="inlineStr">
        <is>
          <t>10208334</t>
        </is>
      </c>
      <c r="AY64" t="inlineStr">
        <is>
          <t>991001037039702656</t>
        </is>
      </c>
      <c r="AZ64" t="inlineStr">
        <is>
          <t>991001037039702656</t>
        </is>
      </c>
      <c r="BA64" t="inlineStr">
        <is>
          <t>2270677820002656</t>
        </is>
      </c>
      <c r="BB64" t="inlineStr">
        <is>
          <t>BOOK</t>
        </is>
      </c>
      <c r="BD64" t="inlineStr">
        <is>
          <t>9780838537756</t>
        </is>
      </c>
      <c r="BE64" t="inlineStr">
        <is>
          <t>30001000240970</t>
        </is>
      </c>
      <c r="BF64" t="inlineStr">
        <is>
          <t>893740695</t>
        </is>
      </c>
    </row>
    <row r="65">
      <c r="A65" t="inlineStr">
        <is>
          <t>No</t>
        </is>
      </c>
      <c r="B65" t="inlineStr">
        <is>
          <t>CUHSL</t>
        </is>
      </c>
      <c r="C65" t="inlineStr">
        <is>
          <t>SHELVES</t>
        </is>
      </c>
      <c r="D65" t="inlineStr">
        <is>
          <t>WY 11.1 C289p 1995</t>
        </is>
      </c>
      <c r="E65" t="inlineStr">
        <is>
          <t>0                      WY 0011100C  289p        1995</t>
        </is>
      </c>
      <c r="F65" t="inlineStr">
        <is>
          <t>The path we tread : blacks in nursing worldwide, 1854-1994 / Mary Elizabeth Carnegie ; foreword by Josephine A. Dolan.</t>
        </is>
      </c>
      <c r="H65" t="inlineStr">
        <is>
          <t>No</t>
        </is>
      </c>
      <c r="I65" t="inlineStr">
        <is>
          <t>1</t>
        </is>
      </c>
      <c r="J65" t="inlineStr">
        <is>
          <t>No</t>
        </is>
      </c>
      <c r="K65" t="inlineStr">
        <is>
          <t>Yes</t>
        </is>
      </c>
      <c r="L65" t="inlineStr">
        <is>
          <t>0</t>
        </is>
      </c>
      <c r="M65" t="inlineStr">
        <is>
          <t>Carnegie, Mary Elizabeth, 1916-2008.</t>
        </is>
      </c>
      <c r="N65" t="inlineStr">
        <is>
          <t>New York, N.Y. : National League of Nursing Press, c1995.</t>
        </is>
      </c>
      <c r="O65" t="inlineStr">
        <is>
          <t>1995</t>
        </is>
      </c>
      <c r="P65" t="inlineStr">
        <is>
          <t>3rd ed.</t>
        </is>
      </c>
      <c r="Q65" t="inlineStr">
        <is>
          <t>eng</t>
        </is>
      </c>
      <c r="R65" t="inlineStr">
        <is>
          <t>nyu</t>
        </is>
      </c>
      <c r="S65" t="inlineStr">
        <is>
          <t>NLN Pub. No. 14-2678</t>
        </is>
      </c>
      <c r="T65" t="inlineStr">
        <is>
          <t xml:space="preserve">WY </t>
        </is>
      </c>
      <c r="U65" t="n">
        <v>0</v>
      </c>
      <c r="V65" t="n">
        <v>0</v>
      </c>
      <c r="W65" t="inlineStr">
        <is>
          <t>2002-07-21</t>
        </is>
      </c>
      <c r="X65" t="inlineStr">
        <is>
          <t>2002-07-21</t>
        </is>
      </c>
      <c r="Y65" t="inlineStr">
        <is>
          <t>2000-06-15</t>
        </is>
      </c>
      <c r="Z65" t="inlineStr">
        <is>
          <t>2000-06-15</t>
        </is>
      </c>
      <c r="AA65" t="n">
        <v>527</v>
      </c>
      <c r="AB65" t="n">
        <v>502</v>
      </c>
      <c r="AC65" t="n">
        <v>863</v>
      </c>
      <c r="AD65" t="n">
        <v>4</v>
      </c>
      <c r="AE65" t="n">
        <v>9</v>
      </c>
      <c r="AF65" t="n">
        <v>26</v>
      </c>
      <c r="AG65" t="n">
        <v>36</v>
      </c>
      <c r="AH65" t="n">
        <v>8</v>
      </c>
      <c r="AI65" t="n">
        <v>12</v>
      </c>
      <c r="AJ65" t="n">
        <v>8</v>
      </c>
      <c r="AK65" t="n">
        <v>8</v>
      </c>
      <c r="AL65" t="n">
        <v>11</v>
      </c>
      <c r="AM65" t="n">
        <v>14</v>
      </c>
      <c r="AN65" t="n">
        <v>2</v>
      </c>
      <c r="AO65" t="n">
        <v>6</v>
      </c>
      <c r="AP65" t="n">
        <v>0</v>
      </c>
      <c r="AQ65" t="n">
        <v>0</v>
      </c>
      <c r="AR65" t="inlineStr">
        <is>
          <t>No</t>
        </is>
      </c>
      <c r="AS65" t="inlineStr">
        <is>
          <t>Yes</t>
        </is>
      </c>
      <c r="AT65">
        <f>HYPERLINK("http://catalog.hathitrust.org/Record/004537424","HathiTrust Record")</f>
        <v/>
      </c>
      <c r="AU65">
        <f>HYPERLINK("https://creighton-primo.hosted.exlibrisgroup.com/primo-explore/search?tab=default_tab&amp;search_scope=EVERYTHING&amp;vid=01CRU&amp;lang=en_US&amp;offset=0&amp;query=any,contains,991000252529702656","Catalog Record")</f>
        <v/>
      </c>
      <c r="AV65">
        <f>HYPERLINK("http://www.worldcat.org/oclc/31819658","WorldCat Record")</f>
        <v/>
      </c>
      <c r="AW65" t="inlineStr">
        <is>
          <t>3856935423:eng</t>
        </is>
      </c>
      <c r="AX65" t="inlineStr">
        <is>
          <t>31819658</t>
        </is>
      </c>
      <c r="AY65" t="inlineStr">
        <is>
          <t>991000252529702656</t>
        </is>
      </c>
      <c r="AZ65" t="inlineStr">
        <is>
          <t>991000252529702656</t>
        </is>
      </c>
      <c r="BA65" t="inlineStr">
        <is>
          <t>2259806540002656</t>
        </is>
      </c>
      <c r="BB65" t="inlineStr">
        <is>
          <t>BOOK</t>
        </is>
      </c>
      <c r="BD65" t="inlineStr">
        <is>
          <t>9780887376405</t>
        </is>
      </c>
      <c r="BE65" t="inlineStr">
        <is>
          <t>30001003169028</t>
        </is>
      </c>
      <c r="BF65" t="inlineStr">
        <is>
          <t>893365253</t>
        </is>
      </c>
    </row>
    <row r="66">
      <c r="A66" t="inlineStr">
        <is>
          <t>No</t>
        </is>
      </c>
      <c r="B66" t="inlineStr">
        <is>
          <t>CUHSL</t>
        </is>
      </c>
      <c r="C66" t="inlineStr">
        <is>
          <t>SHELVES</t>
        </is>
      </c>
      <c r="D66" t="inlineStr">
        <is>
          <t>WY 11.1 D659n 1983</t>
        </is>
      </c>
      <c r="E66" t="inlineStr">
        <is>
          <t>0                      WY 0011100D  659n        1983</t>
        </is>
      </c>
      <c r="F66" t="inlineStr">
        <is>
          <t>Nursing in society : a historical perspective / Josephine A. Dolan, Louise Fitzpatrick, Eleanor Herrmann.</t>
        </is>
      </c>
      <c r="H66" t="inlineStr">
        <is>
          <t>No</t>
        </is>
      </c>
      <c r="I66" t="inlineStr">
        <is>
          <t>1</t>
        </is>
      </c>
      <c r="J66" t="inlineStr">
        <is>
          <t>No</t>
        </is>
      </c>
      <c r="K66" t="inlineStr">
        <is>
          <t>Yes</t>
        </is>
      </c>
      <c r="L66" t="inlineStr">
        <is>
          <t>0</t>
        </is>
      </c>
      <c r="M66" t="inlineStr">
        <is>
          <t>Dolan, Josephine A.</t>
        </is>
      </c>
      <c r="N66" t="inlineStr">
        <is>
          <t>Philadelphia : Saunders, c1983.</t>
        </is>
      </c>
      <c r="O66" t="inlineStr">
        <is>
          <t>1983</t>
        </is>
      </c>
      <c r="P66" t="inlineStr">
        <is>
          <t>15th ed.</t>
        </is>
      </c>
      <c r="Q66" t="inlineStr">
        <is>
          <t>eng</t>
        </is>
      </c>
      <c r="R66" t="inlineStr">
        <is>
          <t>xxu</t>
        </is>
      </c>
      <c r="T66" t="inlineStr">
        <is>
          <t xml:space="preserve">WY </t>
        </is>
      </c>
      <c r="U66" t="n">
        <v>10</v>
      </c>
      <c r="V66" t="n">
        <v>10</v>
      </c>
      <c r="W66" t="inlineStr">
        <is>
          <t>2004-12-13</t>
        </is>
      </c>
      <c r="X66" t="inlineStr">
        <is>
          <t>2004-12-13</t>
        </is>
      </c>
      <c r="Y66" t="inlineStr">
        <is>
          <t>1987-12-22</t>
        </is>
      </c>
      <c r="Z66" t="inlineStr">
        <is>
          <t>1987-12-22</t>
        </is>
      </c>
      <c r="AA66" t="n">
        <v>721</v>
      </c>
      <c r="AB66" t="n">
        <v>583</v>
      </c>
      <c r="AC66" t="n">
        <v>881</v>
      </c>
      <c r="AD66" t="n">
        <v>7</v>
      </c>
      <c r="AE66" t="n">
        <v>11</v>
      </c>
      <c r="AF66" t="n">
        <v>26</v>
      </c>
      <c r="AG66" t="n">
        <v>31</v>
      </c>
      <c r="AH66" t="n">
        <v>12</v>
      </c>
      <c r="AI66" t="n">
        <v>13</v>
      </c>
      <c r="AJ66" t="n">
        <v>4</v>
      </c>
      <c r="AK66" t="n">
        <v>4</v>
      </c>
      <c r="AL66" t="n">
        <v>12</v>
      </c>
      <c r="AM66" t="n">
        <v>13</v>
      </c>
      <c r="AN66" t="n">
        <v>4</v>
      </c>
      <c r="AO66" t="n">
        <v>7</v>
      </c>
      <c r="AP66" t="n">
        <v>0</v>
      </c>
      <c r="AQ66" t="n">
        <v>0</v>
      </c>
      <c r="AR66" t="inlineStr">
        <is>
          <t>No</t>
        </is>
      </c>
      <c r="AS66" t="inlineStr">
        <is>
          <t>Yes</t>
        </is>
      </c>
      <c r="AT66">
        <f>HYPERLINK("http://catalog.hathitrust.org/Record/000276141","HathiTrust Record")</f>
        <v/>
      </c>
      <c r="AU66">
        <f>HYPERLINK("https://creighton-primo.hosted.exlibrisgroup.com/primo-explore/search?tab=default_tab&amp;search_scope=EVERYTHING&amp;vid=01CRU&amp;lang=en_US&amp;offset=0&amp;query=any,contains,991001036999702656","Catalog Record")</f>
        <v/>
      </c>
      <c r="AV66">
        <f>HYPERLINK("http://www.worldcat.org/oclc/8954506","WorldCat Record")</f>
        <v/>
      </c>
      <c r="AW66" t="inlineStr">
        <is>
          <t>1685823:eng</t>
        </is>
      </c>
      <c r="AX66" t="inlineStr">
        <is>
          <t>8954506</t>
        </is>
      </c>
      <c r="AY66" t="inlineStr">
        <is>
          <t>991001036999702656</t>
        </is>
      </c>
      <c r="AZ66" t="inlineStr">
        <is>
          <t>991001036999702656</t>
        </is>
      </c>
      <c r="BA66" t="inlineStr">
        <is>
          <t>2265110770002656</t>
        </is>
      </c>
      <c r="BB66" t="inlineStr">
        <is>
          <t>BOOK</t>
        </is>
      </c>
      <c r="BD66" t="inlineStr">
        <is>
          <t>9780721631356</t>
        </is>
      </c>
      <c r="BE66" t="inlineStr">
        <is>
          <t>30001000240962</t>
        </is>
      </c>
      <c r="BF66" t="inlineStr">
        <is>
          <t>893369044</t>
        </is>
      </c>
    </row>
    <row r="67">
      <c r="A67" t="inlineStr">
        <is>
          <t>No</t>
        </is>
      </c>
      <c r="B67" t="inlineStr">
        <is>
          <t>CUHSL</t>
        </is>
      </c>
      <c r="C67" t="inlineStr">
        <is>
          <t>SHELVES</t>
        </is>
      </c>
      <c r="D67" t="inlineStr">
        <is>
          <t>WY 11.1 D674n 1985</t>
        </is>
      </c>
      <c r="E67" t="inlineStr">
        <is>
          <t>0                      WY 0011100D  674n        1985</t>
        </is>
      </c>
      <c r="F67" t="inlineStr">
        <is>
          <t>Nursing, the finest art : an illustrated history / M. Patricia Donahue ; illustrations edited and compiled by Patricia A. Russac.</t>
        </is>
      </c>
      <c r="H67" t="inlineStr">
        <is>
          <t>No</t>
        </is>
      </c>
      <c r="I67" t="inlineStr">
        <is>
          <t>1</t>
        </is>
      </c>
      <c r="J67" t="inlineStr">
        <is>
          <t>No</t>
        </is>
      </c>
      <c r="K67" t="inlineStr">
        <is>
          <t>Yes</t>
        </is>
      </c>
      <c r="L67" t="inlineStr">
        <is>
          <t>0</t>
        </is>
      </c>
      <c r="M67" t="inlineStr">
        <is>
          <t>Donahue, M. Patricia.</t>
        </is>
      </c>
      <c r="N67" t="inlineStr">
        <is>
          <t>St. Louis : Mosby, c1985.</t>
        </is>
      </c>
      <c r="O67" t="inlineStr">
        <is>
          <t>1985</t>
        </is>
      </c>
      <c r="Q67" t="inlineStr">
        <is>
          <t>eng</t>
        </is>
      </c>
      <c r="R67" t="inlineStr">
        <is>
          <t>xxu</t>
        </is>
      </c>
      <c r="T67" t="inlineStr">
        <is>
          <t xml:space="preserve">WY </t>
        </is>
      </c>
      <c r="U67" t="n">
        <v>10</v>
      </c>
      <c r="V67" t="n">
        <v>10</v>
      </c>
      <c r="W67" t="inlineStr">
        <is>
          <t>2002-03-30</t>
        </is>
      </c>
      <c r="X67" t="inlineStr">
        <is>
          <t>2002-03-30</t>
        </is>
      </c>
      <c r="Y67" t="inlineStr">
        <is>
          <t>1991-05-06</t>
        </is>
      </c>
      <c r="Z67" t="inlineStr">
        <is>
          <t>1991-05-06</t>
        </is>
      </c>
      <c r="AA67" t="n">
        <v>1476</v>
      </c>
      <c r="AB67" t="n">
        <v>1307</v>
      </c>
      <c r="AC67" t="n">
        <v>1918</v>
      </c>
      <c r="AD67" t="n">
        <v>10</v>
      </c>
      <c r="AE67" t="n">
        <v>18</v>
      </c>
      <c r="AF67" t="n">
        <v>29</v>
      </c>
      <c r="AG67" t="n">
        <v>45</v>
      </c>
      <c r="AH67" t="n">
        <v>11</v>
      </c>
      <c r="AI67" t="n">
        <v>18</v>
      </c>
      <c r="AJ67" t="n">
        <v>5</v>
      </c>
      <c r="AK67" t="n">
        <v>7</v>
      </c>
      <c r="AL67" t="n">
        <v>12</v>
      </c>
      <c r="AM67" t="n">
        <v>15</v>
      </c>
      <c r="AN67" t="n">
        <v>5</v>
      </c>
      <c r="AO67" t="n">
        <v>11</v>
      </c>
      <c r="AP67" t="n">
        <v>0</v>
      </c>
      <c r="AQ67" t="n">
        <v>0</v>
      </c>
      <c r="AR67" t="inlineStr">
        <is>
          <t>No</t>
        </is>
      </c>
      <c r="AS67" t="inlineStr">
        <is>
          <t>Yes</t>
        </is>
      </c>
      <c r="AT67">
        <f>HYPERLINK("http://catalog.hathitrust.org/Record/000649985","HathiTrust Record")</f>
        <v/>
      </c>
      <c r="AU67">
        <f>HYPERLINK("https://creighton-primo.hosted.exlibrisgroup.com/primo-explore/search?tab=default_tab&amp;search_scope=EVERYTHING&amp;vid=01CRU&amp;lang=en_US&amp;offset=0&amp;query=any,contains,991001036869702656","Catalog Record")</f>
        <v/>
      </c>
      <c r="AV67">
        <f>HYPERLINK("http://www.worldcat.org/oclc/11621540","WorldCat Record")</f>
        <v/>
      </c>
      <c r="AW67" t="inlineStr">
        <is>
          <t>793277868:eng</t>
        </is>
      </c>
      <c r="AX67" t="inlineStr">
        <is>
          <t>11621540</t>
        </is>
      </c>
      <c r="AY67" t="inlineStr">
        <is>
          <t>991001036869702656</t>
        </is>
      </c>
      <c r="AZ67" t="inlineStr">
        <is>
          <t>991001036869702656</t>
        </is>
      </c>
      <c r="BA67" t="inlineStr">
        <is>
          <t>2260055530002656</t>
        </is>
      </c>
      <c r="BB67" t="inlineStr">
        <is>
          <t>BOOK</t>
        </is>
      </c>
      <c r="BD67" t="inlineStr">
        <is>
          <t>9780801614248</t>
        </is>
      </c>
      <c r="BE67" t="inlineStr">
        <is>
          <t>30001000240947</t>
        </is>
      </c>
      <c r="BF67" t="inlineStr">
        <is>
          <t>893121129</t>
        </is>
      </c>
    </row>
    <row r="68">
      <c r="A68" t="inlineStr">
        <is>
          <t>No</t>
        </is>
      </c>
      <c r="B68" t="inlineStr">
        <is>
          <t>CUHSL</t>
        </is>
      </c>
      <c r="C68" t="inlineStr">
        <is>
          <t>SHELVES</t>
        </is>
      </c>
      <c r="D68" t="inlineStr">
        <is>
          <t>WY 11.1 I31 1988</t>
        </is>
      </c>
      <c r="E68" t="inlineStr">
        <is>
          <t>0                      WY 0011100I  31          1988</t>
        </is>
      </c>
      <c r="F68" t="inlineStr">
        <is>
          <t>Images of nurses : perspectives from history, art, and literature / edited by Anne Hudson Jones.</t>
        </is>
      </c>
      <c r="H68" t="inlineStr">
        <is>
          <t>No</t>
        </is>
      </c>
      <c r="I68" t="inlineStr">
        <is>
          <t>1</t>
        </is>
      </c>
      <c r="J68" t="inlineStr">
        <is>
          <t>No</t>
        </is>
      </c>
      <c r="K68" t="inlineStr">
        <is>
          <t>No</t>
        </is>
      </c>
      <c r="L68" t="inlineStr">
        <is>
          <t>0</t>
        </is>
      </c>
      <c r="N68" t="inlineStr">
        <is>
          <t>Philadelphia : University of Pennsylvania Press, c1988.</t>
        </is>
      </c>
      <c r="O68" t="inlineStr">
        <is>
          <t>1988</t>
        </is>
      </c>
      <c r="Q68" t="inlineStr">
        <is>
          <t>eng</t>
        </is>
      </c>
      <c r="R68" t="inlineStr">
        <is>
          <t>xxu</t>
        </is>
      </c>
      <c r="T68" t="inlineStr">
        <is>
          <t xml:space="preserve">WY </t>
        </is>
      </c>
      <c r="U68" t="n">
        <v>8</v>
      </c>
      <c r="V68" t="n">
        <v>8</v>
      </c>
      <c r="W68" t="inlineStr">
        <is>
          <t>2002-07-11</t>
        </is>
      </c>
      <c r="X68" t="inlineStr">
        <is>
          <t>2002-07-11</t>
        </is>
      </c>
      <c r="Y68" t="inlineStr">
        <is>
          <t>1989-09-13</t>
        </is>
      </c>
      <c r="Z68" t="inlineStr">
        <is>
          <t>1989-09-13</t>
        </is>
      </c>
      <c r="AA68" t="n">
        <v>679</v>
      </c>
      <c r="AB68" t="n">
        <v>582</v>
      </c>
      <c r="AC68" t="n">
        <v>585</v>
      </c>
      <c r="AD68" t="n">
        <v>6</v>
      </c>
      <c r="AE68" t="n">
        <v>6</v>
      </c>
      <c r="AF68" t="n">
        <v>34</v>
      </c>
      <c r="AG68" t="n">
        <v>34</v>
      </c>
      <c r="AH68" t="n">
        <v>13</v>
      </c>
      <c r="AI68" t="n">
        <v>13</v>
      </c>
      <c r="AJ68" t="n">
        <v>7</v>
      </c>
      <c r="AK68" t="n">
        <v>7</v>
      </c>
      <c r="AL68" t="n">
        <v>16</v>
      </c>
      <c r="AM68" t="n">
        <v>16</v>
      </c>
      <c r="AN68" t="n">
        <v>5</v>
      </c>
      <c r="AO68" t="n">
        <v>5</v>
      </c>
      <c r="AP68" t="n">
        <v>0</v>
      </c>
      <c r="AQ68" t="n">
        <v>0</v>
      </c>
      <c r="AR68" t="inlineStr">
        <is>
          <t>No</t>
        </is>
      </c>
      <c r="AS68" t="inlineStr">
        <is>
          <t>Yes</t>
        </is>
      </c>
      <c r="AT68">
        <f>HYPERLINK("http://catalog.hathitrust.org/Record/001074506","HathiTrust Record")</f>
        <v/>
      </c>
      <c r="AU68">
        <f>HYPERLINK("https://creighton-primo.hosted.exlibrisgroup.com/primo-explore/search?tab=default_tab&amp;search_scope=EVERYTHING&amp;vid=01CRU&amp;lang=en_US&amp;offset=0&amp;query=any,contains,991001321619702656","Catalog Record")</f>
        <v/>
      </c>
      <c r="AV68">
        <f>HYPERLINK("http://www.worldcat.org/oclc/16682241","WorldCat Record")</f>
        <v/>
      </c>
      <c r="AW68" t="inlineStr">
        <is>
          <t>890430342:eng</t>
        </is>
      </c>
      <c r="AX68" t="inlineStr">
        <is>
          <t>16682241</t>
        </is>
      </c>
      <c r="AY68" t="inlineStr">
        <is>
          <t>991001321619702656</t>
        </is>
      </c>
      <c r="AZ68" t="inlineStr">
        <is>
          <t>991001321619702656</t>
        </is>
      </c>
      <c r="BA68" t="inlineStr">
        <is>
          <t>2271946810002656</t>
        </is>
      </c>
      <c r="BB68" t="inlineStr">
        <is>
          <t>BOOK</t>
        </is>
      </c>
      <c r="BD68" t="inlineStr">
        <is>
          <t>9780812212549</t>
        </is>
      </c>
      <c r="BE68" t="inlineStr">
        <is>
          <t>30001001753708</t>
        </is>
      </c>
      <c r="BF68" t="inlineStr">
        <is>
          <t>893278993</t>
        </is>
      </c>
    </row>
    <row r="69">
      <c r="A69" t="inlineStr">
        <is>
          <t>No</t>
        </is>
      </c>
      <c r="B69" t="inlineStr">
        <is>
          <t>CUHSL</t>
        </is>
      </c>
      <c r="C69" t="inlineStr">
        <is>
          <t>SHELVES</t>
        </is>
      </c>
      <c r="D69" t="inlineStr">
        <is>
          <t>WY 11.1 N974 1981</t>
        </is>
      </c>
      <c r="E69" t="inlineStr">
        <is>
          <t>0                      WY 0011100N  974         1981</t>
        </is>
      </c>
      <c r="F69" t="inlineStr">
        <is>
          <t>Nursing history--new perspectives, new possibilities / Ellen Condliffe Lagemann, editor.</t>
        </is>
      </c>
      <c r="H69" t="inlineStr">
        <is>
          <t>No</t>
        </is>
      </c>
      <c r="I69" t="inlineStr">
        <is>
          <t>1</t>
        </is>
      </c>
      <c r="J69" t="inlineStr">
        <is>
          <t>No</t>
        </is>
      </c>
      <c r="K69" t="inlineStr">
        <is>
          <t>No</t>
        </is>
      </c>
      <c r="L69" t="inlineStr">
        <is>
          <t>0</t>
        </is>
      </c>
      <c r="N69" t="inlineStr">
        <is>
          <t>New York : Teachers College Press, c1983.</t>
        </is>
      </c>
      <c r="O69" t="inlineStr">
        <is>
          <t>1983</t>
        </is>
      </c>
      <c r="Q69" t="inlineStr">
        <is>
          <t>eng</t>
        </is>
      </c>
      <c r="R69" t="inlineStr">
        <is>
          <t>xxu</t>
        </is>
      </c>
      <c r="T69" t="inlineStr">
        <is>
          <t xml:space="preserve">WY </t>
        </is>
      </c>
      <c r="U69" t="n">
        <v>4</v>
      </c>
      <c r="V69" t="n">
        <v>4</v>
      </c>
      <c r="W69" t="inlineStr">
        <is>
          <t>1988-09-15</t>
        </is>
      </c>
      <c r="X69" t="inlineStr">
        <is>
          <t>1988-09-15</t>
        </is>
      </c>
      <c r="Y69" t="inlineStr">
        <is>
          <t>1987-12-22</t>
        </is>
      </c>
      <c r="Z69" t="inlineStr">
        <is>
          <t>1987-12-22</t>
        </is>
      </c>
      <c r="AA69" t="n">
        <v>460</v>
      </c>
      <c r="AB69" t="n">
        <v>402</v>
      </c>
      <c r="AC69" t="n">
        <v>408</v>
      </c>
      <c r="AD69" t="n">
        <v>4</v>
      </c>
      <c r="AE69" t="n">
        <v>4</v>
      </c>
      <c r="AF69" t="n">
        <v>21</v>
      </c>
      <c r="AG69" t="n">
        <v>21</v>
      </c>
      <c r="AH69" t="n">
        <v>9</v>
      </c>
      <c r="AI69" t="n">
        <v>9</v>
      </c>
      <c r="AJ69" t="n">
        <v>5</v>
      </c>
      <c r="AK69" t="n">
        <v>5</v>
      </c>
      <c r="AL69" t="n">
        <v>9</v>
      </c>
      <c r="AM69" t="n">
        <v>9</v>
      </c>
      <c r="AN69" t="n">
        <v>3</v>
      </c>
      <c r="AO69" t="n">
        <v>3</v>
      </c>
      <c r="AP69" t="n">
        <v>0</v>
      </c>
      <c r="AQ69" t="n">
        <v>0</v>
      </c>
      <c r="AR69" t="inlineStr">
        <is>
          <t>No</t>
        </is>
      </c>
      <c r="AS69" t="inlineStr">
        <is>
          <t>No</t>
        </is>
      </c>
      <c r="AU69">
        <f>HYPERLINK("https://creighton-primo.hosted.exlibrisgroup.com/primo-explore/search?tab=default_tab&amp;search_scope=EVERYTHING&amp;vid=01CRU&amp;lang=en_US&amp;offset=0&amp;query=any,contains,991001037289702656","Catalog Record")</f>
        <v/>
      </c>
      <c r="AV69">
        <f>HYPERLINK("http://www.worldcat.org/oclc/8552297","WorldCat Record")</f>
        <v/>
      </c>
      <c r="AW69" t="inlineStr">
        <is>
          <t>870910932:eng</t>
        </is>
      </c>
      <c r="AX69" t="inlineStr">
        <is>
          <t>8552297</t>
        </is>
      </c>
      <c r="AY69" t="inlineStr">
        <is>
          <t>991001037289702656</t>
        </is>
      </c>
      <c r="AZ69" t="inlineStr">
        <is>
          <t>991001037289702656</t>
        </is>
      </c>
      <c r="BA69" t="inlineStr">
        <is>
          <t>2254878890002656</t>
        </is>
      </c>
      <c r="BB69" t="inlineStr">
        <is>
          <t>BOOK</t>
        </is>
      </c>
      <c r="BD69" t="inlineStr">
        <is>
          <t>9780807727300</t>
        </is>
      </c>
      <c r="BE69" t="inlineStr">
        <is>
          <t>30001000240996</t>
        </is>
      </c>
      <c r="BF69" t="inlineStr">
        <is>
          <t>893643160</t>
        </is>
      </c>
    </row>
    <row r="70">
      <c r="A70" t="inlineStr">
        <is>
          <t>No</t>
        </is>
      </c>
      <c r="B70" t="inlineStr">
        <is>
          <t>CUHSL</t>
        </is>
      </c>
      <c r="C70" t="inlineStr">
        <is>
          <t>SHELVES</t>
        </is>
      </c>
      <c r="D70" t="inlineStr">
        <is>
          <t>WY 11.1 P134 1984</t>
        </is>
      </c>
      <c r="E70" t="inlineStr">
        <is>
          <t>0                      WY 0011100P  134         1984</t>
        </is>
      </c>
      <c r="F70" t="inlineStr">
        <is>
          <t>Pages from nursing history : a collection of original articles from the pages of Nursing outlook, the American journal of nursing, and Nursing research.</t>
        </is>
      </c>
      <c r="H70" t="inlineStr">
        <is>
          <t>No</t>
        </is>
      </c>
      <c r="I70" t="inlineStr">
        <is>
          <t>1</t>
        </is>
      </c>
      <c r="J70" t="inlineStr">
        <is>
          <t>No</t>
        </is>
      </c>
      <c r="K70" t="inlineStr">
        <is>
          <t>No</t>
        </is>
      </c>
      <c r="L70" t="inlineStr">
        <is>
          <t>0</t>
        </is>
      </c>
      <c r="N70" t="inlineStr">
        <is>
          <t>New York, N.Y. : American Journal of Nursing Co, c1984.</t>
        </is>
      </c>
      <c r="O70" t="inlineStr">
        <is>
          <t>1984</t>
        </is>
      </c>
      <c r="Q70" t="inlineStr">
        <is>
          <t>eng</t>
        </is>
      </c>
      <c r="R70" t="inlineStr">
        <is>
          <t>nyu</t>
        </is>
      </c>
      <c r="T70" t="inlineStr">
        <is>
          <t xml:space="preserve">WY </t>
        </is>
      </c>
      <c r="U70" t="n">
        <v>9</v>
      </c>
      <c r="V70" t="n">
        <v>9</v>
      </c>
      <c r="W70" t="inlineStr">
        <is>
          <t>2008-02-25</t>
        </is>
      </c>
      <c r="X70" t="inlineStr">
        <is>
          <t>2008-02-25</t>
        </is>
      </c>
      <c r="Y70" t="inlineStr">
        <is>
          <t>1987-10-19</t>
        </is>
      </c>
      <c r="Z70" t="inlineStr">
        <is>
          <t>1987-10-19</t>
        </is>
      </c>
      <c r="AA70" t="n">
        <v>240</v>
      </c>
      <c r="AB70" t="n">
        <v>224</v>
      </c>
      <c r="AC70" t="n">
        <v>224</v>
      </c>
      <c r="AD70" t="n">
        <v>4</v>
      </c>
      <c r="AE70" t="n">
        <v>4</v>
      </c>
      <c r="AF70" t="n">
        <v>11</v>
      </c>
      <c r="AG70" t="n">
        <v>11</v>
      </c>
      <c r="AH70" t="n">
        <v>4</v>
      </c>
      <c r="AI70" t="n">
        <v>4</v>
      </c>
      <c r="AJ70" t="n">
        <v>1</v>
      </c>
      <c r="AK70" t="n">
        <v>1</v>
      </c>
      <c r="AL70" t="n">
        <v>5</v>
      </c>
      <c r="AM70" t="n">
        <v>5</v>
      </c>
      <c r="AN70" t="n">
        <v>2</v>
      </c>
      <c r="AO70" t="n">
        <v>2</v>
      </c>
      <c r="AP70" t="n">
        <v>0</v>
      </c>
      <c r="AQ70" t="n">
        <v>0</v>
      </c>
      <c r="AR70" t="inlineStr">
        <is>
          <t>No</t>
        </is>
      </c>
      <c r="AS70" t="inlineStr">
        <is>
          <t>No</t>
        </is>
      </c>
      <c r="AU70">
        <f>HYPERLINK("https://creighton-primo.hosted.exlibrisgroup.com/primo-explore/search?tab=default_tab&amp;search_scope=EVERYTHING&amp;vid=01CRU&amp;lang=en_US&amp;offset=0&amp;query=any,contains,991000741589702656","Catalog Record")</f>
        <v/>
      </c>
      <c r="AV70">
        <f>HYPERLINK("http://www.worldcat.org/oclc/11640555","WorldCat Record")</f>
        <v/>
      </c>
      <c r="AW70" t="inlineStr">
        <is>
          <t>54691641:eng</t>
        </is>
      </c>
      <c r="AX70" t="inlineStr">
        <is>
          <t>11640555</t>
        </is>
      </c>
      <c r="AY70" t="inlineStr">
        <is>
          <t>991000741589702656</t>
        </is>
      </c>
      <c r="AZ70" t="inlineStr">
        <is>
          <t>991000741589702656</t>
        </is>
      </c>
      <c r="BA70" t="inlineStr">
        <is>
          <t>2256680660002656</t>
        </is>
      </c>
      <c r="BB70" t="inlineStr">
        <is>
          <t>BOOK</t>
        </is>
      </c>
      <c r="BE70" t="inlineStr">
        <is>
          <t>30001000043473</t>
        </is>
      </c>
      <c r="BF70" t="inlineStr">
        <is>
          <t>893272948</t>
        </is>
      </c>
    </row>
    <row r="71">
      <c r="A71" t="inlineStr">
        <is>
          <t>No</t>
        </is>
      </c>
      <c r="B71" t="inlineStr">
        <is>
          <t>CUHSL</t>
        </is>
      </c>
      <c r="C71" t="inlineStr">
        <is>
          <t>SHELVES</t>
        </is>
      </c>
      <c r="D71" t="inlineStr">
        <is>
          <t>WY13 E5632 2006</t>
        </is>
      </c>
      <c r="E71" t="inlineStr">
        <is>
          <t>0                      WY 0013000E  5632        2006</t>
        </is>
      </c>
      <c r="F71" t="inlineStr">
        <is>
          <t>Encyclopedia of nursing research / Joyce J. Fitzpatrick, editor-in-chief ; Meredith Wallace, associate editor.</t>
        </is>
      </c>
      <c r="H71" t="inlineStr">
        <is>
          <t>No</t>
        </is>
      </c>
      <c r="I71" t="inlineStr">
        <is>
          <t>1</t>
        </is>
      </c>
      <c r="J71" t="inlineStr">
        <is>
          <t>No</t>
        </is>
      </c>
      <c r="K71" t="inlineStr">
        <is>
          <t>Yes</t>
        </is>
      </c>
      <c r="L71" t="inlineStr">
        <is>
          <t>2</t>
        </is>
      </c>
      <c r="N71" t="inlineStr">
        <is>
          <t>New York : Springer Pub., c2006.</t>
        </is>
      </c>
      <c r="O71" t="inlineStr">
        <is>
          <t>2006</t>
        </is>
      </c>
      <c r="P71" t="inlineStr">
        <is>
          <t>2nd ed.</t>
        </is>
      </c>
      <c r="Q71" t="inlineStr">
        <is>
          <t>eng</t>
        </is>
      </c>
      <c r="R71" t="inlineStr">
        <is>
          <t>nyu</t>
        </is>
      </c>
      <c r="T71" t="inlineStr">
        <is>
          <t xml:space="preserve">WY </t>
        </is>
      </c>
      <c r="U71" t="n">
        <v>2</v>
      </c>
      <c r="V71" t="n">
        <v>2</v>
      </c>
      <c r="W71" t="inlineStr">
        <is>
          <t>2007-11-30</t>
        </is>
      </c>
      <c r="X71" t="inlineStr">
        <is>
          <t>2007-11-30</t>
        </is>
      </c>
      <c r="Y71" t="inlineStr">
        <is>
          <t>2005-10-21</t>
        </is>
      </c>
      <c r="Z71" t="inlineStr">
        <is>
          <t>2005-10-21</t>
        </is>
      </c>
      <c r="AA71" t="n">
        <v>538</v>
      </c>
      <c r="AB71" t="n">
        <v>447</v>
      </c>
      <c r="AC71" t="n">
        <v>1564</v>
      </c>
      <c r="AD71" t="n">
        <v>2</v>
      </c>
      <c r="AE71" t="n">
        <v>17</v>
      </c>
      <c r="AF71" t="n">
        <v>16</v>
      </c>
      <c r="AG71" t="n">
        <v>61</v>
      </c>
      <c r="AH71" t="n">
        <v>6</v>
      </c>
      <c r="AI71" t="n">
        <v>23</v>
      </c>
      <c r="AJ71" t="n">
        <v>3</v>
      </c>
      <c r="AK71" t="n">
        <v>11</v>
      </c>
      <c r="AL71" t="n">
        <v>9</v>
      </c>
      <c r="AM71" t="n">
        <v>21</v>
      </c>
      <c r="AN71" t="n">
        <v>1</v>
      </c>
      <c r="AO71" t="n">
        <v>15</v>
      </c>
      <c r="AP71" t="n">
        <v>0</v>
      </c>
      <c r="AQ71" t="n">
        <v>2</v>
      </c>
      <c r="AR71" t="inlineStr">
        <is>
          <t>No</t>
        </is>
      </c>
      <c r="AS71" t="inlineStr">
        <is>
          <t>Yes</t>
        </is>
      </c>
      <c r="AT71">
        <f>HYPERLINK("http://catalog.hathitrust.org/Record/005092629","HathiTrust Record")</f>
        <v/>
      </c>
      <c r="AU71">
        <f>HYPERLINK("https://creighton-primo.hosted.exlibrisgroup.com/primo-explore/search?tab=default_tab&amp;search_scope=EVERYTHING&amp;vid=01CRU&amp;lang=en_US&amp;offset=0&amp;query=any,contains,991000445729702656","Catalog Record")</f>
        <v/>
      </c>
      <c r="AV71">
        <f>HYPERLINK("http://www.worldcat.org/oclc/60705659","WorldCat Record")</f>
        <v/>
      </c>
      <c r="AW71" t="inlineStr">
        <is>
          <t>1039070759:eng</t>
        </is>
      </c>
      <c r="AX71" t="inlineStr">
        <is>
          <t>60705659</t>
        </is>
      </c>
      <c r="AY71" t="inlineStr">
        <is>
          <t>991000445729702656</t>
        </is>
      </c>
      <c r="AZ71" t="inlineStr">
        <is>
          <t>991000445729702656</t>
        </is>
      </c>
      <c r="BA71" t="inlineStr">
        <is>
          <t>2265472640002656</t>
        </is>
      </c>
      <c r="BB71" t="inlineStr">
        <is>
          <t>BOOK</t>
        </is>
      </c>
      <c r="BD71" t="inlineStr">
        <is>
          <t>9780826198129</t>
        </is>
      </c>
      <c r="BE71" t="inlineStr">
        <is>
          <t>30001004914273</t>
        </is>
      </c>
      <c r="BF71" t="inlineStr">
        <is>
          <t>893370562</t>
        </is>
      </c>
    </row>
    <row r="72">
      <c r="A72" t="inlineStr">
        <is>
          <t>No</t>
        </is>
      </c>
      <c r="B72" t="inlineStr">
        <is>
          <t>CUHSL</t>
        </is>
      </c>
      <c r="C72" t="inlineStr">
        <is>
          <t>SHELVES</t>
        </is>
      </c>
      <c r="D72" t="inlineStr">
        <is>
          <t>WY 13 M894 1990</t>
        </is>
      </c>
      <c r="E72" t="inlineStr">
        <is>
          <t>0                      WY 0013000M  894         1990</t>
        </is>
      </c>
      <c r="F72" t="inlineStr">
        <is>
          <t>Mosby's medical, nursing, and allied health dictionary.</t>
        </is>
      </c>
      <c r="H72" t="inlineStr">
        <is>
          <t>No</t>
        </is>
      </c>
      <c r="I72" t="inlineStr">
        <is>
          <t>1</t>
        </is>
      </c>
      <c r="J72" t="inlineStr">
        <is>
          <t>No</t>
        </is>
      </c>
      <c r="K72" t="inlineStr">
        <is>
          <t>Yes</t>
        </is>
      </c>
      <c r="L72" t="inlineStr">
        <is>
          <t>0</t>
        </is>
      </c>
      <c r="N72" t="inlineStr">
        <is>
          <t>St. Louis : Mosby, c1990.</t>
        </is>
      </c>
      <c r="O72" t="inlineStr">
        <is>
          <t>1990</t>
        </is>
      </c>
      <c r="P72" t="inlineStr">
        <is>
          <t>3rd ed. / managing editor, Walter D. Glanze ; revision editor, Kenneth N. Anderson ; consulting editor and writer, Lois E. Anderson.</t>
        </is>
      </c>
      <c r="Q72" t="inlineStr">
        <is>
          <t>eng</t>
        </is>
      </c>
      <c r="R72" t="inlineStr">
        <is>
          <t>mou</t>
        </is>
      </c>
      <c r="T72" t="inlineStr">
        <is>
          <t xml:space="preserve">WY </t>
        </is>
      </c>
      <c r="U72" t="n">
        <v>32</v>
      </c>
      <c r="V72" t="n">
        <v>32</v>
      </c>
      <c r="W72" t="inlineStr">
        <is>
          <t>2002-10-30</t>
        </is>
      </c>
      <c r="X72" t="inlineStr">
        <is>
          <t>2002-10-30</t>
        </is>
      </c>
      <c r="Y72" t="inlineStr">
        <is>
          <t>1989-11-20</t>
        </is>
      </c>
      <c r="Z72" t="inlineStr">
        <is>
          <t>1989-11-20</t>
        </is>
      </c>
      <c r="AA72" t="n">
        <v>438</v>
      </c>
      <c r="AB72" t="n">
        <v>356</v>
      </c>
      <c r="AC72" t="n">
        <v>1206</v>
      </c>
      <c r="AD72" t="n">
        <v>2</v>
      </c>
      <c r="AE72" t="n">
        <v>3</v>
      </c>
      <c r="AF72" t="n">
        <v>6</v>
      </c>
      <c r="AG72" t="n">
        <v>15</v>
      </c>
      <c r="AH72" t="n">
        <v>1</v>
      </c>
      <c r="AI72" t="n">
        <v>3</v>
      </c>
      <c r="AJ72" t="n">
        <v>1</v>
      </c>
      <c r="AK72" t="n">
        <v>4</v>
      </c>
      <c r="AL72" t="n">
        <v>4</v>
      </c>
      <c r="AM72" t="n">
        <v>9</v>
      </c>
      <c r="AN72" t="n">
        <v>0</v>
      </c>
      <c r="AO72" t="n">
        <v>0</v>
      </c>
      <c r="AP72" t="n">
        <v>1</v>
      </c>
      <c r="AQ72" t="n">
        <v>1</v>
      </c>
      <c r="AR72" t="inlineStr">
        <is>
          <t>No</t>
        </is>
      </c>
      <c r="AS72" t="inlineStr">
        <is>
          <t>Yes</t>
        </is>
      </c>
      <c r="AT72">
        <f>HYPERLINK("http://catalog.hathitrust.org/Record/001830106","HathiTrust Record")</f>
        <v/>
      </c>
      <c r="AU72">
        <f>HYPERLINK("https://creighton-primo.hosted.exlibrisgroup.com/primo-explore/search?tab=default_tab&amp;search_scope=EVERYTHING&amp;vid=01CRU&amp;lang=en_US&amp;offset=0&amp;query=any,contains,991001367759702656","Catalog Record")</f>
        <v/>
      </c>
      <c r="AV72">
        <f>HYPERLINK("http://www.worldcat.org/oclc/20811002","WorldCat Record")</f>
        <v/>
      </c>
      <c r="AW72" t="inlineStr">
        <is>
          <t>375483287:eng</t>
        </is>
      </c>
      <c r="AX72" t="inlineStr">
        <is>
          <t>20811002</t>
        </is>
      </c>
      <c r="AY72" t="inlineStr">
        <is>
          <t>991001367759702656</t>
        </is>
      </c>
      <c r="AZ72" t="inlineStr">
        <is>
          <t>991001367759702656</t>
        </is>
      </c>
      <c r="BA72" t="inlineStr">
        <is>
          <t>2261700950002656</t>
        </is>
      </c>
      <c r="BB72" t="inlineStr">
        <is>
          <t>BOOK</t>
        </is>
      </c>
      <c r="BD72" t="inlineStr">
        <is>
          <t>9780801632273</t>
        </is>
      </c>
      <c r="BE72" t="inlineStr">
        <is>
          <t>30001001797358</t>
        </is>
      </c>
      <c r="BF72" t="inlineStr">
        <is>
          <t>893460502</t>
        </is>
      </c>
    </row>
    <row r="73">
      <c r="A73" t="inlineStr">
        <is>
          <t>No</t>
        </is>
      </c>
      <c r="B73" t="inlineStr">
        <is>
          <t>CUHSL</t>
        </is>
      </c>
      <c r="C73" t="inlineStr">
        <is>
          <t>SHELVES</t>
        </is>
      </c>
      <c r="D73" t="inlineStr">
        <is>
          <t>WY 13 N974 1999</t>
        </is>
      </c>
      <c r="E73" t="inlineStr">
        <is>
          <t>0                      WY 0013000N  974         1999</t>
        </is>
      </c>
      <c r="F73" t="inlineStr">
        <is>
          <t>Nursing research digest / Joyce J. Fitzpatrick, editor.</t>
        </is>
      </c>
      <c r="H73" t="inlineStr">
        <is>
          <t>No</t>
        </is>
      </c>
      <c r="I73" t="inlineStr">
        <is>
          <t>1</t>
        </is>
      </c>
      <c r="J73" t="inlineStr">
        <is>
          <t>No</t>
        </is>
      </c>
      <c r="K73" t="inlineStr">
        <is>
          <t>No</t>
        </is>
      </c>
      <c r="L73" t="inlineStr">
        <is>
          <t>0</t>
        </is>
      </c>
      <c r="N73" t="inlineStr">
        <is>
          <t>New York : Springer Pub. Co., c1999.</t>
        </is>
      </c>
      <c r="O73" t="inlineStr">
        <is>
          <t>1999</t>
        </is>
      </c>
      <c r="Q73" t="inlineStr">
        <is>
          <t>eng</t>
        </is>
      </c>
      <c r="R73" t="inlineStr">
        <is>
          <t>nyu</t>
        </is>
      </c>
      <c r="T73" t="inlineStr">
        <is>
          <t xml:space="preserve">WY </t>
        </is>
      </c>
      <c r="U73" t="n">
        <v>4</v>
      </c>
      <c r="V73" t="n">
        <v>4</v>
      </c>
      <c r="W73" t="inlineStr">
        <is>
          <t>2000-03-06</t>
        </is>
      </c>
      <c r="X73" t="inlineStr">
        <is>
          <t>2000-03-06</t>
        </is>
      </c>
      <c r="Y73" t="inlineStr">
        <is>
          <t>2000-03-03</t>
        </is>
      </c>
      <c r="Z73" t="inlineStr">
        <is>
          <t>2000-03-03</t>
        </is>
      </c>
      <c r="AA73" t="n">
        <v>114</v>
      </c>
      <c r="AB73" t="n">
        <v>98</v>
      </c>
      <c r="AC73" t="n">
        <v>100</v>
      </c>
      <c r="AD73" t="n">
        <v>1</v>
      </c>
      <c r="AE73" t="n">
        <v>1</v>
      </c>
      <c r="AF73" t="n">
        <v>6</v>
      </c>
      <c r="AG73" t="n">
        <v>6</v>
      </c>
      <c r="AH73" t="n">
        <v>2</v>
      </c>
      <c r="AI73" t="n">
        <v>2</v>
      </c>
      <c r="AJ73" t="n">
        <v>1</v>
      </c>
      <c r="AK73" t="n">
        <v>1</v>
      </c>
      <c r="AL73" t="n">
        <v>4</v>
      </c>
      <c r="AM73" t="n">
        <v>4</v>
      </c>
      <c r="AN73" t="n">
        <v>0</v>
      </c>
      <c r="AO73" t="n">
        <v>0</v>
      </c>
      <c r="AP73" t="n">
        <v>0</v>
      </c>
      <c r="AQ73" t="n">
        <v>0</v>
      </c>
      <c r="AR73" t="inlineStr">
        <is>
          <t>No</t>
        </is>
      </c>
      <c r="AS73" t="inlineStr">
        <is>
          <t>Yes</t>
        </is>
      </c>
      <c r="AT73">
        <f>HYPERLINK("http://catalog.hathitrust.org/Record/004096576","HathiTrust Record")</f>
        <v/>
      </c>
      <c r="AU73">
        <f>HYPERLINK("https://creighton-primo.hosted.exlibrisgroup.com/primo-explore/search?tab=default_tab&amp;search_scope=EVERYTHING&amp;vid=01CRU&amp;lang=en_US&amp;offset=0&amp;query=any,contains,991001441869702656","Catalog Record")</f>
        <v/>
      </c>
      <c r="AV73">
        <f>HYPERLINK("http://www.worldcat.org/oclc/41156512","WorldCat Record")</f>
        <v/>
      </c>
      <c r="AW73" t="inlineStr">
        <is>
          <t>3857437074:eng</t>
        </is>
      </c>
      <c r="AX73" t="inlineStr">
        <is>
          <t>41156512</t>
        </is>
      </c>
      <c r="AY73" t="inlineStr">
        <is>
          <t>991001441869702656</t>
        </is>
      </c>
      <c r="AZ73" t="inlineStr">
        <is>
          <t>991001441869702656</t>
        </is>
      </c>
      <c r="BA73" t="inlineStr">
        <is>
          <t>2261568990002656</t>
        </is>
      </c>
      <c r="BB73" t="inlineStr">
        <is>
          <t>BOOK</t>
        </is>
      </c>
      <c r="BD73" t="inlineStr">
        <is>
          <t>9780826112927</t>
        </is>
      </c>
      <c r="BE73" t="inlineStr">
        <is>
          <t>30001003882604</t>
        </is>
      </c>
      <c r="BF73" t="inlineStr">
        <is>
          <t>893467979</t>
        </is>
      </c>
    </row>
    <row r="74">
      <c r="A74" t="inlineStr">
        <is>
          <t>No</t>
        </is>
      </c>
      <c r="B74" t="inlineStr">
        <is>
          <t>CUHSL</t>
        </is>
      </c>
      <c r="C74" t="inlineStr">
        <is>
          <t>SHELVES</t>
        </is>
      </c>
      <c r="D74" t="inlineStr">
        <is>
          <t>WY 13 P888d 1990</t>
        </is>
      </c>
      <c r="E74" t="inlineStr">
        <is>
          <t>0                      WY 0013000P  888d        1990</t>
        </is>
      </c>
      <c r="F74" t="inlineStr">
        <is>
          <t>A dictionary of nursing theory and research / Bethel Ann Powers, Thomas R. Knapp.</t>
        </is>
      </c>
      <c r="H74" t="inlineStr">
        <is>
          <t>No</t>
        </is>
      </c>
      <c r="I74" t="inlineStr">
        <is>
          <t>1</t>
        </is>
      </c>
      <c r="J74" t="inlineStr">
        <is>
          <t>No</t>
        </is>
      </c>
      <c r="K74" t="inlineStr">
        <is>
          <t>No</t>
        </is>
      </c>
      <c r="L74" t="inlineStr">
        <is>
          <t>1</t>
        </is>
      </c>
      <c r="M74" t="inlineStr">
        <is>
          <t>Powers, Bethel Ann, 1943-</t>
        </is>
      </c>
      <c r="N74" t="inlineStr">
        <is>
          <t>Newbury Park, CA : Sage Publications, c1990.</t>
        </is>
      </c>
      <c r="O74" t="inlineStr">
        <is>
          <t>1990</t>
        </is>
      </c>
      <c r="Q74" t="inlineStr">
        <is>
          <t>eng</t>
        </is>
      </c>
      <c r="R74" t="inlineStr">
        <is>
          <t>cau</t>
        </is>
      </c>
      <c r="T74" t="inlineStr">
        <is>
          <t xml:space="preserve">WY </t>
        </is>
      </c>
      <c r="U74" t="n">
        <v>2</v>
      </c>
      <c r="V74" t="n">
        <v>2</v>
      </c>
      <c r="W74" t="inlineStr">
        <is>
          <t>1993-12-20</t>
        </is>
      </c>
      <c r="X74" t="inlineStr">
        <is>
          <t>1993-12-20</t>
        </is>
      </c>
      <c r="Y74" t="inlineStr">
        <is>
          <t>1993-12-10</t>
        </is>
      </c>
      <c r="Z74" t="inlineStr">
        <is>
          <t>1993-12-10</t>
        </is>
      </c>
      <c r="AA74" t="n">
        <v>251</v>
      </c>
      <c r="AB74" t="n">
        <v>181</v>
      </c>
      <c r="AC74" t="n">
        <v>1694</v>
      </c>
      <c r="AD74" t="n">
        <v>2</v>
      </c>
      <c r="AE74" t="n">
        <v>17</v>
      </c>
      <c r="AF74" t="n">
        <v>4</v>
      </c>
      <c r="AG74" t="n">
        <v>61</v>
      </c>
      <c r="AH74" t="n">
        <v>0</v>
      </c>
      <c r="AI74" t="n">
        <v>23</v>
      </c>
      <c r="AJ74" t="n">
        <v>1</v>
      </c>
      <c r="AK74" t="n">
        <v>11</v>
      </c>
      <c r="AL74" t="n">
        <v>2</v>
      </c>
      <c r="AM74" t="n">
        <v>20</v>
      </c>
      <c r="AN74" t="n">
        <v>1</v>
      </c>
      <c r="AO74" t="n">
        <v>15</v>
      </c>
      <c r="AP74" t="n">
        <v>0</v>
      </c>
      <c r="AQ74" t="n">
        <v>3</v>
      </c>
      <c r="AR74" t="inlineStr">
        <is>
          <t>No</t>
        </is>
      </c>
      <c r="AS74" t="inlineStr">
        <is>
          <t>No</t>
        </is>
      </c>
      <c r="AU74">
        <f>HYPERLINK("https://creighton-primo.hosted.exlibrisgroup.com/primo-explore/search?tab=default_tab&amp;search_scope=EVERYTHING&amp;vid=01CRU&amp;lang=en_US&amp;offset=0&amp;query=any,contains,991000644959702656","Catalog Record")</f>
        <v/>
      </c>
      <c r="AV74">
        <f>HYPERLINK("http://www.worldcat.org/oclc/20492149","WorldCat Record")</f>
        <v/>
      </c>
      <c r="AW74" t="inlineStr">
        <is>
          <t>966712:eng</t>
        </is>
      </c>
      <c r="AX74" t="inlineStr">
        <is>
          <t>20492149</t>
        </is>
      </c>
      <c r="AY74" t="inlineStr">
        <is>
          <t>991000644959702656</t>
        </is>
      </c>
      <c r="AZ74" t="inlineStr">
        <is>
          <t>991000644959702656</t>
        </is>
      </c>
      <c r="BA74" t="inlineStr">
        <is>
          <t>2270333060002656</t>
        </is>
      </c>
      <c r="BB74" t="inlineStr">
        <is>
          <t>BOOK</t>
        </is>
      </c>
      <c r="BD74" t="inlineStr">
        <is>
          <t>9780803934115</t>
        </is>
      </c>
      <c r="BE74" t="inlineStr">
        <is>
          <t>30001002690271</t>
        </is>
      </c>
      <c r="BF74" t="inlineStr">
        <is>
          <t>893642211</t>
        </is>
      </c>
    </row>
    <row r="75">
      <c r="A75" t="inlineStr">
        <is>
          <t>No</t>
        </is>
      </c>
      <c r="B75" t="inlineStr">
        <is>
          <t>CUHSL</t>
        </is>
      </c>
      <c r="C75" t="inlineStr">
        <is>
          <t>SHELVES</t>
        </is>
      </c>
      <c r="D75" t="inlineStr">
        <is>
          <t>WY 13 S673h 1999</t>
        </is>
      </c>
      <c r="E75" t="inlineStr">
        <is>
          <t>0                      WY 0013000S  673h        1999</t>
        </is>
      </c>
      <c r="F75" t="inlineStr">
        <is>
          <t>Historical encyclopedia of nursing / Mary Ellen Snodgrass.</t>
        </is>
      </c>
      <c r="H75" t="inlineStr">
        <is>
          <t>No</t>
        </is>
      </c>
      <c r="I75" t="inlineStr">
        <is>
          <t>1</t>
        </is>
      </c>
      <c r="J75" t="inlineStr">
        <is>
          <t>No</t>
        </is>
      </c>
      <c r="K75" t="inlineStr">
        <is>
          <t>No</t>
        </is>
      </c>
      <c r="L75" t="inlineStr">
        <is>
          <t>0</t>
        </is>
      </c>
      <c r="M75" t="inlineStr">
        <is>
          <t>Snodgrass, Mary Ellen.</t>
        </is>
      </c>
      <c r="N75" t="inlineStr">
        <is>
          <t>Santa Barbara, Calif. : ABC-CLIO, c1999.</t>
        </is>
      </c>
      <c r="O75" t="inlineStr">
        <is>
          <t>1999</t>
        </is>
      </c>
      <c r="Q75" t="inlineStr">
        <is>
          <t>eng</t>
        </is>
      </c>
      <c r="R75" t="inlineStr">
        <is>
          <t>cau</t>
        </is>
      </c>
      <c r="T75" t="inlineStr">
        <is>
          <t xml:space="preserve">WY </t>
        </is>
      </c>
      <c r="U75" t="n">
        <v>2</v>
      </c>
      <c r="V75" t="n">
        <v>2</v>
      </c>
      <c r="W75" t="inlineStr">
        <is>
          <t>2009-06-02</t>
        </is>
      </c>
      <c r="X75" t="inlineStr">
        <is>
          <t>2009-06-02</t>
        </is>
      </c>
      <c r="Y75" t="inlineStr">
        <is>
          <t>2005-02-03</t>
        </is>
      </c>
      <c r="Z75" t="inlineStr">
        <is>
          <t>2005-02-03</t>
        </is>
      </c>
      <c r="AA75" t="n">
        <v>1145</v>
      </c>
      <c r="AB75" t="n">
        <v>1013</v>
      </c>
      <c r="AC75" t="n">
        <v>1030</v>
      </c>
      <c r="AD75" t="n">
        <v>3</v>
      </c>
      <c r="AE75" t="n">
        <v>4</v>
      </c>
      <c r="AF75" t="n">
        <v>28</v>
      </c>
      <c r="AG75" t="n">
        <v>28</v>
      </c>
      <c r="AH75" t="n">
        <v>12</v>
      </c>
      <c r="AI75" t="n">
        <v>12</v>
      </c>
      <c r="AJ75" t="n">
        <v>7</v>
      </c>
      <c r="AK75" t="n">
        <v>7</v>
      </c>
      <c r="AL75" t="n">
        <v>12</v>
      </c>
      <c r="AM75" t="n">
        <v>12</v>
      </c>
      <c r="AN75" t="n">
        <v>2</v>
      </c>
      <c r="AO75" t="n">
        <v>2</v>
      </c>
      <c r="AP75" t="n">
        <v>0</v>
      </c>
      <c r="AQ75" t="n">
        <v>0</v>
      </c>
      <c r="AR75" t="inlineStr">
        <is>
          <t>No</t>
        </is>
      </c>
      <c r="AS75" t="inlineStr">
        <is>
          <t>Yes</t>
        </is>
      </c>
      <c r="AT75">
        <f>HYPERLINK("http://catalog.hathitrust.org/Record/004146942","HathiTrust Record")</f>
        <v/>
      </c>
      <c r="AU75">
        <f>HYPERLINK("https://creighton-primo.hosted.exlibrisgroup.com/primo-explore/search?tab=default_tab&amp;search_scope=EVERYTHING&amp;vid=01CRU&amp;lang=en_US&amp;offset=0&amp;query=any,contains,991000426329702656","Catalog Record")</f>
        <v/>
      </c>
      <c r="AV75">
        <f>HYPERLINK("http://www.worldcat.org/oclc/42290243","WorldCat Record")</f>
        <v/>
      </c>
      <c r="AW75" t="inlineStr">
        <is>
          <t>44247408:eng</t>
        </is>
      </c>
      <c r="AX75" t="inlineStr">
        <is>
          <t>42290243</t>
        </is>
      </c>
      <c r="AY75" t="inlineStr">
        <is>
          <t>991000426329702656</t>
        </is>
      </c>
      <c r="AZ75" t="inlineStr">
        <is>
          <t>991000426329702656</t>
        </is>
      </c>
      <c r="BA75" t="inlineStr">
        <is>
          <t>2259383720002656</t>
        </is>
      </c>
      <c r="BB75" t="inlineStr">
        <is>
          <t>BOOK</t>
        </is>
      </c>
      <c r="BD75" t="inlineStr">
        <is>
          <t>9781576070864</t>
        </is>
      </c>
      <c r="BE75" t="inlineStr">
        <is>
          <t>30001004927291</t>
        </is>
      </c>
      <c r="BF75" t="inlineStr">
        <is>
          <t>893359545</t>
        </is>
      </c>
    </row>
    <row r="76">
      <c r="A76" t="inlineStr">
        <is>
          <t>No</t>
        </is>
      </c>
      <c r="B76" t="inlineStr">
        <is>
          <t>CUHSL</t>
        </is>
      </c>
      <c r="C76" t="inlineStr">
        <is>
          <t>SHELVES</t>
        </is>
      </c>
      <c r="D76" t="inlineStr">
        <is>
          <t>WY15 N176 2003</t>
        </is>
      </c>
      <c r="E76" t="inlineStr">
        <is>
          <t>0                      WY 0015000N  176         2003</t>
        </is>
      </c>
      <c r="F76" t="inlineStr">
        <is>
          <t>NANDA nursing diagnoses : definitions &amp; classification, 2003-2004.</t>
        </is>
      </c>
      <c r="H76" t="inlineStr">
        <is>
          <t>No</t>
        </is>
      </c>
      <c r="I76" t="inlineStr">
        <is>
          <t>1</t>
        </is>
      </c>
      <c r="J76" t="inlineStr">
        <is>
          <t>No</t>
        </is>
      </c>
      <c r="K76" t="inlineStr">
        <is>
          <t>No</t>
        </is>
      </c>
      <c r="L76" t="inlineStr">
        <is>
          <t>0</t>
        </is>
      </c>
      <c r="N76" t="inlineStr">
        <is>
          <t>Philadelphia : NANDA International, c2003.</t>
        </is>
      </c>
      <c r="O76" t="inlineStr">
        <is>
          <t>2003</t>
        </is>
      </c>
      <c r="Q76" t="inlineStr">
        <is>
          <t>eng</t>
        </is>
      </c>
      <c r="R76" t="inlineStr">
        <is>
          <t>pau</t>
        </is>
      </c>
      <c r="T76" t="inlineStr">
        <is>
          <t xml:space="preserve">WY </t>
        </is>
      </c>
      <c r="U76" t="n">
        <v>2</v>
      </c>
      <c r="V76" t="n">
        <v>2</v>
      </c>
      <c r="W76" t="inlineStr">
        <is>
          <t>2004-04-04</t>
        </is>
      </c>
      <c r="X76" t="inlineStr">
        <is>
          <t>2004-04-04</t>
        </is>
      </c>
      <c r="Y76" t="inlineStr">
        <is>
          <t>2004-04-02</t>
        </is>
      </c>
      <c r="Z76" t="inlineStr">
        <is>
          <t>2004-04-02</t>
        </is>
      </c>
      <c r="AA76" t="n">
        <v>87</v>
      </c>
      <c r="AB76" t="n">
        <v>78</v>
      </c>
      <c r="AC76" t="n">
        <v>84</v>
      </c>
      <c r="AD76" t="n">
        <v>1</v>
      </c>
      <c r="AE76" t="n">
        <v>1</v>
      </c>
      <c r="AF76" t="n">
        <v>2</v>
      </c>
      <c r="AG76" t="n">
        <v>2</v>
      </c>
      <c r="AH76" t="n">
        <v>0</v>
      </c>
      <c r="AI76" t="n">
        <v>0</v>
      </c>
      <c r="AJ76" t="n">
        <v>0</v>
      </c>
      <c r="AK76" t="n">
        <v>0</v>
      </c>
      <c r="AL76" t="n">
        <v>2</v>
      </c>
      <c r="AM76" t="n">
        <v>2</v>
      </c>
      <c r="AN76" t="n">
        <v>0</v>
      </c>
      <c r="AO76" t="n">
        <v>0</v>
      </c>
      <c r="AP76" t="n">
        <v>0</v>
      </c>
      <c r="AQ76" t="n">
        <v>0</v>
      </c>
      <c r="AR76" t="inlineStr">
        <is>
          <t>No</t>
        </is>
      </c>
      <c r="AS76" t="inlineStr">
        <is>
          <t>No</t>
        </is>
      </c>
      <c r="AU76">
        <f>HYPERLINK("https://creighton-primo.hosted.exlibrisgroup.com/primo-explore/search?tab=default_tab&amp;search_scope=EVERYTHING&amp;vid=01CRU&amp;lang=en_US&amp;offset=0&amp;query=any,contains,991000369559702656","Catalog Record")</f>
        <v/>
      </c>
      <c r="AV76">
        <f>HYPERLINK("http://www.worldcat.org/oclc/52381723","WorldCat Record")</f>
        <v/>
      </c>
      <c r="AW76" t="inlineStr">
        <is>
          <t>4883926553:eng</t>
        </is>
      </c>
      <c r="AX76" t="inlineStr">
        <is>
          <t>52381723</t>
        </is>
      </c>
      <c r="AY76" t="inlineStr">
        <is>
          <t>991000369559702656</t>
        </is>
      </c>
      <c r="AZ76" t="inlineStr">
        <is>
          <t>991000369559702656</t>
        </is>
      </c>
      <c r="BA76" t="inlineStr">
        <is>
          <t>2256846740002656</t>
        </is>
      </c>
      <c r="BB76" t="inlineStr">
        <is>
          <t>BOOK</t>
        </is>
      </c>
      <c r="BD76" t="inlineStr">
        <is>
          <t>9780963704290</t>
        </is>
      </c>
      <c r="BE76" t="inlineStr">
        <is>
          <t>30001004507051</t>
        </is>
      </c>
      <c r="BF76" t="inlineStr">
        <is>
          <t>893644330</t>
        </is>
      </c>
    </row>
    <row r="77">
      <c r="A77" t="inlineStr">
        <is>
          <t>No</t>
        </is>
      </c>
      <c r="B77" t="inlineStr">
        <is>
          <t>CUHSL</t>
        </is>
      </c>
      <c r="C77" t="inlineStr">
        <is>
          <t>SHELVES</t>
        </is>
      </c>
      <c r="D77" t="inlineStr">
        <is>
          <t>WY15 N176 2005</t>
        </is>
      </c>
      <c r="E77" t="inlineStr">
        <is>
          <t>0                      WY 0015000N  176         2005</t>
        </is>
      </c>
      <c r="F77" t="inlineStr">
        <is>
          <t>NANDA nursing diagnoses : definitions &amp; classification, 2005-2006.</t>
        </is>
      </c>
      <c r="H77" t="inlineStr">
        <is>
          <t>No</t>
        </is>
      </c>
      <c r="I77" t="inlineStr">
        <is>
          <t>1</t>
        </is>
      </c>
      <c r="J77" t="inlineStr">
        <is>
          <t>No</t>
        </is>
      </c>
      <c r="K77" t="inlineStr">
        <is>
          <t>No</t>
        </is>
      </c>
      <c r="L77" t="inlineStr">
        <is>
          <t>0</t>
        </is>
      </c>
      <c r="N77" t="inlineStr">
        <is>
          <t>Philadelphia : NANDA International, c2005.</t>
        </is>
      </c>
      <c r="O77" t="inlineStr">
        <is>
          <t>2005</t>
        </is>
      </c>
      <c r="Q77" t="inlineStr">
        <is>
          <t>eng</t>
        </is>
      </c>
      <c r="R77" t="inlineStr">
        <is>
          <t>pau</t>
        </is>
      </c>
      <c r="T77" t="inlineStr">
        <is>
          <t xml:space="preserve">WY </t>
        </is>
      </c>
      <c r="U77" t="n">
        <v>1</v>
      </c>
      <c r="V77" t="n">
        <v>1</v>
      </c>
      <c r="W77" t="inlineStr">
        <is>
          <t>2006-10-08</t>
        </is>
      </c>
      <c r="X77" t="inlineStr">
        <is>
          <t>2006-10-08</t>
        </is>
      </c>
      <c r="Y77" t="inlineStr">
        <is>
          <t>2005-11-18</t>
        </is>
      </c>
      <c r="Z77" t="inlineStr">
        <is>
          <t>2005-11-18</t>
        </is>
      </c>
      <c r="AA77" t="n">
        <v>92</v>
      </c>
      <c r="AB77" t="n">
        <v>85</v>
      </c>
      <c r="AC77" t="n">
        <v>85</v>
      </c>
      <c r="AD77" t="n">
        <v>1</v>
      </c>
      <c r="AE77" t="n">
        <v>1</v>
      </c>
      <c r="AF77" t="n">
        <v>4</v>
      </c>
      <c r="AG77" t="n">
        <v>4</v>
      </c>
      <c r="AH77" t="n">
        <v>1</v>
      </c>
      <c r="AI77" t="n">
        <v>1</v>
      </c>
      <c r="AJ77" t="n">
        <v>1</v>
      </c>
      <c r="AK77" t="n">
        <v>1</v>
      </c>
      <c r="AL77" t="n">
        <v>3</v>
      </c>
      <c r="AM77" t="n">
        <v>3</v>
      </c>
      <c r="AN77" t="n">
        <v>0</v>
      </c>
      <c r="AO77" t="n">
        <v>0</v>
      </c>
      <c r="AP77" t="n">
        <v>0</v>
      </c>
      <c r="AQ77" t="n">
        <v>0</v>
      </c>
      <c r="AR77" t="inlineStr">
        <is>
          <t>No</t>
        </is>
      </c>
      <c r="AS77" t="inlineStr">
        <is>
          <t>No</t>
        </is>
      </c>
      <c r="AU77">
        <f>HYPERLINK("https://creighton-primo.hosted.exlibrisgroup.com/primo-explore/search?tab=default_tab&amp;search_scope=EVERYTHING&amp;vid=01CRU&amp;lang=en_US&amp;offset=0&amp;query=any,contains,991001736059702656","Catalog Record")</f>
        <v/>
      </c>
      <c r="AV77">
        <f>HYPERLINK("http://www.worldcat.org/oclc/58460878","WorldCat Record")</f>
        <v/>
      </c>
      <c r="AW77" t="inlineStr">
        <is>
          <t>4918802406:eng</t>
        </is>
      </c>
      <c r="AX77" t="inlineStr">
        <is>
          <t>58460878</t>
        </is>
      </c>
      <c r="AY77" t="inlineStr">
        <is>
          <t>991001736059702656</t>
        </is>
      </c>
      <c r="AZ77" t="inlineStr">
        <is>
          <t>991001736059702656</t>
        </is>
      </c>
      <c r="BA77" t="inlineStr">
        <is>
          <t>2269475690002656</t>
        </is>
      </c>
      <c r="BB77" t="inlineStr">
        <is>
          <t>BOOK</t>
        </is>
      </c>
      <c r="BD77" t="inlineStr">
        <is>
          <t>9780963704245</t>
        </is>
      </c>
      <c r="BE77" t="inlineStr">
        <is>
          <t>30001004912723</t>
        </is>
      </c>
      <c r="BF77" t="inlineStr">
        <is>
          <t>893727862</t>
        </is>
      </c>
    </row>
    <row r="78">
      <c r="A78" t="inlineStr">
        <is>
          <t>No</t>
        </is>
      </c>
      <c r="B78" t="inlineStr">
        <is>
          <t>CUHSL</t>
        </is>
      </c>
      <c r="C78" t="inlineStr">
        <is>
          <t>SHELVES</t>
        </is>
      </c>
      <c r="D78" t="inlineStr">
        <is>
          <t>WY 16 A211e 1980</t>
        </is>
      </c>
      <c r="E78" t="inlineStr">
        <is>
          <t>0                      WY 0016000A  211e        1980</t>
        </is>
      </c>
      <c r="F78" t="inlineStr">
        <is>
          <t>To be a nurse / Evelyn Adam.</t>
        </is>
      </c>
      <c r="H78" t="inlineStr">
        <is>
          <t>No</t>
        </is>
      </c>
      <c r="I78" t="inlineStr">
        <is>
          <t>1</t>
        </is>
      </c>
      <c r="J78" t="inlineStr">
        <is>
          <t>No</t>
        </is>
      </c>
      <c r="K78" t="inlineStr">
        <is>
          <t>No</t>
        </is>
      </c>
      <c r="L78" t="inlineStr">
        <is>
          <t>0</t>
        </is>
      </c>
      <c r="M78" t="inlineStr">
        <is>
          <t>Adam, Evelyn.</t>
        </is>
      </c>
      <c r="N78" t="inlineStr">
        <is>
          <t>Toronto ; Philadelphia : Saunders, c1980.</t>
        </is>
      </c>
      <c r="O78" t="inlineStr">
        <is>
          <t>1980</t>
        </is>
      </c>
      <c r="Q78" t="inlineStr">
        <is>
          <t>eng</t>
        </is>
      </c>
      <c r="R78" t="inlineStr">
        <is>
          <t>xxc</t>
        </is>
      </c>
      <c r="T78" t="inlineStr">
        <is>
          <t xml:space="preserve">WY </t>
        </is>
      </c>
      <c r="U78" t="n">
        <v>2</v>
      </c>
      <c r="V78" t="n">
        <v>2</v>
      </c>
      <c r="W78" t="inlineStr">
        <is>
          <t>1990-04-26</t>
        </is>
      </c>
      <c r="X78" t="inlineStr">
        <is>
          <t>1990-04-26</t>
        </is>
      </c>
      <c r="Y78" t="inlineStr">
        <is>
          <t>1987-12-22</t>
        </is>
      </c>
      <c r="Z78" t="inlineStr">
        <is>
          <t>1987-12-22</t>
        </is>
      </c>
      <c r="AA78" t="n">
        <v>205</v>
      </c>
      <c r="AB78" t="n">
        <v>151</v>
      </c>
      <c r="AC78" t="n">
        <v>211</v>
      </c>
      <c r="AD78" t="n">
        <v>2</v>
      </c>
      <c r="AE78" t="n">
        <v>3</v>
      </c>
      <c r="AF78" t="n">
        <v>7</v>
      </c>
      <c r="AG78" t="n">
        <v>11</v>
      </c>
      <c r="AH78" t="n">
        <v>1</v>
      </c>
      <c r="AI78" t="n">
        <v>3</v>
      </c>
      <c r="AJ78" t="n">
        <v>3</v>
      </c>
      <c r="AK78" t="n">
        <v>3</v>
      </c>
      <c r="AL78" t="n">
        <v>4</v>
      </c>
      <c r="AM78" t="n">
        <v>6</v>
      </c>
      <c r="AN78" t="n">
        <v>1</v>
      </c>
      <c r="AO78" t="n">
        <v>2</v>
      </c>
      <c r="AP78" t="n">
        <v>0</v>
      </c>
      <c r="AQ78" t="n">
        <v>0</v>
      </c>
      <c r="AR78" t="inlineStr">
        <is>
          <t>No</t>
        </is>
      </c>
      <c r="AS78" t="inlineStr">
        <is>
          <t>Yes</t>
        </is>
      </c>
      <c r="AT78">
        <f>HYPERLINK("http://catalog.hathitrust.org/Record/000225516","HathiTrust Record")</f>
        <v/>
      </c>
      <c r="AU78">
        <f>HYPERLINK("https://creighton-primo.hosted.exlibrisgroup.com/primo-explore/search?tab=default_tab&amp;search_scope=EVERYTHING&amp;vid=01CRU&amp;lang=en_US&amp;offset=0&amp;query=any,contains,991001037319702656","Catalog Record")</f>
        <v/>
      </c>
      <c r="AV78">
        <f>HYPERLINK("http://www.worldcat.org/oclc/6952715","WorldCat Record")</f>
        <v/>
      </c>
      <c r="AW78" t="inlineStr">
        <is>
          <t>24554540:eng</t>
        </is>
      </c>
      <c r="AX78" t="inlineStr">
        <is>
          <t>6952715</t>
        </is>
      </c>
      <c r="AY78" t="inlineStr">
        <is>
          <t>991001037319702656</t>
        </is>
      </c>
      <c r="AZ78" t="inlineStr">
        <is>
          <t>991001037319702656</t>
        </is>
      </c>
      <c r="BA78" t="inlineStr">
        <is>
          <t>2271828140002656</t>
        </is>
      </c>
      <c r="BB78" t="inlineStr">
        <is>
          <t>BOOK</t>
        </is>
      </c>
      <c r="BD78" t="inlineStr">
        <is>
          <t>9780721610320</t>
        </is>
      </c>
      <c r="BE78" t="inlineStr">
        <is>
          <t>30001000241002</t>
        </is>
      </c>
      <c r="BF78" t="inlineStr">
        <is>
          <t>893377060</t>
        </is>
      </c>
    </row>
    <row r="79">
      <c r="A79" t="inlineStr">
        <is>
          <t>No</t>
        </is>
      </c>
      <c r="B79" t="inlineStr">
        <is>
          <t>CUHSL</t>
        </is>
      </c>
      <c r="C79" t="inlineStr">
        <is>
          <t>SHELVES</t>
        </is>
      </c>
      <c r="D79" t="inlineStr">
        <is>
          <t>WY 16 A456c 1981</t>
        </is>
      </c>
      <c r="E79" t="inlineStr">
        <is>
          <t>0                      WY 0016000A  456c        1981</t>
        </is>
      </c>
      <c r="F79" t="inlineStr">
        <is>
          <t>Careers in nursing / Stanley Alperin.</t>
        </is>
      </c>
      <c r="H79" t="inlineStr">
        <is>
          <t>No</t>
        </is>
      </c>
      <c r="I79" t="inlineStr">
        <is>
          <t>1</t>
        </is>
      </c>
      <c r="J79" t="inlineStr">
        <is>
          <t>No</t>
        </is>
      </c>
      <c r="K79" t="inlineStr">
        <is>
          <t>No</t>
        </is>
      </c>
      <c r="L79" t="inlineStr">
        <is>
          <t>0</t>
        </is>
      </c>
      <c r="M79" t="inlineStr">
        <is>
          <t>Alperin, Stanley.</t>
        </is>
      </c>
      <c r="N79" t="inlineStr">
        <is>
          <t>Cambridge, Mass. : Ballinger Pub. Co., c1981.</t>
        </is>
      </c>
      <c r="O79" t="inlineStr">
        <is>
          <t>1981</t>
        </is>
      </c>
      <c r="Q79" t="inlineStr">
        <is>
          <t>eng</t>
        </is>
      </c>
      <c r="R79" t="inlineStr">
        <is>
          <t>xxu</t>
        </is>
      </c>
      <c r="T79" t="inlineStr">
        <is>
          <t xml:space="preserve">WY </t>
        </is>
      </c>
      <c r="U79" t="n">
        <v>6</v>
      </c>
      <c r="V79" t="n">
        <v>6</v>
      </c>
      <c r="W79" t="inlineStr">
        <is>
          <t>1991-05-20</t>
        </is>
      </c>
      <c r="X79" t="inlineStr">
        <is>
          <t>1991-05-20</t>
        </is>
      </c>
      <c r="Y79" t="inlineStr">
        <is>
          <t>1987-12-22</t>
        </is>
      </c>
      <c r="Z79" t="inlineStr">
        <is>
          <t>1987-12-22</t>
        </is>
      </c>
      <c r="AA79" t="n">
        <v>137</v>
      </c>
      <c r="AB79" t="n">
        <v>127</v>
      </c>
      <c r="AC79" t="n">
        <v>127</v>
      </c>
      <c r="AD79" t="n">
        <v>2</v>
      </c>
      <c r="AE79" t="n">
        <v>2</v>
      </c>
      <c r="AF79" t="n">
        <v>2</v>
      </c>
      <c r="AG79" t="n">
        <v>2</v>
      </c>
      <c r="AH79" t="n">
        <v>0</v>
      </c>
      <c r="AI79" t="n">
        <v>0</v>
      </c>
      <c r="AJ79" t="n">
        <v>0</v>
      </c>
      <c r="AK79" t="n">
        <v>0</v>
      </c>
      <c r="AL79" t="n">
        <v>1</v>
      </c>
      <c r="AM79" t="n">
        <v>1</v>
      </c>
      <c r="AN79" t="n">
        <v>1</v>
      </c>
      <c r="AO79" t="n">
        <v>1</v>
      </c>
      <c r="AP79" t="n">
        <v>0</v>
      </c>
      <c r="AQ79" t="n">
        <v>0</v>
      </c>
      <c r="AR79" t="inlineStr">
        <is>
          <t>No</t>
        </is>
      </c>
      <c r="AS79" t="inlineStr">
        <is>
          <t>No</t>
        </is>
      </c>
      <c r="AU79">
        <f>HYPERLINK("https://creighton-primo.hosted.exlibrisgroup.com/primo-explore/search?tab=default_tab&amp;search_scope=EVERYTHING&amp;vid=01CRU&amp;lang=en_US&amp;offset=0&amp;query=any,contains,991001037349702656","Catalog Record")</f>
        <v/>
      </c>
      <c r="AV79">
        <f>HYPERLINK("http://www.worldcat.org/oclc/7553284","WorldCat Record")</f>
        <v/>
      </c>
      <c r="AW79" t="inlineStr">
        <is>
          <t>28558354:eng</t>
        </is>
      </c>
      <c r="AX79" t="inlineStr">
        <is>
          <t>7553284</t>
        </is>
      </c>
      <c r="AY79" t="inlineStr">
        <is>
          <t>991001037349702656</t>
        </is>
      </c>
      <c r="AZ79" t="inlineStr">
        <is>
          <t>991001037349702656</t>
        </is>
      </c>
      <c r="BA79" t="inlineStr">
        <is>
          <t>2263629120002656</t>
        </is>
      </c>
      <c r="BB79" t="inlineStr">
        <is>
          <t>BOOK</t>
        </is>
      </c>
      <c r="BD79" t="inlineStr">
        <is>
          <t>9780884107316</t>
        </is>
      </c>
      <c r="BE79" t="inlineStr">
        <is>
          <t>30001000241010</t>
        </is>
      </c>
      <c r="BF79" t="inlineStr">
        <is>
          <t>893148821</t>
        </is>
      </c>
    </row>
    <row r="80">
      <c r="A80" t="inlineStr">
        <is>
          <t>No</t>
        </is>
      </c>
      <c r="B80" t="inlineStr">
        <is>
          <t>CUHSL</t>
        </is>
      </c>
      <c r="C80" t="inlineStr">
        <is>
          <t>SHELVES</t>
        </is>
      </c>
      <c r="D80" t="inlineStr">
        <is>
          <t>WY 16 A5103 1985</t>
        </is>
      </c>
      <c r="E80" t="inlineStr">
        <is>
          <t>0                      WY 0016000A  5103        1985</t>
        </is>
      </c>
      <c r="F80" t="inlineStr">
        <is>
          <t>Setting the agenda for the year 2000 : knowledge development in nursing : presidental address, papers, and forum summaries / Annual Meeting and Scientific Session, December 2-4, 1985, San Diego, California ; edited by Gladys E. Sorensen.</t>
        </is>
      </c>
      <c r="H80" t="inlineStr">
        <is>
          <t>No</t>
        </is>
      </c>
      <c r="I80" t="inlineStr">
        <is>
          <t>1</t>
        </is>
      </c>
      <c r="J80" t="inlineStr">
        <is>
          <t>No</t>
        </is>
      </c>
      <c r="K80" t="inlineStr">
        <is>
          <t>No</t>
        </is>
      </c>
      <c r="L80" t="inlineStr">
        <is>
          <t>0</t>
        </is>
      </c>
      <c r="M80" t="inlineStr">
        <is>
          <t>American Academy of Nursing. Meeting (13th : 1985 : San Diego, Calif.)</t>
        </is>
      </c>
      <c r="N80" t="inlineStr">
        <is>
          <t>Kansa City, Mo. (2420 Pershing Rd., Kansas City 64108) : American Academy of Nursing, c1986.</t>
        </is>
      </c>
      <c r="O80" t="inlineStr">
        <is>
          <t>1986</t>
        </is>
      </c>
      <c r="Q80" t="inlineStr">
        <is>
          <t>eng</t>
        </is>
      </c>
      <c r="R80" t="inlineStr">
        <is>
          <t>mou</t>
        </is>
      </c>
      <c r="S80" t="inlineStr">
        <is>
          <t>ANA pub ; no. G-170</t>
        </is>
      </c>
      <c r="T80" t="inlineStr">
        <is>
          <t xml:space="preserve">WY </t>
        </is>
      </c>
      <c r="U80" t="n">
        <v>1</v>
      </c>
      <c r="V80" t="n">
        <v>1</v>
      </c>
      <c r="W80" t="inlineStr">
        <is>
          <t>1993-01-28</t>
        </is>
      </c>
      <c r="X80" t="inlineStr">
        <is>
          <t>1993-01-28</t>
        </is>
      </c>
      <c r="Y80" t="inlineStr">
        <is>
          <t>1987-12-10</t>
        </is>
      </c>
      <c r="Z80" t="inlineStr">
        <is>
          <t>1987-12-10</t>
        </is>
      </c>
      <c r="AA80" t="n">
        <v>91</v>
      </c>
      <c r="AB80" t="n">
        <v>83</v>
      </c>
      <c r="AC80" t="n">
        <v>86</v>
      </c>
      <c r="AD80" t="n">
        <v>2</v>
      </c>
      <c r="AE80" t="n">
        <v>2</v>
      </c>
      <c r="AF80" t="n">
        <v>4</v>
      </c>
      <c r="AG80" t="n">
        <v>4</v>
      </c>
      <c r="AH80" t="n">
        <v>0</v>
      </c>
      <c r="AI80" t="n">
        <v>0</v>
      </c>
      <c r="AJ80" t="n">
        <v>1</v>
      </c>
      <c r="AK80" t="n">
        <v>1</v>
      </c>
      <c r="AL80" t="n">
        <v>4</v>
      </c>
      <c r="AM80" t="n">
        <v>4</v>
      </c>
      <c r="AN80" t="n">
        <v>0</v>
      </c>
      <c r="AO80" t="n">
        <v>0</v>
      </c>
      <c r="AP80" t="n">
        <v>0</v>
      </c>
      <c r="AQ80" t="n">
        <v>0</v>
      </c>
      <c r="AR80" t="inlineStr">
        <is>
          <t>No</t>
        </is>
      </c>
      <c r="AS80" t="inlineStr">
        <is>
          <t>Yes</t>
        </is>
      </c>
      <c r="AT80">
        <f>HYPERLINK("http://catalog.hathitrust.org/Record/000628944","HathiTrust Record")</f>
        <v/>
      </c>
      <c r="AU80">
        <f>HYPERLINK("https://creighton-primo.hosted.exlibrisgroup.com/primo-explore/search?tab=default_tab&amp;search_scope=EVERYTHING&amp;vid=01CRU&amp;lang=en_US&amp;offset=0&amp;query=any,contains,991001519469702656","Catalog Record")</f>
        <v/>
      </c>
      <c r="AV80">
        <f>HYPERLINK("http://www.worldcat.org/oclc/13582751","WorldCat Record")</f>
        <v/>
      </c>
      <c r="AW80" t="inlineStr">
        <is>
          <t>2453307452:eng</t>
        </is>
      </c>
      <c r="AX80" t="inlineStr">
        <is>
          <t>13582751</t>
        </is>
      </c>
      <c r="AY80" t="inlineStr">
        <is>
          <t>991001519469702656</t>
        </is>
      </c>
      <c r="AZ80" t="inlineStr">
        <is>
          <t>991001519469702656</t>
        </is>
      </c>
      <c r="BA80" t="inlineStr">
        <is>
          <t>2258961740002656</t>
        </is>
      </c>
      <c r="BB80" t="inlineStr">
        <is>
          <t>BOOK</t>
        </is>
      </c>
      <c r="BE80" t="inlineStr">
        <is>
          <t>30001000602187</t>
        </is>
      </c>
      <c r="BF80" t="inlineStr">
        <is>
          <t>893121586</t>
        </is>
      </c>
    </row>
    <row r="81">
      <c r="A81" t="inlineStr">
        <is>
          <t>No</t>
        </is>
      </c>
      <c r="B81" t="inlineStr">
        <is>
          <t>CUHSL</t>
        </is>
      </c>
      <c r="C81" t="inlineStr">
        <is>
          <t>SHELVES</t>
        </is>
      </c>
      <c r="D81" t="inlineStr">
        <is>
          <t>WY 16 A512pc 1978</t>
        </is>
      </c>
      <c r="E81" t="inlineStr">
        <is>
          <t>0                      WY 0016000A  512pc       1978</t>
        </is>
      </c>
      <c r="F81" t="inlineStr">
        <is>
          <t>Power, nursing's challenge for change : papers presented at the 51st convention, Honolulu, Hawaii, June 9-14, 1978.</t>
        </is>
      </c>
      <c r="H81" t="inlineStr">
        <is>
          <t>No</t>
        </is>
      </c>
      <c r="I81" t="inlineStr">
        <is>
          <t>1</t>
        </is>
      </c>
      <c r="J81" t="inlineStr">
        <is>
          <t>No</t>
        </is>
      </c>
      <c r="K81" t="inlineStr">
        <is>
          <t>No</t>
        </is>
      </c>
      <c r="L81" t="inlineStr">
        <is>
          <t>0</t>
        </is>
      </c>
      <c r="M81" t="inlineStr">
        <is>
          <t>American Nurses Association.</t>
        </is>
      </c>
      <c r="N81" t="inlineStr">
        <is>
          <t>Kansas City, Mo. : American Nurses' Association, c1979.</t>
        </is>
      </c>
      <c r="O81" t="inlineStr">
        <is>
          <t>1979</t>
        </is>
      </c>
      <c r="Q81" t="inlineStr">
        <is>
          <t>eng</t>
        </is>
      </c>
      <c r="R81" t="inlineStr">
        <is>
          <t>mou</t>
        </is>
      </c>
      <c r="S81" t="inlineStr">
        <is>
          <t>ANA publication code : G-135 5M 3/79</t>
        </is>
      </c>
      <c r="T81" t="inlineStr">
        <is>
          <t xml:space="preserve">WY </t>
        </is>
      </c>
      <c r="U81" t="n">
        <v>2</v>
      </c>
      <c r="V81" t="n">
        <v>2</v>
      </c>
      <c r="W81" t="inlineStr">
        <is>
          <t>1996-06-11</t>
        </is>
      </c>
      <c r="X81" t="inlineStr">
        <is>
          <t>1996-06-11</t>
        </is>
      </c>
      <c r="Y81" t="inlineStr">
        <is>
          <t>1987-12-22</t>
        </is>
      </c>
      <c r="Z81" t="inlineStr">
        <is>
          <t>1987-12-22</t>
        </is>
      </c>
      <c r="AA81" t="n">
        <v>124</v>
      </c>
      <c r="AB81" t="n">
        <v>105</v>
      </c>
      <c r="AC81" t="n">
        <v>107</v>
      </c>
      <c r="AD81" t="n">
        <v>2</v>
      </c>
      <c r="AE81" t="n">
        <v>2</v>
      </c>
      <c r="AF81" t="n">
        <v>2</v>
      </c>
      <c r="AG81" t="n">
        <v>2</v>
      </c>
      <c r="AH81" t="n">
        <v>0</v>
      </c>
      <c r="AI81" t="n">
        <v>0</v>
      </c>
      <c r="AJ81" t="n">
        <v>0</v>
      </c>
      <c r="AK81" t="n">
        <v>0</v>
      </c>
      <c r="AL81" t="n">
        <v>2</v>
      </c>
      <c r="AM81" t="n">
        <v>2</v>
      </c>
      <c r="AN81" t="n">
        <v>0</v>
      </c>
      <c r="AO81" t="n">
        <v>0</v>
      </c>
      <c r="AP81" t="n">
        <v>0</v>
      </c>
      <c r="AQ81" t="n">
        <v>0</v>
      </c>
      <c r="AR81" t="inlineStr">
        <is>
          <t>No</t>
        </is>
      </c>
      <c r="AS81" t="inlineStr">
        <is>
          <t>Yes</t>
        </is>
      </c>
      <c r="AT81">
        <f>HYPERLINK("http://catalog.hathitrust.org/Record/000702858","HathiTrust Record")</f>
        <v/>
      </c>
      <c r="AU81">
        <f>HYPERLINK("https://creighton-primo.hosted.exlibrisgroup.com/primo-explore/search?tab=default_tab&amp;search_scope=EVERYTHING&amp;vid=01CRU&amp;lang=en_US&amp;offset=0&amp;query=any,contains,991001037579702656","Catalog Record")</f>
        <v/>
      </c>
      <c r="AV81">
        <f>HYPERLINK("http://www.worldcat.org/oclc/5100284","WorldCat Record")</f>
        <v/>
      </c>
      <c r="AW81" t="inlineStr">
        <is>
          <t>15260210:eng</t>
        </is>
      </c>
      <c r="AX81" t="inlineStr">
        <is>
          <t>5100284</t>
        </is>
      </c>
      <c r="AY81" t="inlineStr">
        <is>
          <t>991001037579702656</t>
        </is>
      </c>
      <c r="AZ81" t="inlineStr">
        <is>
          <t>991001037579702656</t>
        </is>
      </c>
      <c r="BA81" t="inlineStr">
        <is>
          <t>2258503840002656</t>
        </is>
      </c>
      <c r="BB81" t="inlineStr">
        <is>
          <t>BOOK</t>
        </is>
      </c>
      <c r="BE81" t="inlineStr">
        <is>
          <t>30001000241044</t>
        </is>
      </c>
      <c r="BF81" t="inlineStr">
        <is>
          <t>893831873</t>
        </is>
      </c>
    </row>
    <row r="82">
      <c r="A82" t="inlineStr">
        <is>
          <t>No</t>
        </is>
      </c>
      <c r="B82" t="inlineStr">
        <is>
          <t>CUHSL</t>
        </is>
      </c>
      <c r="C82" t="inlineStr">
        <is>
          <t>SHELVES</t>
        </is>
      </c>
      <c r="D82" t="inlineStr">
        <is>
          <t>WY 16 A512s 1986</t>
        </is>
      </c>
      <c r="E82" t="inlineStr">
        <is>
          <t>0                      WY 0016000A  512s        1986</t>
        </is>
      </c>
      <c r="F82" t="inlineStr">
        <is>
          <t>Standards of rehabilitation nursing practice / American Nurses' Association and Association of Rehabilitation Nurses.</t>
        </is>
      </c>
      <c r="H82" t="inlineStr">
        <is>
          <t>No</t>
        </is>
      </c>
      <c r="I82" t="inlineStr">
        <is>
          <t>1</t>
        </is>
      </c>
      <c r="J82" t="inlineStr">
        <is>
          <t>No</t>
        </is>
      </c>
      <c r="K82" t="inlineStr">
        <is>
          <t>Yes</t>
        </is>
      </c>
      <c r="L82" t="inlineStr">
        <is>
          <t>0</t>
        </is>
      </c>
      <c r="M82" t="inlineStr">
        <is>
          <t>American Nurses Association.</t>
        </is>
      </c>
      <c r="N82" t="inlineStr">
        <is>
          <t>Kansas City, Mo. (2420 Pershing Rd., Kansas City 64108) : American Nurses' Association, c1986.</t>
        </is>
      </c>
      <c r="O82" t="inlineStr">
        <is>
          <t>1986</t>
        </is>
      </c>
      <c r="Q82" t="inlineStr">
        <is>
          <t>eng</t>
        </is>
      </c>
      <c r="R82" t="inlineStr">
        <is>
          <t>mou</t>
        </is>
      </c>
      <c r="S82" t="inlineStr">
        <is>
          <t>ANA pub ; no. MS-15</t>
        </is>
      </c>
      <c r="T82" t="inlineStr">
        <is>
          <t xml:space="preserve">WY </t>
        </is>
      </c>
      <c r="U82" t="n">
        <v>1</v>
      </c>
      <c r="V82" t="n">
        <v>1</v>
      </c>
      <c r="W82" t="inlineStr">
        <is>
          <t>1994-03-04</t>
        </is>
      </c>
      <c r="X82" t="inlineStr">
        <is>
          <t>1994-03-04</t>
        </is>
      </c>
      <c r="Y82" t="inlineStr">
        <is>
          <t>1987-12-10</t>
        </is>
      </c>
      <c r="Z82" t="inlineStr">
        <is>
          <t>1987-12-10</t>
        </is>
      </c>
      <c r="AA82" t="n">
        <v>143</v>
      </c>
      <c r="AB82" t="n">
        <v>129</v>
      </c>
      <c r="AC82" t="n">
        <v>169</v>
      </c>
      <c r="AD82" t="n">
        <v>1</v>
      </c>
      <c r="AE82" t="n">
        <v>1</v>
      </c>
      <c r="AF82" t="n">
        <v>8</v>
      </c>
      <c r="AG82" t="n">
        <v>9</v>
      </c>
      <c r="AH82" t="n">
        <v>3</v>
      </c>
      <c r="AI82" t="n">
        <v>4</v>
      </c>
      <c r="AJ82" t="n">
        <v>1</v>
      </c>
      <c r="AK82" t="n">
        <v>1</v>
      </c>
      <c r="AL82" t="n">
        <v>5</v>
      </c>
      <c r="AM82" t="n">
        <v>5</v>
      </c>
      <c r="AN82" t="n">
        <v>0</v>
      </c>
      <c r="AO82" t="n">
        <v>0</v>
      </c>
      <c r="AP82" t="n">
        <v>0</v>
      </c>
      <c r="AQ82" t="n">
        <v>0</v>
      </c>
      <c r="AR82" t="inlineStr">
        <is>
          <t>No</t>
        </is>
      </c>
      <c r="AS82" t="inlineStr">
        <is>
          <t>Yes</t>
        </is>
      </c>
      <c r="AT82">
        <f>HYPERLINK("http://catalog.hathitrust.org/Record/000807947","HathiTrust Record")</f>
        <v/>
      </c>
      <c r="AU82">
        <f>HYPERLINK("https://creighton-primo.hosted.exlibrisgroup.com/primo-explore/search?tab=default_tab&amp;search_scope=EVERYTHING&amp;vid=01CRU&amp;lang=en_US&amp;offset=0&amp;query=any,contains,991001519029702656","Catalog Record")</f>
        <v/>
      </c>
      <c r="AV82">
        <f>HYPERLINK("http://www.worldcat.org/oclc/14412086","WorldCat Record")</f>
        <v/>
      </c>
      <c r="AW82" t="inlineStr">
        <is>
          <t>3768560238:eng</t>
        </is>
      </c>
      <c r="AX82" t="inlineStr">
        <is>
          <t>14412086</t>
        </is>
      </c>
      <c r="AY82" t="inlineStr">
        <is>
          <t>991001519029702656</t>
        </is>
      </c>
      <c r="AZ82" t="inlineStr">
        <is>
          <t>991001519029702656</t>
        </is>
      </c>
      <c r="BA82" t="inlineStr">
        <is>
          <t>2261868060002656</t>
        </is>
      </c>
      <c r="BB82" t="inlineStr">
        <is>
          <t>BOOK</t>
        </is>
      </c>
      <c r="BE82" t="inlineStr">
        <is>
          <t>30001000601940</t>
        </is>
      </c>
      <c r="BF82" t="inlineStr">
        <is>
          <t>893369438</t>
        </is>
      </c>
    </row>
    <row r="83">
      <c r="A83" t="inlineStr">
        <is>
          <t>No</t>
        </is>
      </c>
      <c r="B83" t="inlineStr">
        <is>
          <t>CUHSL</t>
        </is>
      </c>
      <c r="C83" t="inlineStr">
        <is>
          <t>SHELVES</t>
        </is>
      </c>
      <c r="D83" t="inlineStr">
        <is>
          <t>WY 16 A652 1991</t>
        </is>
      </c>
      <c r="E83" t="inlineStr">
        <is>
          <t>0                      WY 0016000A  652         1991</t>
        </is>
      </c>
      <c r="F83" t="inlineStr">
        <is>
          <t>Approaches to nursing standards / edited by Patricia Schroeder.</t>
        </is>
      </c>
      <c r="G83" t="inlineStr">
        <is>
          <t>V. 2</t>
        </is>
      </c>
      <c r="H83" t="inlineStr">
        <is>
          <t>No</t>
        </is>
      </c>
      <c r="I83" t="inlineStr">
        <is>
          <t>1</t>
        </is>
      </c>
      <c r="J83" t="inlineStr">
        <is>
          <t>No</t>
        </is>
      </c>
      <c r="K83" t="inlineStr">
        <is>
          <t>No</t>
        </is>
      </c>
      <c r="L83" t="inlineStr">
        <is>
          <t>0</t>
        </is>
      </c>
      <c r="N83" t="inlineStr">
        <is>
          <t>Gaithersburg, Md. : Aspen Publishers, c1991.</t>
        </is>
      </c>
      <c r="O83" t="inlineStr">
        <is>
          <t>1991</t>
        </is>
      </c>
      <c r="Q83" t="inlineStr">
        <is>
          <t>eng</t>
        </is>
      </c>
      <c r="R83" t="inlineStr">
        <is>
          <t>mdu</t>
        </is>
      </c>
      <c r="S83" t="inlineStr">
        <is>
          <t>The Encyclopedia of nursing care quality ; v. 2.</t>
        </is>
      </c>
      <c r="T83" t="inlineStr">
        <is>
          <t xml:space="preserve">WY </t>
        </is>
      </c>
      <c r="U83" t="n">
        <v>8</v>
      </c>
      <c r="V83" t="n">
        <v>8</v>
      </c>
      <c r="W83" t="inlineStr">
        <is>
          <t>1996-11-04</t>
        </is>
      </c>
      <c r="X83" t="inlineStr">
        <is>
          <t>1996-11-04</t>
        </is>
      </c>
      <c r="Y83" t="inlineStr">
        <is>
          <t>1993-03-26</t>
        </is>
      </c>
      <c r="Z83" t="inlineStr">
        <is>
          <t>1993-03-26</t>
        </is>
      </c>
      <c r="AA83" t="n">
        <v>247</v>
      </c>
      <c r="AB83" t="n">
        <v>200</v>
      </c>
      <c r="AC83" t="n">
        <v>202</v>
      </c>
      <c r="AD83" t="n">
        <v>2</v>
      </c>
      <c r="AE83" t="n">
        <v>2</v>
      </c>
      <c r="AF83" t="n">
        <v>7</v>
      </c>
      <c r="AG83" t="n">
        <v>7</v>
      </c>
      <c r="AH83" t="n">
        <v>2</v>
      </c>
      <c r="AI83" t="n">
        <v>2</v>
      </c>
      <c r="AJ83" t="n">
        <v>2</v>
      </c>
      <c r="AK83" t="n">
        <v>2</v>
      </c>
      <c r="AL83" t="n">
        <v>5</v>
      </c>
      <c r="AM83" t="n">
        <v>5</v>
      </c>
      <c r="AN83" t="n">
        <v>0</v>
      </c>
      <c r="AO83" t="n">
        <v>0</v>
      </c>
      <c r="AP83" t="n">
        <v>0</v>
      </c>
      <c r="AQ83" t="n">
        <v>0</v>
      </c>
      <c r="AR83" t="inlineStr">
        <is>
          <t>No</t>
        </is>
      </c>
      <c r="AS83" t="inlineStr">
        <is>
          <t>Yes</t>
        </is>
      </c>
      <c r="AT83">
        <f>HYPERLINK("http://catalog.hathitrust.org/Record/002478632","HathiTrust Record")</f>
        <v/>
      </c>
      <c r="AU83">
        <f>HYPERLINK("https://creighton-primo.hosted.exlibrisgroup.com/primo-explore/search?tab=default_tab&amp;search_scope=EVERYTHING&amp;vid=01CRU&amp;lang=en_US&amp;offset=0&amp;query=any,contains,991001472119702656","Catalog Record")</f>
        <v/>
      </c>
      <c r="AV83">
        <f>HYPERLINK("http://www.worldcat.org/oclc/22983378","WorldCat Record")</f>
        <v/>
      </c>
      <c r="AW83" t="inlineStr">
        <is>
          <t>24507162:eng</t>
        </is>
      </c>
      <c r="AX83" t="inlineStr">
        <is>
          <t>22983378</t>
        </is>
      </c>
      <c r="AY83" t="inlineStr">
        <is>
          <t>991001472119702656</t>
        </is>
      </c>
      <c r="AZ83" t="inlineStr">
        <is>
          <t>991001472119702656</t>
        </is>
      </c>
      <c r="BA83" t="inlineStr">
        <is>
          <t>2255918170002656</t>
        </is>
      </c>
      <c r="BB83" t="inlineStr">
        <is>
          <t>BOOK</t>
        </is>
      </c>
      <c r="BD83" t="inlineStr">
        <is>
          <t>9780834202146</t>
        </is>
      </c>
      <c r="BE83" t="inlineStr">
        <is>
          <t>30001002563155</t>
        </is>
      </c>
      <c r="BF83" t="inlineStr">
        <is>
          <t>893162039</t>
        </is>
      </c>
    </row>
    <row r="84">
      <c r="A84" t="inlineStr">
        <is>
          <t>No</t>
        </is>
      </c>
      <c r="B84" t="inlineStr">
        <is>
          <t>CUHSL</t>
        </is>
      </c>
      <c r="C84" t="inlineStr">
        <is>
          <t>SHELVES</t>
        </is>
      </c>
      <c r="D84" t="inlineStr">
        <is>
          <t>WY16 B614f 1999</t>
        </is>
      </c>
      <c r="E84" t="inlineStr">
        <is>
          <t>0                      WY 0016000B  614f        1999</t>
        </is>
      </c>
      <c r="F84" t="inlineStr">
        <is>
          <t>Freedom to practise : the development of patient-centred nursing / Alison Binnie and Angie Tichen ; edited by Judith Lathlean ; with a foreword by Marie Manthey.</t>
        </is>
      </c>
      <c r="H84" t="inlineStr">
        <is>
          <t>No</t>
        </is>
      </c>
      <c r="I84" t="inlineStr">
        <is>
          <t>1</t>
        </is>
      </c>
      <c r="J84" t="inlineStr">
        <is>
          <t>No</t>
        </is>
      </c>
      <c r="K84" t="inlineStr">
        <is>
          <t>No</t>
        </is>
      </c>
      <c r="L84" t="inlineStr">
        <is>
          <t>0</t>
        </is>
      </c>
      <c r="M84" t="inlineStr">
        <is>
          <t>Binnie, Alison.</t>
        </is>
      </c>
      <c r="N84" t="inlineStr">
        <is>
          <t>Oxford ; Boston : Butterworth-Heinemann, 1999.</t>
        </is>
      </c>
      <c r="O84" t="inlineStr">
        <is>
          <t>1999</t>
        </is>
      </c>
      <c r="Q84" t="inlineStr">
        <is>
          <t>eng</t>
        </is>
      </c>
      <c r="R84" t="inlineStr">
        <is>
          <t>mau</t>
        </is>
      </c>
      <c r="T84" t="inlineStr">
        <is>
          <t xml:space="preserve">WY </t>
        </is>
      </c>
      <c r="U84" t="n">
        <v>3</v>
      </c>
      <c r="V84" t="n">
        <v>3</v>
      </c>
      <c r="W84" t="inlineStr">
        <is>
          <t>2002-07-19</t>
        </is>
      </c>
      <c r="X84" t="inlineStr">
        <is>
          <t>2002-07-19</t>
        </is>
      </c>
      <c r="Y84" t="inlineStr">
        <is>
          <t>2002-07-02</t>
        </is>
      </c>
      <c r="Z84" t="inlineStr">
        <is>
          <t>2002-07-02</t>
        </is>
      </c>
      <c r="AA84" t="n">
        <v>155</v>
      </c>
      <c r="AB84" t="n">
        <v>73</v>
      </c>
      <c r="AC84" t="n">
        <v>78</v>
      </c>
      <c r="AD84" t="n">
        <v>1</v>
      </c>
      <c r="AE84" t="n">
        <v>1</v>
      </c>
      <c r="AF84" t="n">
        <v>2</v>
      </c>
      <c r="AG84" t="n">
        <v>2</v>
      </c>
      <c r="AH84" t="n">
        <v>1</v>
      </c>
      <c r="AI84" t="n">
        <v>1</v>
      </c>
      <c r="AJ84" t="n">
        <v>1</v>
      </c>
      <c r="AK84" t="n">
        <v>1</v>
      </c>
      <c r="AL84" t="n">
        <v>0</v>
      </c>
      <c r="AM84" t="n">
        <v>0</v>
      </c>
      <c r="AN84" t="n">
        <v>0</v>
      </c>
      <c r="AO84" t="n">
        <v>0</v>
      </c>
      <c r="AP84" t="n">
        <v>0</v>
      </c>
      <c r="AQ84" t="n">
        <v>0</v>
      </c>
      <c r="AR84" t="inlineStr">
        <is>
          <t>No</t>
        </is>
      </c>
      <c r="AS84" t="inlineStr">
        <is>
          <t>No</t>
        </is>
      </c>
      <c r="AU84">
        <f>HYPERLINK("https://creighton-primo.hosted.exlibrisgroup.com/primo-explore/search?tab=default_tab&amp;search_scope=EVERYTHING&amp;vid=01CRU&amp;lang=en_US&amp;offset=0&amp;query=any,contains,991000321119702656","Catalog Record")</f>
        <v/>
      </c>
      <c r="AV84">
        <f>HYPERLINK("http://www.worldcat.org/oclc/41452682","WorldCat Record")</f>
        <v/>
      </c>
      <c r="AW84" t="inlineStr">
        <is>
          <t>26456452:eng</t>
        </is>
      </c>
      <c r="AX84" t="inlineStr">
        <is>
          <t>41452682</t>
        </is>
      </c>
      <c r="AY84" t="inlineStr">
        <is>
          <t>991000321119702656</t>
        </is>
      </c>
      <c r="AZ84" t="inlineStr">
        <is>
          <t>991000321119702656</t>
        </is>
      </c>
      <c r="BA84" t="inlineStr">
        <is>
          <t>2265059370002656</t>
        </is>
      </c>
      <c r="BB84" t="inlineStr">
        <is>
          <t>BOOK</t>
        </is>
      </c>
      <c r="BD84" t="inlineStr">
        <is>
          <t>9780750640756</t>
        </is>
      </c>
      <c r="BE84" t="inlineStr">
        <is>
          <t>30001004442655</t>
        </is>
      </c>
      <c r="BF84" t="inlineStr">
        <is>
          <t>893264119</t>
        </is>
      </c>
    </row>
    <row r="85">
      <c r="A85" t="inlineStr">
        <is>
          <t>No</t>
        </is>
      </c>
      <c r="B85" t="inlineStr">
        <is>
          <t>CUHSL</t>
        </is>
      </c>
      <c r="C85" t="inlineStr">
        <is>
          <t>SHELVES</t>
        </is>
      </c>
      <c r="D85" t="inlineStr">
        <is>
          <t>WY 16 B878n 1948</t>
        </is>
      </c>
      <c r="E85" t="inlineStr">
        <is>
          <t>0                      WY 0016000B  878n        1948</t>
        </is>
      </c>
      <c r="F85" t="inlineStr">
        <is>
          <t>Nursing for the future : a report prepared for the National Nursing Council / Esther Lucile Brown.</t>
        </is>
      </c>
      <c r="H85" t="inlineStr">
        <is>
          <t>No</t>
        </is>
      </c>
      <c r="I85" t="inlineStr">
        <is>
          <t>1</t>
        </is>
      </c>
      <c r="J85" t="inlineStr">
        <is>
          <t>No</t>
        </is>
      </c>
      <c r="K85" t="inlineStr">
        <is>
          <t>No</t>
        </is>
      </c>
      <c r="L85" t="inlineStr">
        <is>
          <t>0</t>
        </is>
      </c>
      <c r="M85" t="inlineStr">
        <is>
          <t>Brown, Esther Lucile, 1898-1990.</t>
        </is>
      </c>
      <c r="N85" t="inlineStr">
        <is>
          <t>-- New York : Russell Sage Foundation, 1948.</t>
        </is>
      </c>
      <c r="O85" t="inlineStr">
        <is>
          <t>1948</t>
        </is>
      </c>
      <c r="Q85" t="inlineStr">
        <is>
          <t>eng</t>
        </is>
      </c>
      <c r="R85" t="inlineStr">
        <is>
          <t>nyu</t>
        </is>
      </c>
      <c r="T85" t="inlineStr">
        <is>
          <t xml:space="preserve">WY </t>
        </is>
      </c>
      <c r="U85" t="n">
        <v>1</v>
      </c>
      <c r="V85" t="n">
        <v>1</v>
      </c>
      <c r="W85" t="inlineStr">
        <is>
          <t>1994-06-11</t>
        </is>
      </c>
      <c r="X85" t="inlineStr">
        <is>
          <t>1994-06-11</t>
        </is>
      </c>
      <c r="Y85" t="inlineStr">
        <is>
          <t>1987-10-19</t>
        </is>
      </c>
      <c r="Z85" t="inlineStr">
        <is>
          <t>1987-10-19</t>
        </is>
      </c>
      <c r="AA85" t="n">
        <v>437</v>
      </c>
      <c r="AB85" t="n">
        <v>388</v>
      </c>
      <c r="AC85" t="n">
        <v>417</v>
      </c>
      <c r="AD85" t="n">
        <v>3</v>
      </c>
      <c r="AE85" t="n">
        <v>3</v>
      </c>
      <c r="AF85" t="n">
        <v>15</v>
      </c>
      <c r="AG85" t="n">
        <v>17</v>
      </c>
      <c r="AH85" t="n">
        <v>5</v>
      </c>
      <c r="AI85" t="n">
        <v>6</v>
      </c>
      <c r="AJ85" t="n">
        <v>4</v>
      </c>
      <c r="AK85" t="n">
        <v>4</v>
      </c>
      <c r="AL85" t="n">
        <v>8</v>
      </c>
      <c r="AM85" t="n">
        <v>9</v>
      </c>
      <c r="AN85" t="n">
        <v>2</v>
      </c>
      <c r="AO85" t="n">
        <v>2</v>
      </c>
      <c r="AP85" t="n">
        <v>0</v>
      </c>
      <c r="AQ85" t="n">
        <v>0</v>
      </c>
      <c r="AR85" t="inlineStr">
        <is>
          <t>No</t>
        </is>
      </c>
      <c r="AS85" t="inlineStr">
        <is>
          <t>Yes</t>
        </is>
      </c>
      <c r="AT85">
        <f>HYPERLINK("http://catalog.hathitrust.org/Record/001574669","HathiTrust Record")</f>
        <v/>
      </c>
      <c r="AU85">
        <f>HYPERLINK("https://creighton-primo.hosted.exlibrisgroup.com/primo-explore/search?tab=default_tab&amp;search_scope=EVERYTHING&amp;vid=01CRU&amp;lang=en_US&amp;offset=0&amp;query=any,contains,991000741459702656","Catalog Record")</f>
        <v/>
      </c>
      <c r="AV85">
        <f>HYPERLINK("http://www.worldcat.org/oclc/1242576","WorldCat Record")</f>
        <v/>
      </c>
      <c r="AW85" t="inlineStr">
        <is>
          <t>1667315:eng</t>
        </is>
      </c>
      <c r="AX85" t="inlineStr">
        <is>
          <t>1242576</t>
        </is>
      </c>
      <c r="AY85" t="inlineStr">
        <is>
          <t>991000741459702656</t>
        </is>
      </c>
      <c r="AZ85" t="inlineStr">
        <is>
          <t>991000741459702656</t>
        </is>
      </c>
      <c r="BA85" t="inlineStr">
        <is>
          <t>2261505090002656</t>
        </is>
      </c>
      <c r="BB85" t="inlineStr">
        <is>
          <t>BOOK</t>
        </is>
      </c>
      <c r="BE85" t="inlineStr">
        <is>
          <t>30001000043465</t>
        </is>
      </c>
      <c r="BF85" t="inlineStr">
        <is>
          <t>893368397</t>
        </is>
      </c>
    </row>
    <row r="86">
      <c r="A86" t="inlineStr">
        <is>
          <t>No</t>
        </is>
      </c>
      <c r="B86" t="inlineStr">
        <is>
          <t>CUHSL</t>
        </is>
      </c>
      <c r="C86" t="inlineStr">
        <is>
          <t>SHELVES</t>
        </is>
      </c>
      <c r="D86" t="inlineStr">
        <is>
          <t>WY 16 C357c 1996</t>
        </is>
      </c>
      <c r="E86" t="inlineStr">
        <is>
          <t>0                      WY 0016000C  357c        1996</t>
        </is>
      </c>
      <c r="F86" t="inlineStr">
        <is>
          <t>Contemporary professional nursing / Joseph T. Catalano.</t>
        </is>
      </c>
      <c r="H86" t="inlineStr">
        <is>
          <t>No</t>
        </is>
      </c>
      <c r="I86" t="inlineStr">
        <is>
          <t>1</t>
        </is>
      </c>
      <c r="J86" t="inlineStr">
        <is>
          <t>No</t>
        </is>
      </c>
      <c r="K86" t="inlineStr">
        <is>
          <t>No</t>
        </is>
      </c>
      <c r="L86" t="inlineStr">
        <is>
          <t>0</t>
        </is>
      </c>
      <c r="M86" t="inlineStr">
        <is>
          <t>Catalano, Joseph T.</t>
        </is>
      </c>
      <c r="N86" t="inlineStr">
        <is>
          <t>Philadelphia : F.A. Davis Co., c1996.</t>
        </is>
      </c>
      <c r="O86" t="inlineStr">
        <is>
          <t>1996</t>
        </is>
      </c>
      <c r="Q86" t="inlineStr">
        <is>
          <t>eng</t>
        </is>
      </c>
      <c r="R86" t="inlineStr">
        <is>
          <t>pau</t>
        </is>
      </c>
      <c r="T86" t="inlineStr">
        <is>
          <t xml:space="preserve">WY </t>
        </is>
      </c>
      <c r="U86" t="n">
        <v>17</v>
      </c>
      <c r="V86" t="n">
        <v>17</v>
      </c>
      <c r="W86" t="inlineStr">
        <is>
          <t>1999-10-11</t>
        </is>
      </c>
      <c r="X86" t="inlineStr">
        <is>
          <t>1999-10-11</t>
        </is>
      </c>
      <c r="Y86" t="inlineStr">
        <is>
          <t>1997-05-21</t>
        </is>
      </c>
      <c r="Z86" t="inlineStr">
        <is>
          <t>1997-05-21</t>
        </is>
      </c>
      <c r="AA86" t="n">
        <v>281</v>
      </c>
      <c r="AB86" t="n">
        <v>235</v>
      </c>
      <c r="AC86" t="n">
        <v>243</v>
      </c>
      <c r="AD86" t="n">
        <v>1</v>
      </c>
      <c r="AE86" t="n">
        <v>1</v>
      </c>
      <c r="AF86" t="n">
        <v>10</v>
      </c>
      <c r="AG86" t="n">
        <v>10</v>
      </c>
      <c r="AH86" t="n">
        <v>4</v>
      </c>
      <c r="AI86" t="n">
        <v>4</v>
      </c>
      <c r="AJ86" t="n">
        <v>2</v>
      </c>
      <c r="AK86" t="n">
        <v>2</v>
      </c>
      <c r="AL86" t="n">
        <v>8</v>
      </c>
      <c r="AM86" t="n">
        <v>8</v>
      </c>
      <c r="AN86" t="n">
        <v>0</v>
      </c>
      <c r="AO86" t="n">
        <v>0</v>
      </c>
      <c r="AP86" t="n">
        <v>0</v>
      </c>
      <c r="AQ86" t="n">
        <v>0</v>
      </c>
      <c r="AR86" t="inlineStr">
        <is>
          <t>No</t>
        </is>
      </c>
      <c r="AS86" t="inlineStr">
        <is>
          <t>Yes</t>
        </is>
      </c>
      <c r="AT86">
        <f>HYPERLINK("http://catalog.hathitrust.org/Record/003052702","HathiTrust Record")</f>
        <v/>
      </c>
      <c r="AU86">
        <f>HYPERLINK("https://creighton-primo.hosted.exlibrisgroup.com/primo-explore/search?tab=default_tab&amp;search_scope=EVERYTHING&amp;vid=01CRU&amp;lang=en_US&amp;offset=0&amp;query=any,contains,991001356059702656","Catalog Record")</f>
        <v/>
      </c>
      <c r="AV86">
        <f>HYPERLINK("http://www.worldcat.org/oclc/33489225","WorldCat Record")</f>
        <v/>
      </c>
      <c r="AW86" t="inlineStr">
        <is>
          <t>38404094:eng</t>
        </is>
      </c>
      <c r="AX86" t="inlineStr">
        <is>
          <t>33489225</t>
        </is>
      </c>
      <c r="AY86" t="inlineStr">
        <is>
          <t>991001356059702656</t>
        </is>
      </c>
      <c r="AZ86" t="inlineStr">
        <is>
          <t>991001356059702656</t>
        </is>
      </c>
      <c r="BA86" t="inlineStr">
        <is>
          <t>2266096910002656</t>
        </is>
      </c>
      <c r="BB86" t="inlineStr">
        <is>
          <t>BOOK</t>
        </is>
      </c>
      <c r="BD86" t="inlineStr">
        <is>
          <t>9780803600911</t>
        </is>
      </c>
      <c r="BE86" t="inlineStr">
        <is>
          <t>30001003673854</t>
        </is>
      </c>
      <c r="BF86" t="inlineStr">
        <is>
          <t>893121431</t>
        </is>
      </c>
    </row>
    <row r="87">
      <c r="A87" t="inlineStr">
        <is>
          <t>No</t>
        </is>
      </c>
      <c r="B87" t="inlineStr">
        <is>
          <t>CUHSL</t>
        </is>
      </c>
      <c r="C87" t="inlineStr">
        <is>
          <t>SHELVES</t>
        </is>
      </c>
      <c r="D87" t="inlineStr">
        <is>
          <t>WY 16 C357n 2000</t>
        </is>
      </c>
      <c r="E87" t="inlineStr">
        <is>
          <t>0                      WY 0016000C  357n        2000</t>
        </is>
      </c>
      <c r="F87" t="inlineStr">
        <is>
          <t>Nursing now : today's issues, tomorrow's trends / Joseph T. Catalano.</t>
        </is>
      </c>
      <c r="H87" t="inlineStr">
        <is>
          <t>No</t>
        </is>
      </c>
      <c r="I87" t="inlineStr">
        <is>
          <t>1</t>
        </is>
      </c>
      <c r="J87" t="inlineStr">
        <is>
          <t>No</t>
        </is>
      </c>
      <c r="K87" t="inlineStr">
        <is>
          <t>Yes</t>
        </is>
      </c>
      <c r="L87" t="inlineStr">
        <is>
          <t>0</t>
        </is>
      </c>
      <c r="M87" t="inlineStr">
        <is>
          <t>Catalano, Joseph T.</t>
        </is>
      </c>
      <c r="N87" t="inlineStr">
        <is>
          <t>Philadelphia : F.A. Davis Co., c2000.</t>
        </is>
      </c>
      <c r="O87" t="inlineStr">
        <is>
          <t>2000</t>
        </is>
      </c>
      <c r="P87" t="inlineStr">
        <is>
          <t>2nd ed.</t>
        </is>
      </c>
      <c r="Q87" t="inlineStr">
        <is>
          <t>eng</t>
        </is>
      </c>
      <c r="R87" t="inlineStr">
        <is>
          <t>pau</t>
        </is>
      </c>
      <c r="T87" t="inlineStr">
        <is>
          <t xml:space="preserve">WY </t>
        </is>
      </c>
      <c r="U87" t="n">
        <v>10</v>
      </c>
      <c r="V87" t="n">
        <v>10</v>
      </c>
      <c r="W87" t="inlineStr">
        <is>
          <t>2002-11-15</t>
        </is>
      </c>
      <c r="X87" t="inlineStr">
        <is>
          <t>2002-11-15</t>
        </is>
      </c>
      <c r="Y87" t="inlineStr">
        <is>
          <t>1999-11-23</t>
        </is>
      </c>
      <c r="Z87" t="inlineStr">
        <is>
          <t>1999-11-23</t>
        </is>
      </c>
      <c r="AA87" t="n">
        <v>219</v>
      </c>
      <c r="AB87" t="n">
        <v>184</v>
      </c>
      <c r="AC87" t="n">
        <v>1316</v>
      </c>
      <c r="AD87" t="n">
        <v>2</v>
      </c>
      <c r="AE87" t="n">
        <v>22</v>
      </c>
      <c r="AF87" t="n">
        <v>5</v>
      </c>
      <c r="AG87" t="n">
        <v>42</v>
      </c>
      <c r="AH87" t="n">
        <v>2</v>
      </c>
      <c r="AI87" t="n">
        <v>15</v>
      </c>
      <c r="AJ87" t="n">
        <v>0</v>
      </c>
      <c r="AK87" t="n">
        <v>8</v>
      </c>
      <c r="AL87" t="n">
        <v>2</v>
      </c>
      <c r="AM87" t="n">
        <v>12</v>
      </c>
      <c r="AN87" t="n">
        <v>1</v>
      </c>
      <c r="AO87" t="n">
        <v>11</v>
      </c>
      <c r="AP87" t="n">
        <v>0</v>
      </c>
      <c r="AQ87" t="n">
        <v>1</v>
      </c>
      <c r="AR87" t="inlineStr">
        <is>
          <t>No</t>
        </is>
      </c>
      <c r="AS87" t="inlineStr">
        <is>
          <t>Yes</t>
        </is>
      </c>
      <c r="AT87">
        <f>HYPERLINK("http://catalog.hathitrust.org/Record/004070817","HathiTrust Record")</f>
        <v/>
      </c>
      <c r="AU87">
        <f>HYPERLINK("https://creighton-primo.hosted.exlibrisgroup.com/primo-explore/search?tab=default_tab&amp;search_scope=EVERYTHING&amp;vid=01CRU&amp;lang=en_US&amp;offset=0&amp;query=any,contains,991001410319702656","Catalog Record")</f>
        <v/>
      </c>
      <c r="AV87">
        <f>HYPERLINK("http://www.worldcat.org/oclc/41945015","WorldCat Record")</f>
        <v/>
      </c>
      <c r="AW87" t="inlineStr">
        <is>
          <t>801842832:eng</t>
        </is>
      </c>
      <c r="AX87" t="inlineStr">
        <is>
          <t>41945015</t>
        </is>
      </c>
      <c r="AY87" t="inlineStr">
        <is>
          <t>991001410319702656</t>
        </is>
      </c>
      <c r="AZ87" t="inlineStr">
        <is>
          <t>991001410319702656</t>
        </is>
      </c>
      <c r="BA87" t="inlineStr">
        <is>
          <t>2272082290002656</t>
        </is>
      </c>
      <c r="BB87" t="inlineStr">
        <is>
          <t>BOOK</t>
        </is>
      </c>
      <c r="BD87" t="inlineStr">
        <is>
          <t>9780803604964</t>
        </is>
      </c>
      <c r="BE87" t="inlineStr">
        <is>
          <t>30001003831072</t>
        </is>
      </c>
      <c r="BF87" t="inlineStr">
        <is>
          <t>893649165</t>
        </is>
      </c>
    </row>
    <row r="88">
      <c r="A88" t="inlineStr">
        <is>
          <t>No</t>
        </is>
      </c>
      <c r="B88" t="inlineStr">
        <is>
          <t>CUHSL</t>
        </is>
      </c>
      <c r="C88" t="inlineStr">
        <is>
          <t>SHELVES</t>
        </is>
      </c>
      <c r="D88" t="inlineStr">
        <is>
          <t>WY16 C357n 2006</t>
        </is>
      </c>
      <c r="E88" t="inlineStr">
        <is>
          <t>0                      WY 0016000C  357n        2006</t>
        </is>
      </c>
      <c r="F88" t="inlineStr">
        <is>
          <t>Nursing now : today's issues, tomorrow's trends / Joseph T. Catalano.</t>
        </is>
      </c>
      <c r="H88" t="inlineStr">
        <is>
          <t>No</t>
        </is>
      </c>
      <c r="I88" t="inlineStr">
        <is>
          <t>1</t>
        </is>
      </c>
      <c r="J88" t="inlineStr">
        <is>
          <t>No</t>
        </is>
      </c>
      <c r="K88" t="inlineStr">
        <is>
          <t>Yes</t>
        </is>
      </c>
      <c r="L88" t="inlineStr">
        <is>
          <t>0</t>
        </is>
      </c>
      <c r="M88" t="inlineStr">
        <is>
          <t>Catalano, Joseph T.</t>
        </is>
      </c>
      <c r="N88" t="inlineStr">
        <is>
          <t>Philadelphia, PA : F.A. Davis Co., c2006.</t>
        </is>
      </c>
      <c r="O88" t="inlineStr">
        <is>
          <t>2006</t>
        </is>
      </c>
      <c r="P88" t="inlineStr">
        <is>
          <t>4th ed.</t>
        </is>
      </c>
      <c r="Q88" t="inlineStr">
        <is>
          <t>eng</t>
        </is>
      </c>
      <c r="R88" t="inlineStr">
        <is>
          <t>pau</t>
        </is>
      </c>
      <c r="T88" t="inlineStr">
        <is>
          <t xml:space="preserve">WY </t>
        </is>
      </c>
      <c r="U88" t="n">
        <v>1</v>
      </c>
      <c r="V88" t="n">
        <v>1</v>
      </c>
      <c r="W88" t="inlineStr">
        <is>
          <t>2006-10-16</t>
        </is>
      </c>
      <c r="X88" t="inlineStr">
        <is>
          <t>2006-10-16</t>
        </is>
      </c>
      <c r="Y88" t="inlineStr">
        <is>
          <t>2006-09-07</t>
        </is>
      </c>
      <c r="Z88" t="inlineStr">
        <is>
          <t>2006-09-07</t>
        </is>
      </c>
      <c r="AA88" t="n">
        <v>299</v>
      </c>
      <c r="AB88" t="n">
        <v>240</v>
      </c>
      <c r="AC88" t="n">
        <v>1316</v>
      </c>
      <c r="AD88" t="n">
        <v>2</v>
      </c>
      <c r="AE88" t="n">
        <v>22</v>
      </c>
      <c r="AF88" t="n">
        <v>5</v>
      </c>
      <c r="AG88" t="n">
        <v>42</v>
      </c>
      <c r="AH88" t="n">
        <v>1</v>
      </c>
      <c r="AI88" t="n">
        <v>15</v>
      </c>
      <c r="AJ88" t="n">
        <v>0</v>
      </c>
      <c r="AK88" t="n">
        <v>8</v>
      </c>
      <c r="AL88" t="n">
        <v>3</v>
      </c>
      <c r="AM88" t="n">
        <v>12</v>
      </c>
      <c r="AN88" t="n">
        <v>1</v>
      </c>
      <c r="AO88" t="n">
        <v>11</v>
      </c>
      <c r="AP88" t="n">
        <v>0</v>
      </c>
      <c r="AQ88" t="n">
        <v>1</v>
      </c>
      <c r="AR88" t="inlineStr">
        <is>
          <t>No</t>
        </is>
      </c>
      <c r="AS88" t="inlineStr">
        <is>
          <t>No</t>
        </is>
      </c>
      <c r="AU88">
        <f>HYPERLINK("https://creighton-primo.hosted.exlibrisgroup.com/primo-explore/search?tab=default_tab&amp;search_scope=EVERYTHING&amp;vid=01CRU&amp;lang=en_US&amp;offset=0&amp;query=any,contains,991000535389702656","Catalog Record")</f>
        <v/>
      </c>
      <c r="AV88">
        <f>HYPERLINK("http://www.worldcat.org/oclc/61518280","WorldCat Record")</f>
        <v/>
      </c>
      <c r="AW88" t="inlineStr">
        <is>
          <t>801842832:eng</t>
        </is>
      </c>
      <c r="AX88" t="inlineStr">
        <is>
          <t>61518280</t>
        </is>
      </c>
      <c r="AY88" t="inlineStr">
        <is>
          <t>991000535389702656</t>
        </is>
      </c>
      <c r="AZ88" t="inlineStr">
        <is>
          <t>991000535389702656</t>
        </is>
      </c>
      <c r="BA88" t="inlineStr">
        <is>
          <t>2263326000002656</t>
        </is>
      </c>
      <c r="BB88" t="inlineStr">
        <is>
          <t>BOOK</t>
        </is>
      </c>
      <c r="BD88" t="inlineStr">
        <is>
          <t>9780803614475</t>
        </is>
      </c>
      <c r="BE88" t="inlineStr">
        <is>
          <t>30001005127693</t>
        </is>
      </c>
      <c r="BF88" t="inlineStr">
        <is>
          <t>893463009</t>
        </is>
      </c>
    </row>
    <row r="89">
      <c r="A89" t="inlineStr">
        <is>
          <t>No</t>
        </is>
      </c>
      <c r="B89" t="inlineStr">
        <is>
          <t>CUHSL</t>
        </is>
      </c>
      <c r="C89" t="inlineStr">
        <is>
          <t>SHELVES</t>
        </is>
      </c>
      <c r="D89" t="inlineStr">
        <is>
          <t>WY 16 C736 1978</t>
        </is>
      </c>
      <c r="E89" t="inlineStr">
        <is>
          <t>0                      WY 0016000C  736         1978</t>
        </is>
      </c>
      <c r="F89" t="inlineStr">
        <is>
          <t>Competencies of the associate degree nurse on entry into practice / Division of Associate Degree Programs.</t>
        </is>
      </c>
      <c r="H89" t="inlineStr">
        <is>
          <t>No</t>
        </is>
      </c>
      <c r="I89" t="inlineStr">
        <is>
          <t>1</t>
        </is>
      </c>
      <c r="J89" t="inlineStr">
        <is>
          <t>No</t>
        </is>
      </c>
      <c r="K89" t="inlineStr">
        <is>
          <t>No</t>
        </is>
      </c>
      <c r="L89" t="inlineStr">
        <is>
          <t>0</t>
        </is>
      </c>
      <c r="N89" t="inlineStr">
        <is>
          <t>New York : National League for Nursing, c1978.</t>
        </is>
      </c>
      <c r="O89" t="inlineStr">
        <is>
          <t>1978</t>
        </is>
      </c>
      <c r="Q89" t="inlineStr">
        <is>
          <t>eng</t>
        </is>
      </c>
      <c r="R89" t="inlineStr">
        <is>
          <t>nyu</t>
        </is>
      </c>
      <c r="S89" t="inlineStr">
        <is>
          <t>NLN pub. no. 23-1731</t>
        </is>
      </c>
      <c r="T89" t="inlineStr">
        <is>
          <t xml:space="preserve">WY </t>
        </is>
      </c>
      <c r="U89" t="n">
        <v>3</v>
      </c>
      <c r="V89" t="n">
        <v>3</v>
      </c>
      <c r="W89" t="inlineStr">
        <is>
          <t>1990-06-15</t>
        </is>
      </c>
      <c r="X89" t="inlineStr">
        <is>
          <t>1990-06-15</t>
        </is>
      </c>
      <c r="Y89" t="inlineStr">
        <is>
          <t>1987-11-09</t>
        </is>
      </c>
      <c r="Z89" t="inlineStr">
        <is>
          <t>1987-11-09</t>
        </is>
      </c>
      <c r="AA89" t="n">
        <v>79</v>
      </c>
      <c r="AB89" t="n">
        <v>70</v>
      </c>
      <c r="AC89" t="n">
        <v>71</v>
      </c>
      <c r="AD89" t="n">
        <v>1</v>
      </c>
      <c r="AE89" t="n">
        <v>1</v>
      </c>
      <c r="AF89" t="n">
        <v>2</v>
      </c>
      <c r="AG89" t="n">
        <v>2</v>
      </c>
      <c r="AH89" t="n">
        <v>0</v>
      </c>
      <c r="AI89" t="n">
        <v>0</v>
      </c>
      <c r="AJ89" t="n">
        <v>0</v>
      </c>
      <c r="AK89" t="n">
        <v>0</v>
      </c>
      <c r="AL89" t="n">
        <v>2</v>
      </c>
      <c r="AM89" t="n">
        <v>2</v>
      </c>
      <c r="AN89" t="n">
        <v>0</v>
      </c>
      <c r="AO89" t="n">
        <v>0</v>
      </c>
      <c r="AP89" t="n">
        <v>0</v>
      </c>
      <c r="AQ89" t="n">
        <v>0</v>
      </c>
      <c r="AR89" t="inlineStr">
        <is>
          <t>No</t>
        </is>
      </c>
      <c r="AS89" t="inlineStr">
        <is>
          <t>No</t>
        </is>
      </c>
      <c r="AU89">
        <f>HYPERLINK("https://creighton-primo.hosted.exlibrisgroup.com/primo-explore/search?tab=default_tab&amp;search_scope=EVERYTHING&amp;vid=01CRU&amp;lang=en_US&amp;offset=0&amp;query=any,contains,991001388409702656","Catalog Record")</f>
        <v/>
      </c>
      <c r="AV89">
        <f>HYPERLINK("http://www.worldcat.org/oclc/4529169","WorldCat Record")</f>
        <v/>
      </c>
      <c r="AW89" t="inlineStr">
        <is>
          <t>13888638:eng</t>
        </is>
      </c>
      <c r="AX89" t="inlineStr">
        <is>
          <t>4529169</t>
        </is>
      </c>
      <c r="AY89" t="inlineStr">
        <is>
          <t>991001388409702656</t>
        </is>
      </c>
      <c r="AZ89" t="inlineStr">
        <is>
          <t>991001388409702656</t>
        </is>
      </c>
      <c r="BA89" t="inlineStr">
        <is>
          <t>2266403220002656</t>
        </is>
      </c>
      <c r="BB89" t="inlineStr">
        <is>
          <t>BOOK</t>
        </is>
      </c>
      <c r="BE89" t="inlineStr">
        <is>
          <t>30001000464315</t>
        </is>
      </c>
      <c r="BF89" t="inlineStr">
        <is>
          <t>893149132</t>
        </is>
      </c>
    </row>
    <row r="90">
      <c r="A90" t="inlineStr">
        <is>
          <t>No</t>
        </is>
      </c>
      <c r="B90" t="inlineStr">
        <is>
          <t>CUHSL</t>
        </is>
      </c>
      <c r="C90" t="inlineStr">
        <is>
          <t>SHELVES</t>
        </is>
      </c>
      <c r="D90" t="inlineStr">
        <is>
          <t>WY 16 C744 1991</t>
        </is>
      </c>
      <c r="E90" t="inlineStr">
        <is>
          <t>0                      WY 0016000C  744         1991</t>
        </is>
      </c>
      <c r="F90" t="inlineStr">
        <is>
          <t>Conceptual foundations of professional nursing practice / edited by Joan L. Creasia, Barbara Parker.</t>
        </is>
      </c>
      <c r="H90" t="inlineStr">
        <is>
          <t>No</t>
        </is>
      </c>
      <c r="I90" t="inlineStr">
        <is>
          <t>1</t>
        </is>
      </c>
      <c r="J90" t="inlineStr">
        <is>
          <t>No</t>
        </is>
      </c>
      <c r="K90" t="inlineStr">
        <is>
          <t>No</t>
        </is>
      </c>
      <c r="L90" t="inlineStr">
        <is>
          <t>0</t>
        </is>
      </c>
      <c r="N90" t="inlineStr">
        <is>
          <t>St. Louis : Mosby-Year Book, c1991.</t>
        </is>
      </c>
      <c r="O90" t="inlineStr">
        <is>
          <t>1991</t>
        </is>
      </c>
      <c r="Q90" t="inlineStr">
        <is>
          <t>eng</t>
        </is>
      </c>
      <c r="R90" t="inlineStr">
        <is>
          <t>mou</t>
        </is>
      </c>
      <c r="T90" t="inlineStr">
        <is>
          <t xml:space="preserve">WY </t>
        </is>
      </c>
      <c r="U90" t="n">
        <v>5</v>
      </c>
      <c r="V90" t="n">
        <v>5</v>
      </c>
      <c r="W90" t="inlineStr">
        <is>
          <t>1993-10-13</t>
        </is>
      </c>
      <c r="X90" t="inlineStr">
        <is>
          <t>1993-10-13</t>
        </is>
      </c>
      <c r="Y90" t="inlineStr">
        <is>
          <t>1993-03-26</t>
        </is>
      </c>
      <c r="Z90" t="inlineStr">
        <is>
          <t>1993-03-26</t>
        </is>
      </c>
      <c r="AA90" t="n">
        <v>253</v>
      </c>
      <c r="AB90" t="n">
        <v>189</v>
      </c>
      <c r="AC90" t="n">
        <v>282</v>
      </c>
      <c r="AD90" t="n">
        <v>2</v>
      </c>
      <c r="AE90" t="n">
        <v>2</v>
      </c>
      <c r="AF90" t="n">
        <v>10</v>
      </c>
      <c r="AG90" t="n">
        <v>12</v>
      </c>
      <c r="AH90" t="n">
        <v>5</v>
      </c>
      <c r="AI90" t="n">
        <v>6</v>
      </c>
      <c r="AJ90" t="n">
        <v>2</v>
      </c>
      <c r="AK90" t="n">
        <v>2</v>
      </c>
      <c r="AL90" t="n">
        <v>6</v>
      </c>
      <c r="AM90" t="n">
        <v>7</v>
      </c>
      <c r="AN90" t="n">
        <v>1</v>
      </c>
      <c r="AO90" t="n">
        <v>1</v>
      </c>
      <c r="AP90" t="n">
        <v>0</v>
      </c>
      <c r="AQ90" t="n">
        <v>0</v>
      </c>
      <c r="AR90" t="inlineStr">
        <is>
          <t>No</t>
        </is>
      </c>
      <c r="AS90" t="inlineStr">
        <is>
          <t>Yes</t>
        </is>
      </c>
      <c r="AT90">
        <f>HYPERLINK("http://catalog.hathitrust.org/Record/002473825","HathiTrust Record")</f>
        <v/>
      </c>
      <c r="AU90">
        <f>HYPERLINK("https://creighton-primo.hosted.exlibrisgroup.com/primo-explore/search?tab=default_tab&amp;search_scope=EVERYTHING&amp;vid=01CRU&amp;lang=en_US&amp;offset=0&amp;query=any,contains,991001476479702656","Catalog Record")</f>
        <v/>
      </c>
      <c r="AV90">
        <f>HYPERLINK("http://www.worldcat.org/oclc/22859837","WorldCat Record")</f>
        <v/>
      </c>
      <c r="AW90" t="inlineStr">
        <is>
          <t>364602200:eng</t>
        </is>
      </c>
      <c r="AX90" t="inlineStr">
        <is>
          <t>22859837</t>
        </is>
      </c>
      <c r="AY90" t="inlineStr">
        <is>
          <t>991001476479702656</t>
        </is>
      </c>
      <c r="AZ90" t="inlineStr">
        <is>
          <t>991001476479702656</t>
        </is>
      </c>
      <c r="BA90" t="inlineStr">
        <is>
          <t>2259274380002656</t>
        </is>
      </c>
      <c r="BB90" t="inlineStr">
        <is>
          <t>BOOK</t>
        </is>
      </c>
      <c r="BD90" t="inlineStr">
        <is>
          <t>9780801661488</t>
        </is>
      </c>
      <c r="BE90" t="inlineStr">
        <is>
          <t>30001002563452</t>
        </is>
      </c>
      <c r="BF90" t="inlineStr">
        <is>
          <t>893561044</t>
        </is>
      </c>
    </row>
    <row r="91">
      <c r="A91" t="inlineStr">
        <is>
          <t>No</t>
        </is>
      </c>
      <c r="B91" t="inlineStr">
        <is>
          <t>CUHSL</t>
        </is>
      </c>
      <c r="C91" t="inlineStr">
        <is>
          <t>SHELVES</t>
        </is>
      </c>
      <c r="D91" t="inlineStr">
        <is>
          <t>WY 16 C932 1973</t>
        </is>
      </c>
      <c r="E91" t="inlineStr">
        <is>
          <t>0                      WY 0016000C  932         1973</t>
        </is>
      </c>
      <c r="F91" t="inlineStr">
        <is>
          <t>Crisis in nursing : changing roles : papers presented at the joint session, Crisis in Nursing, section B, NLN Biennial Convention, May 1973.</t>
        </is>
      </c>
      <c r="H91" t="inlineStr">
        <is>
          <t>No</t>
        </is>
      </c>
      <c r="I91" t="inlineStr">
        <is>
          <t>1</t>
        </is>
      </c>
      <c r="J91" t="inlineStr">
        <is>
          <t>No</t>
        </is>
      </c>
      <c r="K91" t="inlineStr">
        <is>
          <t>No</t>
        </is>
      </c>
      <c r="L91" t="inlineStr">
        <is>
          <t>0</t>
        </is>
      </c>
      <c r="N91" t="inlineStr">
        <is>
          <t>New York : National League for Nursing, [1973].</t>
        </is>
      </c>
      <c r="O91" t="inlineStr">
        <is>
          <t>1973</t>
        </is>
      </c>
      <c r="Q91" t="inlineStr">
        <is>
          <t>eng</t>
        </is>
      </c>
      <c r="R91" t="inlineStr">
        <is>
          <t>nyu</t>
        </is>
      </c>
      <c r="S91" t="inlineStr">
        <is>
          <t>NLN pub. no. 20-1503</t>
        </is>
      </c>
      <c r="T91" t="inlineStr">
        <is>
          <t xml:space="preserve">WY </t>
        </is>
      </c>
      <c r="U91" t="n">
        <v>3</v>
      </c>
      <c r="V91" t="n">
        <v>3</v>
      </c>
      <c r="W91" t="inlineStr">
        <is>
          <t>1990-05-04</t>
        </is>
      </c>
      <c r="X91" t="inlineStr">
        <is>
          <t>1990-05-04</t>
        </is>
      </c>
      <c r="Y91" t="inlineStr">
        <is>
          <t>1987-11-04</t>
        </is>
      </c>
      <c r="Z91" t="inlineStr">
        <is>
          <t>1987-11-04</t>
        </is>
      </c>
      <c r="AA91" t="n">
        <v>66</v>
      </c>
      <c r="AB91" t="n">
        <v>55</v>
      </c>
      <c r="AC91" t="n">
        <v>57</v>
      </c>
      <c r="AD91" t="n">
        <v>1</v>
      </c>
      <c r="AE91" t="n">
        <v>1</v>
      </c>
      <c r="AF91" t="n">
        <v>1</v>
      </c>
      <c r="AG91" t="n">
        <v>1</v>
      </c>
      <c r="AH91" t="n">
        <v>0</v>
      </c>
      <c r="AI91" t="n">
        <v>0</v>
      </c>
      <c r="AJ91" t="n">
        <v>0</v>
      </c>
      <c r="AK91" t="n">
        <v>0</v>
      </c>
      <c r="AL91" t="n">
        <v>1</v>
      </c>
      <c r="AM91" t="n">
        <v>1</v>
      </c>
      <c r="AN91" t="n">
        <v>0</v>
      </c>
      <c r="AO91" t="n">
        <v>0</v>
      </c>
      <c r="AP91" t="n">
        <v>0</v>
      </c>
      <c r="AQ91" t="n">
        <v>0</v>
      </c>
      <c r="AR91" t="inlineStr">
        <is>
          <t>No</t>
        </is>
      </c>
      <c r="AS91" t="inlineStr">
        <is>
          <t>Yes</t>
        </is>
      </c>
      <c r="AT91">
        <f>HYPERLINK("http://catalog.hathitrust.org/Record/001574060","HathiTrust Record")</f>
        <v/>
      </c>
      <c r="AU91">
        <f>HYPERLINK("https://creighton-primo.hosted.exlibrisgroup.com/primo-explore/search?tab=default_tab&amp;search_scope=EVERYTHING&amp;vid=01CRU&amp;lang=en_US&amp;offset=0&amp;query=any,contains,991001384349702656","Catalog Record")</f>
        <v/>
      </c>
      <c r="AV91">
        <f>HYPERLINK("http://www.worldcat.org/oclc/829187","WorldCat Record")</f>
        <v/>
      </c>
      <c r="AW91" t="inlineStr">
        <is>
          <t>1734817:eng</t>
        </is>
      </c>
      <c r="AX91" t="inlineStr">
        <is>
          <t>829187</t>
        </is>
      </c>
      <c r="AY91" t="inlineStr">
        <is>
          <t>991001384349702656</t>
        </is>
      </c>
      <c r="AZ91" t="inlineStr">
        <is>
          <t>991001384349702656</t>
        </is>
      </c>
      <c r="BA91" t="inlineStr">
        <is>
          <t>2259181150002656</t>
        </is>
      </c>
      <c r="BB91" t="inlineStr">
        <is>
          <t>BOOK</t>
        </is>
      </c>
      <c r="BE91" t="inlineStr">
        <is>
          <t>30001000463416</t>
        </is>
      </c>
      <c r="BF91" t="inlineStr">
        <is>
          <t>893364043</t>
        </is>
      </c>
    </row>
    <row r="92">
      <c r="A92" t="inlineStr">
        <is>
          <t>No</t>
        </is>
      </c>
      <c r="B92" t="inlineStr">
        <is>
          <t>CUHSL</t>
        </is>
      </c>
      <c r="C92" t="inlineStr">
        <is>
          <t>SHELVES</t>
        </is>
      </c>
      <c r="D92" t="inlineStr">
        <is>
          <t>WY 16 C968 1991</t>
        </is>
      </c>
      <c r="E92" t="inlineStr">
        <is>
          <t>0                      WY 0016000C  968         1991</t>
        </is>
      </c>
      <c r="F92" t="inlineStr">
        <is>
          <t>Culture care diversity and universality : a theory of nursing / Madeleine M. Leininger, editor.</t>
        </is>
      </c>
      <c r="H92" t="inlineStr">
        <is>
          <t>No</t>
        </is>
      </c>
      <c r="I92" t="inlineStr">
        <is>
          <t>1</t>
        </is>
      </c>
      <c r="J92" t="inlineStr">
        <is>
          <t>No</t>
        </is>
      </c>
      <c r="K92" t="inlineStr">
        <is>
          <t>Yes</t>
        </is>
      </c>
      <c r="L92" t="inlineStr">
        <is>
          <t>0</t>
        </is>
      </c>
      <c r="N92" t="inlineStr">
        <is>
          <t>New York : National League for Nursing, c1991.</t>
        </is>
      </c>
      <c r="O92" t="inlineStr">
        <is>
          <t>1991</t>
        </is>
      </c>
      <c r="Q92" t="inlineStr">
        <is>
          <t>eng</t>
        </is>
      </c>
      <c r="R92" t="inlineStr">
        <is>
          <t>nyu</t>
        </is>
      </c>
      <c r="S92" t="inlineStr">
        <is>
          <t>NLN pub. no. 15-2402.</t>
        </is>
      </c>
      <c r="T92" t="inlineStr">
        <is>
          <t xml:space="preserve">WY </t>
        </is>
      </c>
      <c r="U92" t="n">
        <v>3</v>
      </c>
      <c r="V92" t="n">
        <v>3</v>
      </c>
      <c r="W92" t="inlineStr">
        <is>
          <t>2002-07-21</t>
        </is>
      </c>
      <c r="X92" t="inlineStr">
        <is>
          <t>2002-07-21</t>
        </is>
      </c>
      <c r="Y92" t="inlineStr">
        <is>
          <t>2000-06-15</t>
        </is>
      </c>
      <c r="Z92" t="inlineStr">
        <is>
          <t>2000-06-15</t>
        </is>
      </c>
      <c r="AA92" t="n">
        <v>431</v>
      </c>
      <c r="AB92" t="n">
        <v>339</v>
      </c>
      <c r="AC92" t="n">
        <v>803</v>
      </c>
      <c r="AD92" t="n">
        <v>3</v>
      </c>
      <c r="AE92" t="n">
        <v>9</v>
      </c>
      <c r="AF92" t="n">
        <v>22</v>
      </c>
      <c r="AG92" t="n">
        <v>37</v>
      </c>
      <c r="AH92" t="n">
        <v>9</v>
      </c>
      <c r="AI92" t="n">
        <v>16</v>
      </c>
      <c r="AJ92" t="n">
        <v>4</v>
      </c>
      <c r="AK92" t="n">
        <v>6</v>
      </c>
      <c r="AL92" t="n">
        <v>13</v>
      </c>
      <c r="AM92" t="n">
        <v>15</v>
      </c>
      <c r="AN92" t="n">
        <v>2</v>
      </c>
      <c r="AO92" t="n">
        <v>7</v>
      </c>
      <c r="AP92" t="n">
        <v>0</v>
      </c>
      <c r="AQ92" t="n">
        <v>0</v>
      </c>
      <c r="AR92" t="inlineStr">
        <is>
          <t>No</t>
        </is>
      </c>
      <c r="AS92" t="inlineStr">
        <is>
          <t>No</t>
        </is>
      </c>
      <c r="AU92">
        <f>HYPERLINK("https://creighton-primo.hosted.exlibrisgroup.com/primo-explore/search?tab=default_tab&amp;search_scope=EVERYTHING&amp;vid=01CRU&amp;lang=en_US&amp;offset=0&amp;query=any,contains,991000232099702656","Catalog Record")</f>
        <v/>
      </c>
      <c r="AV92">
        <f>HYPERLINK("http://www.worldcat.org/oclc/24992989","WorldCat Record")</f>
        <v/>
      </c>
      <c r="AW92" t="inlineStr">
        <is>
          <t>891794548:eng</t>
        </is>
      </c>
      <c r="AX92" t="inlineStr">
        <is>
          <t>24992989</t>
        </is>
      </c>
      <c r="AY92" t="inlineStr">
        <is>
          <t>991000232099702656</t>
        </is>
      </c>
      <c r="AZ92" t="inlineStr">
        <is>
          <t>991000232099702656</t>
        </is>
      </c>
      <c r="BA92" t="inlineStr">
        <is>
          <t>2255572190002656</t>
        </is>
      </c>
      <c r="BB92" t="inlineStr">
        <is>
          <t>BOOK</t>
        </is>
      </c>
      <c r="BD92" t="inlineStr">
        <is>
          <t>9780887375194</t>
        </is>
      </c>
      <c r="BE92" t="inlineStr">
        <is>
          <t>30001002318154</t>
        </is>
      </c>
      <c r="BF92" t="inlineStr">
        <is>
          <t>893365246</t>
        </is>
      </c>
    </row>
    <row r="93">
      <c r="A93" t="inlineStr">
        <is>
          <t>No</t>
        </is>
      </c>
      <c r="B93" t="inlineStr">
        <is>
          <t>CUHSL</t>
        </is>
      </c>
      <c r="C93" t="inlineStr">
        <is>
          <t>SHELVES</t>
        </is>
      </c>
      <c r="D93" t="inlineStr">
        <is>
          <t>WY 16 C976 1990</t>
        </is>
      </c>
      <c r="E93" t="inlineStr">
        <is>
          <t>0                      WY 0016000C  976         1990</t>
        </is>
      </c>
      <c r="F93" t="inlineStr">
        <is>
          <t>Current issues in nursing / edited by Joanne Comi McCloskey, Helen Kennedy Grace.</t>
        </is>
      </c>
      <c r="H93" t="inlineStr">
        <is>
          <t>No</t>
        </is>
      </c>
      <c r="I93" t="inlineStr">
        <is>
          <t>1</t>
        </is>
      </c>
      <c r="J93" t="inlineStr">
        <is>
          <t>No</t>
        </is>
      </c>
      <c r="K93" t="inlineStr">
        <is>
          <t>Yes</t>
        </is>
      </c>
      <c r="L93" t="inlineStr">
        <is>
          <t>0</t>
        </is>
      </c>
      <c r="N93" t="inlineStr">
        <is>
          <t>St. Louis : Mosby, c1990.</t>
        </is>
      </c>
      <c r="O93" t="inlineStr">
        <is>
          <t>1990</t>
        </is>
      </c>
      <c r="P93" t="inlineStr">
        <is>
          <t>3rd ed.</t>
        </is>
      </c>
      <c r="Q93" t="inlineStr">
        <is>
          <t>eng</t>
        </is>
      </c>
      <c r="R93" t="inlineStr">
        <is>
          <t>xxu</t>
        </is>
      </c>
      <c r="T93" t="inlineStr">
        <is>
          <t xml:space="preserve">WY </t>
        </is>
      </c>
      <c r="U93" t="n">
        <v>19</v>
      </c>
      <c r="V93" t="n">
        <v>19</v>
      </c>
      <c r="W93" t="inlineStr">
        <is>
          <t>1996-10-20</t>
        </is>
      </c>
      <c r="X93" t="inlineStr">
        <is>
          <t>1996-10-20</t>
        </is>
      </c>
      <c r="Y93" t="inlineStr">
        <is>
          <t>1990-07-19</t>
        </is>
      </c>
      <c r="Z93" t="inlineStr">
        <is>
          <t>1990-07-19</t>
        </is>
      </c>
      <c r="AA93" t="n">
        <v>285</v>
      </c>
      <c r="AB93" t="n">
        <v>215</v>
      </c>
      <c r="AC93" t="n">
        <v>577</v>
      </c>
      <c r="AD93" t="n">
        <v>3</v>
      </c>
      <c r="AE93" t="n">
        <v>5</v>
      </c>
      <c r="AF93" t="n">
        <v>7</v>
      </c>
      <c r="AG93" t="n">
        <v>21</v>
      </c>
      <c r="AH93" t="n">
        <v>2</v>
      </c>
      <c r="AI93" t="n">
        <v>9</v>
      </c>
      <c r="AJ93" t="n">
        <v>2</v>
      </c>
      <c r="AK93" t="n">
        <v>4</v>
      </c>
      <c r="AL93" t="n">
        <v>5</v>
      </c>
      <c r="AM93" t="n">
        <v>11</v>
      </c>
      <c r="AN93" t="n">
        <v>0</v>
      </c>
      <c r="AO93" t="n">
        <v>2</v>
      </c>
      <c r="AP93" t="n">
        <v>0</v>
      </c>
      <c r="AQ93" t="n">
        <v>0</v>
      </c>
      <c r="AR93" t="inlineStr">
        <is>
          <t>No</t>
        </is>
      </c>
      <c r="AS93" t="inlineStr">
        <is>
          <t>Yes</t>
        </is>
      </c>
      <c r="AT93">
        <f>HYPERLINK("http://catalog.hathitrust.org/Record/001831825","HathiTrust Record")</f>
        <v/>
      </c>
      <c r="AU93">
        <f>HYPERLINK("https://creighton-primo.hosted.exlibrisgroup.com/primo-explore/search?tab=default_tab&amp;search_scope=EVERYTHING&amp;vid=01CRU&amp;lang=en_US&amp;offset=0&amp;query=any,contains,991001451939702656","Catalog Record")</f>
        <v/>
      </c>
      <c r="AV93">
        <f>HYPERLINK("http://www.worldcat.org/oclc/20265308","WorldCat Record")</f>
        <v/>
      </c>
      <c r="AW93" t="inlineStr">
        <is>
          <t>356002300:eng</t>
        </is>
      </c>
      <c r="AX93" t="inlineStr">
        <is>
          <t>20265308</t>
        </is>
      </c>
      <c r="AY93" t="inlineStr">
        <is>
          <t>991001451939702656</t>
        </is>
      </c>
      <c r="AZ93" t="inlineStr">
        <is>
          <t>991001451939702656</t>
        </is>
      </c>
      <c r="BA93" t="inlineStr">
        <is>
          <t>2264704660002656</t>
        </is>
      </c>
      <c r="BB93" t="inlineStr">
        <is>
          <t>BOOK</t>
        </is>
      </c>
      <c r="BD93" t="inlineStr">
        <is>
          <t>9780801655258</t>
        </is>
      </c>
      <c r="BE93" t="inlineStr">
        <is>
          <t>30001001883380</t>
        </is>
      </c>
      <c r="BF93" t="inlineStr">
        <is>
          <t>893374597</t>
        </is>
      </c>
    </row>
    <row r="94">
      <c r="A94" t="inlineStr">
        <is>
          <t>No</t>
        </is>
      </c>
      <c r="B94" t="inlineStr">
        <is>
          <t>CUHSL</t>
        </is>
      </c>
      <c r="C94" t="inlineStr">
        <is>
          <t>SHELVES</t>
        </is>
      </c>
      <c r="D94" t="inlineStr">
        <is>
          <t>WY 16 C976 1997</t>
        </is>
      </c>
      <c r="E94" t="inlineStr">
        <is>
          <t>0                      WY 0016000C  976         1997</t>
        </is>
      </c>
      <c r="F94" t="inlineStr">
        <is>
          <t>Current issues in nursing / edited by Joanne Comi McCloskey, Helen Kennedy Grace.</t>
        </is>
      </c>
      <c r="H94" t="inlineStr">
        <is>
          <t>No</t>
        </is>
      </c>
      <c r="I94" t="inlineStr">
        <is>
          <t>1</t>
        </is>
      </c>
      <c r="J94" t="inlineStr">
        <is>
          <t>No</t>
        </is>
      </c>
      <c r="K94" t="inlineStr">
        <is>
          <t>Yes</t>
        </is>
      </c>
      <c r="L94" t="inlineStr">
        <is>
          <t>0</t>
        </is>
      </c>
      <c r="N94" t="inlineStr">
        <is>
          <t>St. Louis : Mosby, c1997.</t>
        </is>
      </c>
      <c r="O94" t="inlineStr">
        <is>
          <t>1997</t>
        </is>
      </c>
      <c r="P94" t="inlineStr">
        <is>
          <t>5th ed.</t>
        </is>
      </c>
      <c r="Q94" t="inlineStr">
        <is>
          <t>eng</t>
        </is>
      </c>
      <c r="R94" t="inlineStr">
        <is>
          <t>mou</t>
        </is>
      </c>
      <c r="T94" t="inlineStr">
        <is>
          <t xml:space="preserve">WY </t>
        </is>
      </c>
      <c r="U94" t="n">
        <v>5</v>
      </c>
      <c r="V94" t="n">
        <v>5</v>
      </c>
      <c r="W94" t="inlineStr">
        <is>
          <t>2006-03-21</t>
        </is>
      </c>
      <c r="X94" t="inlineStr">
        <is>
          <t>2006-03-21</t>
        </is>
      </c>
      <c r="Y94" t="inlineStr">
        <is>
          <t>1997-04-14</t>
        </is>
      </c>
      <c r="Z94" t="inlineStr">
        <is>
          <t>1997-04-14</t>
        </is>
      </c>
      <c r="AA94" t="n">
        <v>317</v>
      </c>
      <c r="AB94" t="n">
        <v>257</v>
      </c>
      <c r="AC94" t="n">
        <v>577</v>
      </c>
      <c r="AD94" t="n">
        <v>3</v>
      </c>
      <c r="AE94" t="n">
        <v>5</v>
      </c>
      <c r="AF94" t="n">
        <v>12</v>
      </c>
      <c r="AG94" t="n">
        <v>21</v>
      </c>
      <c r="AH94" t="n">
        <v>5</v>
      </c>
      <c r="AI94" t="n">
        <v>9</v>
      </c>
      <c r="AJ94" t="n">
        <v>2</v>
      </c>
      <c r="AK94" t="n">
        <v>4</v>
      </c>
      <c r="AL94" t="n">
        <v>8</v>
      </c>
      <c r="AM94" t="n">
        <v>11</v>
      </c>
      <c r="AN94" t="n">
        <v>1</v>
      </c>
      <c r="AO94" t="n">
        <v>2</v>
      </c>
      <c r="AP94" t="n">
        <v>0</v>
      </c>
      <c r="AQ94" t="n">
        <v>0</v>
      </c>
      <c r="AR94" t="inlineStr">
        <is>
          <t>No</t>
        </is>
      </c>
      <c r="AS94" t="inlineStr">
        <is>
          <t>Yes</t>
        </is>
      </c>
      <c r="AT94">
        <f>HYPERLINK("http://catalog.hathitrust.org/Record/003135759","HathiTrust Record")</f>
        <v/>
      </c>
      <c r="AU94">
        <f>HYPERLINK("https://creighton-primo.hosted.exlibrisgroup.com/primo-explore/search?tab=default_tab&amp;search_scope=EVERYTHING&amp;vid=01CRU&amp;lang=en_US&amp;offset=0&amp;query=any,contains,991001551639702656","Catalog Record")</f>
        <v/>
      </c>
      <c r="AV94">
        <f>HYPERLINK("http://www.worldcat.org/oclc/35450341","WorldCat Record")</f>
        <v/>
      </c>
      <c r="AW94" t="inlineStr">
        <is>
          <t>356002300:eng</t>
        </is>
      </c>
      <c r="AX94" t="inlineStr">
        <is>
          <t>35450341</t>
        </is>
      </c>
      <c r="AY94" t="inlineStr">
        <is>
          <t>991001551639702656</t>
        </is>
      </c>
      <c r="AZ94" t="inlineStr">
        <is>
          <t>991001551639702656</t>
        </is>
      </c>
      <c r="BA94" t="inlineStr">
        <is>
          <t>2255050810002656</t>
        </is>
      </c>
      <c r="BB94" t="inlineStr">
        <is>
          <t>BOOK</t>
        </is>
      </c>
      <c r="BD94" t="inlineStr">
        <is>
          <t>9780815185949</t>
        </is>
      </c>
      <c r="BE94" t="inlineStr">
        <is>
          <t>30001003443498</t>
        </is>
      </c>
      <c r="BF94" t="inlineStr">
        <is>
          <t>893649324</t>
        </is>
      </c>
    </row>
    <row r="95">
      <c r="A95" t="inlineStr">
        <is>
          <t>No</t>
        </is>
      </c>
      <c r="B95" t="inlineStr">
        <is>
          <t>CUHSL</t>
        </is>
      </c>
      <c r="C95" t="inlineStr">
        <is>
          <t>SHELVES</t>
        </is>
      </c>
      <c r="D95" t="inlineStr">
        <is>
          <t>WY 16 C978n 1996</t>
        </is>
      </c>
      <c r="E95" t="inlineStr">
        <is>
          <t>0                      WY 0016000C  978n        1996</t>
        </is>
      </c>
      <c r="F95" t="inlineStr">
        <is>
          <t>Nursing into the 21st century / Leah Curtin.</t>
        </is>
      </c>
      <c r="H95" t="inlineStr">
        <is>
          <t>No</t>
        </is>
      </c>
      <c r="I95" t="inlineStr">
        <is>
          <t>1</t>
        </is>
      </c>
      <c r="J95" t="inlineStr">
        <is>
          <t>No</t>
        </is>
      </c>
      <c r="K95" t="inlineStr">
        <is>
          <t>No</t>
        </is>
      </c>
      <c r="L95" t="inlineStr">
        <is>
          <t>0</t>
        </is>
      </c>
      <c r="M95" t="inlineStr">
        <is>
          <t>Curtin, Leah.</t>
        </is>
      </c>
      <c r="N95" t="inlineStr">
        <is>
          <t>Springhouse, Pa. : Springhouse Corp., c1996.</t>
        </is>
      </c>
      <c r="O95" t="inlineStr">
        <is>
          <t>1996</t>
        </is>
      </c>
      <c r="Q95" t="inlineStr">
        <is>
          <t>eng</t>
        </is>
      </c>
      <c r="R95" t="inlineStr">
        <is>
          <t>pau</t>
        </is>
      </c>
      <c r="T95" t="inlineStr">
        <is>
          <t xml:space="preserve">WY </t>
        </is>
      </c>
      <c r="U95" t="n">
        <v>2</v>
      </c>
      <c r="V95" t="n">
        <v>2</v>
      </c>
      <c r="W95" t="inlineStr">
        <is>
          <t>2007-04-13</t>
        </is>
      </c>
      <c r="X95" t="inlineStr">
        <is>
          <t>2007-04-13</t>
        </is>
      </c>
      <c r="Y95" t="inlineStr">
        <is>
          <t>1999-07-23</t>
        </is>
      </c>
      <c r="Z95" t="inlineStr">
        <is>
          <t>1999-07-23</t>
        </is>
      </c>
      <c r="AA95" t="n">
        <v>217</v>
      </c>
      <c r="AB95" t="n">
        <v>177</v>
      </c>
      <c r="AC95" t="n">
        <v>179</v>
      </c>
      <c r="AD95" t="n">
        <v>1</v>
      </c>
      <c r="AE95" t="n">
        <v>1</v>
      </c>
      <c r="AF95" t="n">
        <v>9</v>
      </c>
      <c r="AG95" t="n">
        <v>9</v>
      </c>
      <c r="AH95" t="n">
        <v>3</v>
      </c>
      <c r="AI95" t="n">
        <v>3</v>
      </c>
      <c r="AJ95" t="n">
        <v>2</v>
      </c>
      <c r="AK95" t="n">
        <v>2</v>
      </c>
      <c r="AL95" t="n">
        <v>8</v>
      </c>
      <c r="AM95" t="n">
        <v>8</v>
      </c>
      <c r="AN95" t="n">
        <v>0</v>
      </c>
      <c r="AO95" t="n">
        <v>0</v>
      </c>
      <c r="AP95" t="n">
        <v>0</v>
      </c>
      <c r="AQ95" t="n">
        <v>0</v>
      </c>
      <c r="AR95" t="inlineStr">
        <is>
          <t>No</t>
        </is>
      </c>
      <c r="AS95" t="inlineStr">
        <is>
          <t>Yes</t>
        </is>
      </c>
      <c r="AT95">
        <f>HYPERLINK("http://catalog.hathitrust.org/Record/003013516","HathiTrust Record")</f>
        <v/>
      </c>
      <c r="AU95">
        <f>HYPERLINK("https://creighton-primo.hosted.exlibrisgroup.com/primo-explore/search?tab=default_tab&amp;search_scope=EVERYTHING&amp;vid=01CRU&amp;lang=en_US&amp;offset=0&amp;query=any,contains,991000569809702656","Catalog Record")</f>
        <v/>
      </c>
      <c r="AV95">
        <f>HYPERLINK("http://www.worldcat.org/oclc/32705500","WorldCat Record")</f>
        <v/>
      </c>
      <c r="AW95" t="inlineStr">
        <is>
          <t>36358824:eng</t>
        </is>
      </c>
      <c r="AX95" t="inlineStr">
        <is>
          <t>32705500</t>
        </is>
      </c>
      <c r="AY95" t="inlineStr">
        <is>
          <t>991000569809702656</t>
        </is>
      </c>
      <c r="AZ95" t="inlineStr">
        <is>
          <t>991000569809702656</t>
        </is>
      </c>
      <c r="BA95" t="inlineStr">
        <is>
          <t>2271237700002656</t>
        </is>
      </c>
      <c r="BB95" t="inlineStr">
        <is>
          <t>BOOK</t>
        </is>
      </c>
      <c r="BD95" t="inlineStr">
        <is>
          <t>9780874348347</t>
        </is>
      </c>
      <c r="BE95" t="inlineStr">
        <is>
          <t>30001004010577</t>
        </is>
      </c>
      <c r="BF95" t="inlineStr">
        <is>
          <t>893467280</t>
        </is>
      </c>
    </row>
    <row r="96">
      <c r="A96" t="inlineStr">
        <is>
          <t>No</t>
        </is>
      </c>
      <c r="B96" t="inlineStr">
        <is>
          <t>CUHSL</t>
        </is>
      </c>
      <c r="C96" t="inlineStr">
        <is>
          <t>SHELVES</t>
        </is>
      </c>
      <c r="D96" t="inlineStr">
        <is>
          <t>WY 16 CU799U v.2 1980</t>
        </is>
      </c>
      <c r="E96" t="inlineStr">
        <is>
          <t>0                      WY 0016000CU 799U                                                    v.2 1980</t>
        </is>
      </c>
      <c r="F96" t="inlineStr">
        <is>
          <t>Current perspectives in nursing : social issues and trends : volume two / [edited by] Beverly C. Flynn, Michael H. Miller.</t>
        </is>
      </c>
      <c r="G96" t="inlineStr">
        <is>
          <t>V. 2</t>
        </is>
      </c>
      <c r="H96" t="inlineStr">
        <is>
          <t>No</t>
        </is>
      </c>
      <c r="I96" t="inlineStr">
        <is>
          <t>1</t>
        </is>
      </c>
      <c r="J96" t="inlineStr">
        <is>
          <t>No</t>
        </is>
      </c>
      <c r="K96" t="inlineStr">
        <is>
          <t>No</t>
        </is>
      </c>
      <c r="L96" t="inlineStr">
        <is>
          <t>0</t>
        </is>
      </c>
      <c r="N96" t="inlineStr">
        <is>
          <t>St. Louis : Mosby, 1980.</t>
        </is>
      </c>
      <c r="O96" t="inlineStr">
        <is>
          <t>1980</t>
        </is>
      </c>
      <c r="Q96" t="inlineStr">
        <is>
          <t>eng</t>
        </is>
      </c>
      <c r="R96" t="inlineStr">
        <is>
          <t>xxu</t>
        </is>
      </c>
      <c r="S96" t="inlineStr">
        <is>
          <t>Current perspectives in nursing ; v. 2</t>
        </is>
      </c>
      <c r="T96" t="inlineStr">
        <is>
          <t xml:space="preserve">WY </t>
        </is>
      </c>
      <c r="U96" t="n">
        <v>3</v>
      </c>
      <c r="V96" t="n">
        <v>3</v>
      </c>
      <c r="W96" t="inlineStr">
        <is>
          <t>1995-04-03</t>
        </is>
      </c>
      <c r="X96" t="inlineStr">
        <is>
          <t>1995-04-03</t>
        </is>
      </c>
      <c r="Y96" t="inlineStr">
        <is>
          <t>1987-12-22</t>
        </is>
      </c>
      <c r="Z96" t="inlineStr">
        <is>
          <t>1987-12-22</t>
        </is>
      </c>
      <c r="AA96" t="n">
        <v>22</v>
      </c>
      <c r="AB96" t="n">
        <v>20</v>
      </c>
      <c r="AC96" t="n">
        <v>20</v>
      </c>
      <c r="AD96" t="n">
        <v>1</v>
      </c>
      <c r="AE96" t="n">
        <v>1</v>
      </c>
      <c r="AF96" t="n">
        <v>1</v>
      </c>
      <c r="AG96" t="n">
        <v>1</v>
      </c>
      <c r="AH96" t="n">
        <v>1</v>
      </c>
      <c r="AI96" t="n">
        <v>1</v>
      </c>
      <c r="AJ96" t="n">
        <v>0</v>
      </c>
      <c r="AK96" t="n">
        <v>0</v>
      </c>
      <c r="AL96" t="n">
        <v>0</v>
      </c>
      <c r="AM96" t="n">
        <v>0</v>
      </c>
      <c r="AN96" t="n">
        <v>0</v>
      </c>
      <c r="AO96" t="n">
        <v>0</v>
      </c>
      <c r="AP96" t="n">
        <v>0</v>
      </c>
      <c r="AQ96" t="n">
        <v>0</v>
      </c>
      <c r="AR96" t="inlineStr">
        <is>
          <t>No</t>
        </is>
      </c>
      <c r="AS96" t="inlineStr">
        <is>
          <t>No</t>
        </is>
      </c>
      <c r="AU96">
        <f>HYPERLINK("https://creighton-primo.hosted.exlibrisgroup.com/primo-explore/search?tab=default_tab&amp;search_scope=EVERYTHING&amp;vid=01CRU&amp;lang=en_US&amp;offset=0&amp;query=any,contains,991001032639702656","Catalog Record")</f>
        <v/>
      </c>
      <c r="AV96">
        <f>HYPERLINK("http://www.worldcat.org/oclc/6420538","WorldCat Record")</f>
        <v/>
      </c>
      <c r="AW96" t="inlineStr">
        <is>
          <t>2864942391:eng</t>
        </is>
      </c>
      <c r="AX96" t="inlineStr">
        <is>
          <t>6420538</t>
        </is>
      </c>
      <c r="AY96" t="inlineStr">
        <is>
          <t>991001032639702656</t>
        </is>
      </c>
      <c r="AZ96" t="inlineStr">
        <is>
          <t>991001032639702656</t>
        </is>
      </c>
      <c r="BA96" t="inlineStr">
        <is>
          <t>2267096330002656</t>
        </is>
      </c>
      <c r="BB96" t="inlineStr">
        <is>
          <t>BOOK</t>
        </is>
      </c>
      <c r="BD96" t="inlineStr">
        <is>
          <t>9780801634666</t>
        </is>
      </c>
      <c r="BE96" t="inlineStr">
        <is>
          <t>30001000240145</t>
        </is>
      </c>
      <c r="BF96" t="inlineStr">
        <is>
          <t>893731613</t>
        </is>
      </c>
    </row>
    <row r="97">
      <c r="A97" t="inlineStr">
        <is>
          <t>No</t>
        </is>
      </c>
      <c r="B97" t="inlineStr">
        <is>
          <t>CUHSL</t>
        </is>
      </c>
      <c r="C97" t="inlineStr">
        <is>
          <t>SHELVES</t>
        </is>
      </c>
      <c r="D97" t="inlineStr">
        <is>
          <t>WY 16 D514g 1992</t>
        </is>
      </c>
      <c r="E97" t="inlineStr">
        <is>
          <t>0                      WY 0016000D  514g        1992</t>
        </is>
      </c>
      <c r="F97" t="inlineStr">
        <is>
          <t>The grassroots lobbying handbook : empowering nurses through legislative and political action / Christine M. deVries, Majorie W. Vanderbilt.</t>
        </is>
      </c>
      <c r="H97" t="inlineStr">
        <is>
          <t>No</t>
        </is>
      </c>
      <c r="I97" t="inlineStr">
        <is>
          <t>1</t>
        </is>
      </c>
      <c r="J97" t="inlineStr">
        <is>
          <t>No</t>
        </is>
      </c>
      <c r="K97" t="inlineStr">
        <is>
          <t>No</t>
        </is>
      </c>
      <c r="L97" t="inlineStr">
        <is>
          <t>0</t>
        </is>
      </c>
      <c r="M97" t="inlineStr">
        <is>
          <t>DeVries, Christine M.</t>
        </is>
      </c>
      <c r="N97" t="inlineStr">
        <is>
          <t>Washington, D.C. : American Nurses Publishing, c1992.</t>
        </is>
      </c>
      <c r="O97" t="inlineStr">
        <is>
          <t>1992</t>
        </is>
      </c>
      <c r="Q97" t="inlineStr">
        <is>
          <t>eng</t>
        </is>
      </c>
      <c r="R97" t="inlineStr">
        <is>
          <t>dcu</t>
        </is>
      </c>
      <c r="T97" t="inlineStr">
        <is>
          <t xml:space="preserve">WY </t>
        </is>
      </c>
      <c r="U97" t="n">
        <v>2</v>
      </c>
      <c r="V97" t="n">
        <v>2</v>
      </c>
      <c r="W97" t="inlineStr">
        <is>
          <t>2003-11-07</t>
        </is>
      </c>
      <c r="X97" t="inlineStr">
        <is>
          <t>2003-11-07</t>
        </is>
      </c>
      <c r="Y97" t="inlineStr">
        <is>
          <t>2000-06-15</t>
        </is>
      </c>
      <c r="Z97" t="inlineStr">
        <is>
          <t>2000-06-15</t>
        </is>
      </c>
      <c r="AA97" t="n">
        <v>171</v>
      </c>
      <c r="AB97" t="n">
        <v>161</v>
      </c>
      <c r="AC97" t="n">
        <v>172</v>
      </c>
      <c r="AD97" t="n">
        <v>2</v>
      </c>
      <c r="AE97" t="n">
        <v>2</v>
      </c>
      <c r="AF97" t="n">
        <v>9</v>
      </c>
      <c r="AG97" t="n">
        <v>9</v>
      </c>
      <c r="AH97" t="n">
        <v>2</v>
      </c>
      <c r="AI97" t="n">
        <v>2</v>
      </c>
      <c r="AJ97" t="n">
        <v>3</v>
      </c>
      <c r="AK97" t="n">
        <v>3</v>
      </c>
      <c r="AL97" t="n">
        <v>6</v>
      </c>
      <c r="AM97" t="n">
        <v>6</v>
      </c>
      <c r="AN97" t="n">
        <v>0</v>
      </c>
      <c r="AO97" t="n">
        <v>0</v>
      </c>
      <c r="AP97" t="n">
        <v>0</v>
      </c>
      <c r="AQ97" t="n">
        <v>0</v>
      </c>
      <c r="AR97" t="inlineStr">
        <is>
          <t>No</t>
        </is>
      </c>
      <c r="AS97" t="inlineStr">
        <is>
          <t>Yes</t>
        </is>
      </c>
      <c r="AT97">
        <f>HYPERLINK("http://catalog.hathitrust.org/Record/002650345","HathiTrust Record")</f>
        <v/>
      </c>
      <c r="AU97">
        <f>HYPERLINK("https://creighton-primo.hosted.exlibrisgroup.com/primo-explore/search?tab=default_tab&amp;search_scope=EVERYTHING&amp;vid=01CRU&amp;lang=en_US&amp;offset=0&amp;query=any,contains,991000237669702656","Catalog Record")</f>
        <v/>
      </c>
      <c r="AV97">
        <f>HYPERLINK("http://www.worldcat.org/oclc/27150471","WorldCat Record")</f>
        <v/>
      </c>
      <c r="AW97" t="inlineStr">
        <is>
          <t>387149:eng</t>
        </is>
      </c>
      <c r="AX97" t="inlineStr">
        <is>
          <t>27150471</t>
        </is>
      </c>
      <c r="AY97" t="inlineStr">
        <is>
          <t>991000237669702656</t>
        </is>
      </c>
      <c r="AZ97" t="inlineStr">
        <is>
          <t>991000237669702656</t>
        </is>
      </c>
      <c r="BA97" t="inlineStr">
        <is>
          <t>2267059210002656</t>
        </is>
      </c>
      <c r="BB97" t="inlineStr">
        <is>
          <t>BOOK</t>
        </is>
      </c>
      <c r="BD97" t="inlineStr">
        <is>
          <t>9781558100787</t>
        </is>
      </c>
      <c r="BE97" t="inlineStr">
        <is>
          <t>30001002605386</t>
        </is>
      </c>
      <c r="BF97" t="inlineStr">
        <is>
          <t>893644023</t>
        </is>
      </c>
    </row>
    <row r="98">
      <c r="A98" t="inlineStr">
        <is>
          <t>No</t>
        </is>
      </c>
      <c r="B98" t="inlineStr">
        <is>
          <t>CUHSL</t>
        </is>
      </c>
      <c r="C98" t="inlineStr">
        <is>
          <t>SHELVES</t>
        </is>
      </c>
      <c r="D98" t="inlineStr">
        <is>
          <t>WY 16 D655d 1987</t>
        </is>
      </c>
      <c r="E98" t="inlineStr">
        <is>
          <t>0                      WY 0016000D  655d        1987</t>
        </is>
      </c>
      <c r="F98" t="inlineStr">
        <is>
          <t>The discipline of nursing : an introduction / Margaret O'Bryan Doheny, Christina Benson Cook, Mary Constance Stopper.</t>
        </is>
      </c>
      <c r="H98" t="inlineStr">
        <is>
          <t>No</t>
        </is>
      </c>
      <c r="I98" t="inlineStr">
        <is>
          <t>1</t>
        </is>
      </c>
      <c r="J98" t="inlineStr">
        <is>
          <t>No</t>
        </is>
      </c>
      <c r="K98" t="inlineStr">
        <is>
          <t>No</t>
        </is>
      </c>
      <c r="L98" t="inlineStr">
        <is>
          <t>0</t>
        </is>
      </c>
      <c r="M98" t="inlineStr">
        <is>
          <t>Doheny, Margaret O'Bryan, 1948-</t>
        </is>
      </c>
      <c r="N98" t="inlineStr">
        <is>
          <t>East Norwalk, Conn. : Appleton &amp; Lange, c1987.</t>
        </is>
      </c>
      <c r="O98" t="inlineStr">
        <is>
          <t>1987</t>
        </is>
      </c>
      <c r="P98" t="inlineStr">
        <is>
          <t>2nd ed.</t>
        </is>
      </c>
      <c r="Q98" t="inlineStr">
        <is>
          <t>eng</t>
        </is>
      </c>
      <c r="R98" t="inlineStr">
        <is>
          <t>xxu</t>
        </is>
      </c>
      <c r="T98" t="inlineStr">
        <is>
          <t xml:space="preserve">WY </t>
        </is>
      </c>
      <c r="U98" t="n">
        <v>5</v>
      </c>
      <c r="V98" t="n">
        <v>5</v>
      </c>
      <c r="W98" t="inlineStr">
        <is>
          <t>1991-05-20</t>
        </is>
      </c>
      <c r="X98" t="inlineStr">
        <is>
          <t>1991-05-20</t>
        </is>
      </c>
      <c r="Y98" t="inlineStr">
        <is>
          <t>1988-01-05</t>
        </is>
      </c>
      <c r="Z98" t="inlineStr">
        <is>
          <t>1988-01-05</t>
        </is>
      </c>
      <c r="AA98" t="n">
        <v>162</v>
      </c>
      <c r="AB98" t="n">
        <v>126</v>
      </c>
      <c r="AC98" t="n">
        <v>384</v>
      </c>
      <c r="AD98" t="n">
        <v>1</v>
      </c>
      <c r="AE98" t="n">
        <v>2</v>
      </c>
      <c r="AF98" t="n">
        <v>5</v>
      </c>
      <c r="AG98" t="n">
        <v>13</v>
      </c>
      <c r="AH98" t="n">
        <v>2</v>
      </c>
      <c r="AI98" t="n">
        <v>6</v>
      </c>
      <c r="AJ98" t="n">
        <v>1</v>
      </c>
      <c r="AK98" t="n">
        <v>1</v>
      </c>
      <c r="AL98" t="n">
        <v>2</v>
      </c>
      <c r="AM98" t="n">
        <v>7</v>
      </c>
      <c r="AN98" t="n">
        <v>0</v>
      </c>
      <c r="AO98" t="n">
        <v>1</v>
      </c>
      <c r="AP98" t="n">
        <v>0</v>
      </c>
      <c r="AQ98" t="n">
        <v>0</v>
      </c>
      <c r="AR98" t="inlineStr">
        <is>
          <t>No</t>
        </is>
      </c>
      <c r="AS98" t="inlineStr">
        <is>
          <t>Yes</t>
        </is>
      </c>
      <c r="AT98">
        <f>HYPERLINK("http://catalog.hathitrust.org/Record/001538231","HathiTrust Record")</f>
        <v/>
      </c>
      <c r="AU98">
        <f>HYPERLINK("https://creighton-primo.hosted.exlibrisgroup.com/primo-explore/search?tab=default_tab&amp;search_scope=EVERYTHING&amp;vid=01CRU&amp;lang=en_US&amp;offset=0&amp;query=any,contains,991001534909702656","Catalog Record")</f>
        <v/>
      </c>
      <c r="AV98">
        <f>HYPERLINK("http://www.worldcat.org/oclc/15489380","WorldCat Record")</f>
        <v/>
      </c>
      <c r="AW98" t="inlineStr">
        <is>
          <t>10553683:eng</t>
        </is>
      </c>
      <c r="AX98" t="inlineStr">
        <is>
          <t>15489380</t>
        </is>
      </c>
      <c r="AY98" t="inlineStr">
        <is>
          <t>991001534909702656</t>
        </is>
      </c>
      <c r="AZ98" t="inlineStr">
        <is>
          <t>991001534909702656</t>
        </is>
      </c>
      <c r="BA98" t="inlineStr">
        <is>
          <t>2270788900002656</t>
        </is>
      </c>
      <c r="BB98" t="inlineStr">
        <is>
          <t>BOOK</t>
        </is>
      </c>
      <c r="BD98" t="inlineStr">
        <is>
          <t>9780838517154</t>
        </is>
      </c>
      <c r="BE98" t="inlineStr">
        <is>
          <t>30001000622524</t>
        </is>
      </c>
      <c r="BF98" t="inlineStr">
        <is>
          <t>893121613</t>
        </is>
      </c>
    </row>
    <row r="99">
      <c r="A99" t="inlineStr">
        <is>
          <t>No</t>
        </is>
      </c>
      <c r="B99" t="inlineStr">
        <is>
          <t>CUHSL</t>
        </is>
      </c>
      <c r="C99" t="inlineStr">
        <is>
          <t>SHELVES</t>
        </is>
      </c>
      <c r="D99" t="inlineStr">
        <is>
          <t>WY 16 D917h 2005</t>
        </is>
      </c>
      <c r="E99" t="inlineStr">
        <is>
          <t>0                      WY 0016000D  917h        2005</t>
        </is>
      </c>
      <c r="F99" t="inlineStr">
        <is>
          <t>How to survive and maybe even love your life as a nurse / Kelli S. Dunham and Staci J. Smith.</t>
        </is>
      </c>
      <c r="H99" t="inlineStr">
        <is>
          <t>No</t>
        </is>
      </c>
      <c r="I99" t="inlineStr">
        <is>
          <t>1</t>
        </is>
      </c>
      <c r="J99" t="inlineStr">
        <is>
          <t>No</t>
        </is>
      </c>
      <c r="K99" t="inlineStr">
        <is>
          <t>No</t>
        </is>
      </c>
      <c r="L99" t="inlineStr">
        <is>
          <t>0</t>
        </is>
      </c>
      <c r="M99" t="inlineStr">
        <is>
          <t>Dunham, Kelli S.</t>
        </is>
      </c>
      <c r="N99" t="inlineStr">
        <is>
          <t>Philadelphia, PA : F.A. Davis, c2005.</t>
        </is>
      </c>
      <c r="O99" t="inlineStr">
        <is>
          <t>2005</t>
        </is>
      </c>
      <c r="Q99" t="inlineStr">
        <is>
          <t>eng</t>
        </is>
      </c>
      <c r="R99" t="inlineStr">
        <is>
          <t>pau</t>
        </is>
      </c>
      <c r="T99" t="inlineStr">
        <is>
          <t xml:space="preserve">WY </t>
        </is>
      </c>
      <c r="U99" t="n">
        <v>2</v>
      </c>
      <c r="V99" t="n">
        <v>2</v>
      </c>
      <c r="W99" t="inlineStr">
        <is>
          <t>2007-01-28</t>
        </is>
      </c>
      <c r="X99" t="inlineStr">
        <is>
          <t>2007-01-28</t>
        </is>
      </c>
      <c r="Y99" t="inlineStr">
        <is>
          <t>2006-12-12</t>
        </is>
      </c>
      <c r="Z99" t="inlineStr">
        <is>
          <t>2006-12-12</t>
        </is>
      </c>
      <c r="AA99" t="n">
        <v>272</v>
      </c>
      <c r="AB99" t="n">
        <v>218</v>
      </c>
      <c r="AC99" t="n">
        <v>500</v>
      </c>
      <c r="AD99" t="n">
        <v>2</v>
      </c>
      <c r="AE99" t="n">
        <v>14</v>
      </c>
      <c r="AF99" t="n">
        <v>6</v>
      </c>
      <c r="AG99" t="n">
        <v>19</v>
      </c>
      <c r="AH99" t="n">
        <v>3</v>
      </c>
      <c r="AI99" t="n">
        <v>8</v>
      </c>
      <c r="AJ99" t="n">
        <v>0</v>
      </c>
      <c r="AK99" t="n">
        <v>1</v>
      </c>
      <c r="AL99" t="n">
        <v>2</v>
      </c>
      <c r="AM99" t="n">
        <v>3</v>
      </c>
      <c r="AN99" t="n">
        <v>1</v>
      </c>
      <c r="AO99" t="n">
        <v>9</v>
      </c>
      <c r="AP99" t="n">
        <v>0</v>
      </c>
      <c r="AQ99" t="n">
        <v>0</v>
      </c>
      <c r="AR99" t="inlineStr">
        <is>
          <t>No</t>
        </is>
      </c>
      <c r="AS99" t="inlineStr">
        <is>
          <t>No</t>
        </is>
      </c>
      <c r="AU99">
        <f>HYPERLINK("https://creighton-primo.hosted.exlibrisgroup.com/primo-explore/search?tab=default_tab&amp;search_scope=EVERYTHING&amp;vid=01CRU&amp;lang=en_US&amp;offset=0&amp;query=any,contains,991000575329702656","Catalog Record")</f>
        <v/>
      </c>
      <c r="AV99">
        <f>HYPERLINK("http://www.worldcat.org/oclc/57068342","WorldCat Record")</f>
        <v/>
      </c>
      <c r="AW99" t="inlineStr">
        <is>
          <t>17490686:eng</t>
        </is>
      </c>
      <c r="AX99" t="inlineStr">
        <is>
          <t>57068342</t>
        </is>
      </c>
      <c r="AY99" t="inlineStr">
        <is>
          <t>991000575329702656</t>
        </is>
      </c>
      <c r="AZ99" t="inlineStr">
        <is>
          <t>991000575329702656</t>
        </is>
      </c>
      <c r="BA99" t="inlineStr">
        <is>
          <t>2266806140002656</t>
        </is>
      </c>
      <c r="BB99" t="inlineStr">
        <is>
          <t>BOOK</t>
        </is>
      </c>
      <c r="BD99" t="inlineStr">
        <is>
          <t>9780803611580</t>
        </is>
      </c>
      <c r="BE99" t="inlineStr">
        <is>
          <t>30001005197431</t>
        </is>
      </c>
      <c r="BF99" t="inlineStr">
        <is>
          <t>893824667</t>
        </is>
      </c>
    </row>
    <row r="100">
      <c r="A100" t="inlineStr">
        <is>
          <t>No</t>
        </is>
      </c>
      <c r="B100" t="inlineStr">
        <is>
          <t>CUHSL</t>
        </is>
      </c>
      <c r="C100" t="inlineStr">
        <is>
          <t>SHELVES</t>
        </is>
      </c>
      <c r="D100" t="inlineStr">
        <is>
          <t>WY 16 E47n 1995</t>
        </is>
      </c>
      <c r="E100" t="inlineStr">
        <is>
          <t>0                      WY 0016000E  47n         1995</t>
        </is>
      </c>
      <c r="F100" t="inlineStr">
        <is>
          <t>Nursing in today's world : challenges, issues, and trends / Janice Rider Ellis, Celia Love Hartley.</t>
        </is>
      </c>
      <c r="H100" t="inlineStr">
        <is>
          <t>No</t>
        </is>
      </c>
      <c r="I100" t="inlineStr">
        <is>
          <t>1</t>
        </is>
      </c>
      <c r="J100" t="inlineStr">
        <is>
          <t>No</t>
        </is>
      </c>
      <c r="K100" t="inlineStr">
        <is>
          <t>Yes</t>
        </is>
      </c>
      <c r="L100" t="inlineStr">
        <is>
          <t>0</t>
        </is>
      </c>
      <c r="M100" t="inlineStr">
        <is>
          <t>Ellis, Janice Rider.</t>
        </is>
      </c>
      <c r="N100" t="inlineStr">
        <is>
          <t>Philadelphia : Lippincott, c1995.</t>
        </is>
      </c>
      <c r="O100" t="inlineStr">
        <is>
          <t>1995</t>
        </is>
      </c>
      <c r="P100" t="inlineStr">
        <is>
          <t>5th ed.</t>
        </is>
      </c>
      <c r="Q100" t="inlineStr">
        <is>
          <t>eng</t>
        </is>
      </c>
      <c r="R100" t="inlineStr">
        <is>
          <t>pau</t>
        </is>
      </c>
      <c r="T100" t="inlineStr">
        <is>
          <t xml:space="preserve">WY </t>
        </is>
      </c>
      <c r="U100" t="n">
        <v>4</v>
      </c>
      <c r="V100" t="n">
        <v>4</v>
      </c>
      <c r="W100" t="inlineStr">
        <is>
          <t>1999-02-07</t>
        </is>
      </c>
      <c r="X100" t="inlineStr">
        <is>
          <t>1999-02-07</t>
        </is>
      </c>
      <c r="Y100" t="inlineStr">
        <is>
          <t>1996-06-24</t>
        </is>
      </c>
      <c r="Z100" t="inlineStr">
        <is>
          <t>1996-06-24</t>
        </is>
      </c>
      <c r="AA100" t="n">
        <v>276</v>
      </c>
      <c r="AB100" t="n">
        <v>215</v>
      </c>
      <c r="AC100" t="n">
        <v>1118</v>
      </c>
      <c r="AD100" t="n">
        <v>1</v>
      </c>
      <c r="AE100" t="n">
        <v>6</v>
      </c>
      <c r="AF100" t="n">
        <v>10</v>
      </c>
      <c r="AG100" t="n">
        <v>34</v>
      </c>
      <c r="AH100" t="n">
        <v>4</v>
      </c>
      <c r="AI100" t="n">
        <v>15</v>
      </c>
      <c r="AJ100" t="n">
        <v>1</v>
      </c>
      <c r="AK100" t="n">
        <v>5</v>
      </c>
      <c r="AL100" t="n">
        <v>8</v>
      </c>
      <c r="AM100" t="n">
        <v>17</v>
      </c>
      <c r="AN100" t="n">
        <v>0</v>
      </c>
      <c r="AO100" t="n">
        <v>4</v>
      </c>
      <c r="AP100" t="n">
        <v>0</v>
      </c>
      <c r="AQ100" t="n">
        <v>0</v>
      </c>
      <c r="AR100" t="inlineStr">
        <is>
          <t>No</t>
        </is>
      </c>
      <c r="AS100" t="inlineStr">
        <is>
          <t>Yes</t>
        </is>
      </c>
      <c r="AT100">
        <f>HYPERLINK("http://catalog.hathitrust.org/Record/002932867","HathiTrust Record")</f>
        <v/>
      </c>
      <c r="AU100">
        <f>HYPERLINK("https://creighton-primo.hosted.exlibrisgroup.com/primo-explore/search?tab=default_tab&amp;search_scope=EVERYTHING&amp;vid=01CRU&amp;lang=en_US&amp;offset=0&amp;query=any,contains,991001507389702656","Catalog Record")</f>
        <v/>
      </c>
      <c r="AV100">
        <f>HYPERLINK("http://www.worldcat.org/oclc/31045529","WorldCat Record")</f>
        <v/>
      </c>
      <c r="AW100" t="inlineStr">
        <is>
          <t>766696:eng</t>
        </is>
      </c>
      <c r="AX100" t="inlineStr">
        <is>
          <t>31045529</t>
        </is>
      </c>
      <c r="AY100" t="inlineStr">
        <is>
          <t>991001507389702656</t>
        </is>
      </c>
      <c r="AZ100" t="inlineStr">
        <is>
          <t>991001507389702656</t>
        </is>
      </c>
      <c r="BA100" t="inlineStr">
        <is>
          <t>2264235410002656</t>
        </is>
      </c>
      <c r="BB100" t="inlineStr">
        <is>
          <t>BOOK</t>
        </is>
      </c>
      <c r="BD100" t="inlineStr">
        <is>
          <t>9780397551774</t>
        </is>
      </c>
      <c r="BE100" t="inlineStr">
        <is>
          <t>30001003264852</t>
        </is>
      </c>
      <c r="BF100" t="inlineStr">
        <is>
          <t>893134654</t>
        </is>
      </c>
    </row>
    <row r="101">
      <c r="A101" t="inlineStr">
        <is>
          <t>No</t>
        </is>
      </c>
      <c r="B101" t="inlineStr">
        <is>
          <t>CUHSL</t>
        </is>
      </c>
      <c r="C101" t="inlineStr">
        <is>
          <t>SHELVES</t>
        </is>
      </c>
      <c r="D101" t="inlineStr">
        <is>
          <t>WY 16 E47n 1998</t>
        </is>
      </c>
      <c r="E101" t="inlineStr">
        <is>
          <t>0                      WY 0016000E  47n         1998</t>
        </is>
      </c>
      <c r="F101" t="inlineStr">
        <is>
          <t>Nursing in today's world : challenges, issues, and trends / Janice Rider Ellis, Celia Love Hartley.</t>
        </is>
      </c>
      <c r="H101" t="inlineStr">
        <is>
          <t>No</t>
        </is>
      </c>
      <c r="I101" t="inlineStr">
        <is>
          <t>1</t>
        </is>
      </c>
      <c r="J101" t="inlineStr">
        <is>
          <t>No</t>
        </is>
      </c>
      <c r="K101" t="inlineStr">
        <is>
          <t>Yes</t>
        </is>
      </c>
      <c r="L101" t="inlineStr">
        <is>
          <t>0</t>
        </is>
      </c>
      <c r="M101" t="inlineStr">
        <is>
          <t>Ellis, Janice Rider.</t>
        </is>
      </c>
      <c r="N101" t="inlineStr">
        <is>
          <t>Philadelphia : Lippincott Raven, c1998.</t>
        </is>
      </c>
      <c r="O101" t="inlineStr">
        <is>
          <t>1998</t>
        </is>
      </c>
      <c r="P101" t="inlineStr">
        <is>
          <t>6th ed.</t>
        </is>
      </c>
      <c r="Q101" t="inlineStr">
        <is>
          <t>eng</t>
        </is>
      </c>
      <c r="R101" t="inlineStr">
        <is>
          <t>pau</t>
        </is>
      </c>
      <c r="T101" t="inlineStr">
        <is>
          <t xml:space="preserve">WY </t>
        </is>
      </c>
      <c r="U101" t="n">
        <v>3</v>
      </c>
      <c r="V101" t="n">
        <v>3</v>
      </c>
      <c r="W101" t="inlineStr">
        <is>
          <t>2002-08-16</t>
        </is>
      </c>
      <c r="X101" t="inlineStr">
        <is>
          <t>2002-08-16</t>
        </is>
      </c>
      <c r="Y101" t="inlineStr">
        <is>
          <t>1997-12-23</t>
        </is>
      </c>
      <c r="Z101" t="inlineStr">
        <is>
          <t>1997-12-23</t>
        </is>
      </c>
      <c r="AA101" t="n">
        <v>277</v>
      </c>
      <c r="AB101" t="n">
        <v>224</v>
      </c>
      <c r="AC101" t="n">
        <v>1118</v>
      </c>
      <c r="AD101" t="n">
        <v>1</v>
      </c>
      <c r="AE101" t="n">
        <v>6</v>
      </c>
      <c r="AF101" t="n">
        <v>8</v>
      </c>
      <c r="AG101" t="n">
        <v>34</v>
      </c>
      <c r="AH101" t="n">
        <v>3</v>
      </c>
      <c r="AI101" t="n">
        <v>15</v>
      </c>
      <c r="AJ101" t="n">
        <v>2</v>
      </c>
      <c r="AK101" t="n">
        <v>5</v>
      </c>
      <c r="AL101" t="n">
        <v>5</v>
      </c>
      <c r="AM101" t="n">
        <v>17</v>
      </c>
      <c r="AN101" t="n">
        <v>0</v>
      </c>
      <c r="AO101" t="n">
        <v>4</v>
      </c>
      <c r="AP101" t="n">
        <v>0</v>
      </c>
      <c r="AQ101" t="n">
        <v>0</v>
      </c>
      <c r="AR101" t="inlineStr">
        <is>
          <t>No</t>
        </is>
      </c>
      <c r="AS101" t="inlineStr">
        <is>
          <t>Yes</t>
        </is>
      </c>
      <c r="AT101">
        <f>HYPERLINK("http://catalog.hathitrust.org/Record/003951395","HathiTrust Record")</f>
        <v/>
      </c>
      <c r="AU101">
        <f>HYPERLINK("https://creighton-primo.hosted.exlibrisgroup.com/primo-explore/search?tab=default_tab&amp;search_scope=EVERYTHING&amp;vid=01CRU&amp;lang=en_US&amp;offset=0&amp;query=any,contains,991001226259702656","Catalog Record")</f>
        <v/>
      </c>
      <c r="AV101">
        <f>HYPERLINK("http://www.worldcat.org/oclc/36995371","WorldCat Record")</f>
        <v/>
      </c>
      <c r="AW101" t="inlineStr">
        <is>
          <t>766696:eng</t>
        </is>
      </c>
      <c r="AX101" t="inlineStr">
        <is>
          <t>36995371</t>
        </is>
      </c>
      <c r="AY101" t="inlineStr">
        <is>
          <t>991001226259702656</t>
        </is>
      </c>
      <c r="AZ101" t="inlineStr">
        <is>
          <t>991001226259702656</t>
        </is>
      </c>
      <c r="BA101" t="inlineStr">
        <is>
          <t>2262836350002656</t>
        </is>
      </c>
      <c r="BB101" t="inlineStr">
        <is>
          <t>BOOK</t>
        </is>
      </c>
      <c r="BD101" t="inlineStr">
        <is>
          <t>9780397554287</t>
        </is>
      </c>
      <c r="BE101" t="inlineStr">
        <is>
          <t>30001003669316</t>
        </is>
      </c>
      <c r="BF101" t="inlineStr">
        <is>
          <t>893727351</t>
        </is>
      </c>
    </row>
    <row r="102">
      <c r="A102" t="inlineStr">
        <is>
          <t>No</t>
        </is>
      </c>
      <c r="B102" t="inlineStr">
        <is>
          <t>CUHSL</t>
        </is>
      </c>
      <c r="C102" t="inlineStr">
        <is>
          <t>SHELVES</t>
        </is>
      </c>
      <c r="D102" t="inlineStr">
        <is>
          <t>WY16 E47n 2004</t>
        </is>
      </c>
      <c r="E102" t="inlineStr">
        <is>
          <t>0                      WY 0016000E  47n         2004</t>
        </is>
      </c>
      <c r="F102" t="inlineStr">
        <is>
          <t>Nursing in today's world : trends, issues &amp; management / Janice Rider Ellis, Celia Love Hartley ; illustrations by Tomm Scalera.</t>
        </is>
      </c>
      <c r="H102" t="inlineStr">
        <is>
          <t>No</t>
        </is>
      </c>
      <c r="I102" t="inlineStr">
        <is>
          <t>1</t>
        </is>
      </c>
      <c r="J102" t="inlineStr">
        <is>
          <t>No</t>
        </is>
      </c>
      <c r="K102" t="inlineStr">
        <is>
          <t>Yes</t>
        </is>
      </c>
      <c r="L102" t="inlineStr">
        <is>
          <t>0</t>
        </is>
      </c>
      <c r="M102" t="inlineStr">
        <is>
          <t>Ellis, Janice Rider.</t>
        </is>
      </c>
      <c r="N102" t="inlineStr">
        <is>
          <t>Philadelphia : Lippincott Williams &amp; Wilkins, c2004.</t>
        </is>
      </c>
      <c r="O102" t="inlineStr">
        <is>
          <t>2004</t>
        </is>
      </c>
      <c r="P102" t="inlineStr">
        <is>
          <t>8th ed.</t>
        </is>
      </c>
      <c r="Q102" t="inlineStr">
        <is>
          <t>eng</t>
        </is>
      </c>
      <c r="R102" t="inlineStr">
        <is>
          <t>pau</t>
        </is>
      </c>
      <c r="T102" t="inlineStr">
        <is>
          <t xml:space="preserve">WY </t>
        </is>
      </c>
      <c r="U102" t="n">
        <v>2</v>
      </c>
      <c r="V102" t="n">
        <v>2</v>
      </c>
      <c r="W102" t="inlineStr">
        <is>
          <t>2005-11-17</t>
        </is>
      </c>
      <c r="X102" t="inlineStr">
        <is>
          <t>2005-11-17</t>
        </is>
      </c>
      <c r="Y102" t="inlineStr">
        <is>
          <t>2004-09-13</t>
        </is>
      </c>
      <c r="Z102" t="inlineStr">
        <is>
          <t>2004-09-13</t>
        </is>
      </c>
      <c r="AA102" t="n">
        <v>355</v>
      </c>
      <c r="AB102" t="n">
        <v>275</v>
      </c>
      <c r="AC102" t="n">
        <v>1118</v>
      </c>
      <c r="AD102" t="n">
        <v>1</v>
      </c>
      <c r="AE102" t="n">
        <v>6</v>
      </c>
      <c r="AF102" t="n">
        <v>7</v>
      </c>
      <c r="AG102" t="n">
        <v>34</v>
      </c>
      <c r="AH102" t="n">
        <v>3</v>
      </c>
      <c r="AI102" t="n">
        <v>15</v>
      </c>
      <c r="AJ102" t="n">
        <v>0</v>
      </c>
      <c r="AK102" t="n">
        <v>5</v>
      </c>
      <c r="AL102" t="n">
        <v>4</v>
      </c>
      <c r="AM102" t="n">
        <v>17</v>
      </c>
      <c r="AN102" t="n">
        <v>0</v>
      </c>
      <c r="AO102" t="n">
        <v>4</v>
      </c>
      <c r="AP102" t="n">
        <v>0</v>
      </c>
      <c r="AQ102" t="n">
        <v>0</v>
      </c>
      <c r="AR102" t="inlineStr">
        <is>
          <t>No</t>
        </is>
      </c>
      <c r="AS102" t="inlineStr">
        <is>
          <t>No</t>
        </is>
      </c>
      <c r="AU102">
        <f>HYPERLINK("https://creighton-primo.hosted.exlibrisgroup.com/primo-explore/search?tab=default_tab&amp;search_scope=EVERYTHING&amp;vid=01CRU&amp;lang=en_US&amp;offset=0&amp;query=any,contains,991000387089702656","Catalog Record")</f>
        <v/>
      </c>
      <c r="AV102">
        <f>HYPERLINK("http://www.worldcat.org/oclc/51811034","WorldCat Record")</f>
        <v/>
      </c>
      <c r="AW102" t="inlineStr">
        <is>
          <t>766696:eng</t>
        </is>
      </c>
      <c r="AX102" t="inlineStr">
        <is>
          <t>51811034</t>
        </is>
      </c>
      <c r="AY102" t="inlineStr">
        <is>
          <t>991000387089702656</t>
        </is>
      </c>
      <c r="AZ102" t="inlineStr">
        <is>
          <t>991000387089702656</t>
        </is>
      </c>
      <c r="BA102" t="inlineStr">
        <is>
          <t>2255058070002656</t>
        </is>
      </c>
      <c r="BB102" t="inlineStr">
        <is>
          <t>BOOK</t>
        </is>
      </c>
      <c r="BD102" t="inlineStr">
        <is>
          <t>9780781741088</t>
        </is>
      </c>
      <c r="BE102" t="inlineStr">
        <is>
          <t>30001004506715</t>
        </is>
      </c>
      <c r="BF102" t="inlineStr">
        <is>
          <t>893737283</t>
        </is>
      </c>
    </row>
    <row r="103">
      <c r="A103" t="inlineStr">
        <is>
          <t>No</t>
        </is>
      </c>
      <c r="B103" t="inlineStr">
        <is>
          <t>CUHSL</t>
        </is>
      </c>
      <c r="C103" t="inlineStr">
        <is>
          <t>SHELVES</t>
        </is>
      </c>
      <c r="D103" t="inlineStr">
        <is>
          <t>WY 16 E53 1978</t>
        </is>
      </c>
      <c r="E103" t="inlineStr">
        <is>
          <t>0                      WY 0016000E  53          1978</t>
        </is>
      </c>
      <c r="F103" t="inlineStr">
        <is>
          <t>The emergence of nursing as a political force.</t>
        </is>
      </c>
      <c r="H103" t="inlineStr">
        <is>
          <t>No</t>
        </is>
      </c>
      <c r="I103" t="inlineStr">
        <is>
          <t>1</t>
        </is>
      </c>
      <c r="J103" t="inlineStr">
        <is>
          <t>No</t>
        </is>
      </c>
      <c r="K103" t="inlineStr">
        <is>
          <t>No</t>
        </is>
      </c>
      <c r="L103" t="inlineStr">
        <is>
          <t>0</t>
        </is>
      </c>
      <c r="N103" t="inlineStr">
        <is>
          <t>New York : National League for Nursing, c1979.</t>
        </is>
      </c>
      <c r="O103" t="inlineStr">
        <is>
          <t>1978</t>
        </is>
      </c>
      <c r="Q103" t="inlineStr">
        <is>
          <t>eng</t>
        </is>
      </c>
      <c r="R103" t="inlineStr">
        <is>
          <t>xxu</t>
        </is>
      </c>
      <c r="S103" t="inlineStr">
        <is>
          <t>NLN pub. no. 41-1760</t>
        </is>
      </c>
      <c r="T103" t="inlineStr">
        <is>
          <t xml:space="preserve">WY </t>
        </is>
      </c>
      <c r="U103" t="n">
        <v>2</v>
      </c>
      <c r="V103" t="n">
        <v>2</v>
      </c>
      <c r="W103" t="inlineStr">
        <is>
          <t>1990-06-25</t>
        </is>
      </c>
      <c r="X103" t="inlineStr">
        <is>
          <t>1990-06-25</t>
        </is>
      </c>
      <c r="Y103" t="inlineStr">
        <is>
          <t>1987-11-12</t>
        </is>
      </c>
      <c r="Z103" t="inlineStr">
        <is>
          <t>1987-11-12</t>
        </is>
      </c>
      <c r="AA103" t="n">
        <v>124</v>
      </c>
      <c r="AB103" t="n">
        <v>105</v>
      </c>
      <c r="AC103" t="n">
        <v>107</v>
      </c>
      <c r="AD103" t="n">
        <v>3</v>
      </c>
      <c r="AE103" t="n">
        <v>3</v>
      </c>
      <c r="AF103" t="n">
        <v>6</v>
      </c>
      <c r="AG103" t="n">
        <v>6</v>
      </c>
      <c r="AH103" t="n">
        <v>2</v>
      </c>
      <c r="AI103" t="n">
        <v>2</v>
      </c>
      <c r="AJ103" t="n">
        <v>0</v>
      </c>
      <c r="AK103" t="n">
        <v>0</v>
      </c>
      <c r="AL103" t="n">
        <v>3</v>
      </c>
      <c r="AM103" t="n">
        <v>3</v>
      </c>
      <c r="AN103" t="n">
        <v>1</v>
      </c>
      <c r="AO103" t="n">
        <v>1</v>
      </c>
      <c r="AP103" t="n">
        <v>0</v>
      </c>
      <c r="AQ103" t="n">
        <v>0</v>
      </c>
      <c r="AR103" t="inlineStr">
        <is>
          <t>No</t>
        </is>
      </c>
      <c r="AS103" t="inlineStr">
        <is>
          <t>Yes</t>
        </is>
      </c>
      <c r="AT103">
        <f>HYPERLINK("http://catalog.hathitrust.org/Record/000758249","HathiTrust Record")</f>
        <v/>
      </c>
      <c r="AU103">
        <f>HYPERLINK("https://creighton-primo.hosted.exlibrisgroup.com/primo-explore/search?tab=default_tab&amp;search_scope=EVERYTHING&amp;vid=01CRU&amp;lang=en_US&amp;offset=0&amp;query=any,contains,991001517199702656","Catalog Record")</f>
        <v/>
      </c>
      <c r="AV103">
        <f>HYPERLINK("http://www.worldcat.org/oclc/5445922","WorldCat Record")</f>
        <v/>
      </c>
      <c r="AW103" t="inlineStr">
        <is>
          <t>18045921:eng</t>
        </is>
      </c>
      <c r="AX103" t="inlineStr">
        <is>
          <t>5445922</t>
        </is>
      </c>
      <c r="AY103" t="inlineStr">
        <is>
          <t>991001517199702656</t>
        </is>
      </c>
      <c r="AZ103" t="inlineStr">
        <is>
          <t>991001517199702656</t>
        </is>
      </c>
      <c r="BA103" t="inlineStr">
        <is>
          <t>2264333270002656</t>
        </is>
      </c>
      <c r="BB103" t="inlineStr">
        <is>
          <t>BOOK</t>
        </is>
      </c>
      <c r="BE103" t="inlineStr">
        <is>
          <t>30001000600140</t>
        </is>
      </c>
      <c r="BF103" t="inlineStr">
        <is>
          <t>893834708</t>
        </is>
      </c>
    </row>
    <row r="104">
      <c r="A104" t="inlineStr">
        <is>
          <t>No</t>
        </is>
      </c>
      <c r="B104" t="inlineStr">
        <is>
          <t>CUHSL</t>
        </is>
      </c>
      <c r="C104" t="inlineStr">
        <is>
          <t>SHELVES</t>
        </is>
      </c>
      <c r="D104" t="inlineStr">
        <is>
          <t>WY 16 E61 1978</t>
        </is>
      </c>
      <c r="E104" t="inlineStr">
        <is>
          <t>0                      WY 0016000E  61          1978</t>
        </is>
      </c>
      <c r="F104" t="inlineStr">
        <is>
          <t>Entry into nursing practice : proceedings of the national conference, February 13-14, 1978, Kansas City, Missouri.</t>
        </is>
      </c>
      <c r="H104" t="inlineStr">
        <is>
          <t>No</t>
        </is>
      </c>
      <c r="I104" t="inlineStr">
        <is>
          <t>1</t>
        </is>
      </c>
      <c r="J104" t="inlineStr">
        <is>
          <t>No</t>
        </is>
      </c>
      <c r="K104" t="inlineStr">
        <is>
          <t>No</t>
        </is>
      </c>
      <c r="L104" t="inlineStr">
        <is>
          <t>0</t>
        </is>
      </c>
      <c r="N104" t="inlineStr">
        <is>
          <t>-- Kansas City, Mo. : American Nurses' Association, c1978.</t>
        </is>
      </c>
      <c r="O104" t="inlineStr">
        <is>
          <t>1978</t>
        </is>
      </c>
      <c r="Q104" t="inlineStr">
        <is>
          <t>eng</t>
        </is>
      </c>
      <c r="R104" t="inlineStr">
        <is>
          <t>mou</t>
        </is>
      </c>
      <c r="T104" t="inlineStr">
        <is>
          <t xml:space="preserve">WY </t>
        </is>
      </c>
      <c r="U104" t="n">
        <v>3</v>
      </c>
      <c r="V104" t="n">
        <v>3</v>
      </c>
      <c r="W104" t="inlineStr">
        <is>
          <t>1990-03-15</t>
        </is>
      </c>
      <c r="X104" t="inlineStr">
        <is>
          <t>1990-03-15</t>
        </is>
      </c>
      <c r="Y104" t="inlineStr">
        <is>
          <t>1987-12-22</t>
        </is>
      </c>
      <c r="Z104" t="inlineStr">
        <is>
          <t>1987-12-22</t>
        </is>
      </c>
      <c r="AA104" t="n">
        <v>97</v>
      </c>
      <c r="AB104" t="n">
        <v>94</v>
      </c>
      <c r="AC104" t="n">
        <v>95</v>
      </c>
      <c r="AD104" t="n">
        <v>2</v>
      </c>
      <c r="AE104" t="n">
        <v>2</v>
      </c>
      <c r="AF104" t="n">
        <v>6</v>
      </c>
      <c r="AG104" t="n">
        <v>6</v>
      </c>
      <c r="AH104" t="n">
        <v>1</v>
      </c>
      <c r="AI104" t="n">
        <v>1</v>
      </c>
      <c r="AJ104" t="n">
        <v>0</v>
      </c>
      <c r="AK104" t="n">
        <v>0</v>
      </c>
      <c r="AL104" t="n">
        <v>4</v>
      </c>
      <c r="AM104" t="n">
        <v>4</v>
      </c>
      <c r="AN104" t="n">
        <v>1</v>
      </c>
      <c r="AO104" t="n">
        <v>1</v>
      </c>
      <c r="AP104" t="n">
        <v>0</v>
      </c>
      <c r="AQ104" t="n">
        <v>0</v>
      </c>
      <c r="AR104" t="inlineStr">
        <is>
          <t>No</t>
        </is>
      </c>
      <c r="AS104" t="inlineStr">
        <is>
          <t>No</t>
        </is>
      </c>
      <c r="AU104">
        <f>HYPERLINK("https://creighton-primo.hosted.exlibrisgroup.com/primo-explore/search?tab=default_tab&amp;search_scope=EVERYTHING&amp;vid=01CRU&amp;lang=en_US&amp;offset=0&amp;query=any,contains,991001033179702656","Catalog Record")</f>
        <v/>
      </c>
      <c r="AV104">
        <f>HYPERLINK("http://www.worldcat.org/oclc/4883265","WorldCat Record")</f>
        <v/>
      </c>
      <c r="AW104" t="inlineStr">
        <is>
          <t>15075357:eng</t>
        </is>
      </c>
      <c r="AX104" t="inlineStr">
        <is>
          <t>4883265</t>
        </is>
      </c>
      <c r="AY104" t="inlineStr">
        <is>
          <t>991001033179702656</t>
        </is>
      </c>
      <c r="AZ104" t="inlineStr">
        <is>
          <t>991001033179702656</t>
        </is>
      </c>
      <c r="BA104" t="inlineStr">
        <is>
          <t>2264124440002656</t>
        </is>
      </c>
      <c r="BB104" t="inlineStr">
        <is>
          <t>BOOK</t>
        </is>
      </c>
      <c r="BE104" t="inlineStr">
        <is>
          <t>30001000240236</t>
        </is>
      </c>
      <c r="BF104" t="inlineStr">
        <is>
          <t>893632676</t>
        </is>
      </c>
    </row>
    <row r="105">
      <c r="A105" t="inlineStr">
        <is>
          <t>No</t>
        </is>
      </c>
      <c r="B105" t="inlineStr">
        <is>
          <t>CUHSL</t>
        </is>
      </c>
      <c r="C105" t="inlineStr">
        <is>
          <t>SHELVES</t>
        </is>
      </c>
      <c r="D105" t="inlineStr">
        <is>
          <t>WY 16 E96 1994</t>
        </is>
      </c>
      <c r="E105" t="inlineStr">
        <is>
          <t>0                      WY 0016000E  96          1994</t>
        </is>
      </c>
      <c r="F105" t="inlineStr">
        <is>
          <t>Expanding the role of the nurse : the scope of professional practice / edited by Geoffrey Hunt, Paul Wainwright.</t>
        </is>
      </c>
      <c r="H105" t="inlineStr">
        <is>
          <t>No</t>
        </is>
      </c>
      <c r="I105" t="inlineStr">
        <is>
          <t>1</t>
        </is>
      </c>
      <c r="J105" t="inlineStr">
        <is>
          <t>No</t>
        </is>
      </c>
      <c r="K105" t="inlineStr">
        <is>
          <t>No</t>
        </is>
      </c>
      <c r="L105" t="inlineStr">
        <is>
          <t>0</t>
        </is>
      </c>
      <c r="N105" t="inlineStr">
        <is>
          <t>Oxford ; Boston : Blackwell Scientific Publications, 1994.</t>
        </is>
      </c>
      <c r="O105" t="inlineStr">
        <is>
          <t>1994</t>
        </is>
      </c>
      <c r="Q105" t="inlineStr">
        <is>
          <t>eng</t>
        </is>
      </c>
      <c r="R105" t="inlineStr">
        <is>
          <t>enk</t>
        </is>
      </c>
      <c r="T105" t="inlineStr">
        <is>
          <t xml:space="preserve">WY </t>
        </is>
      </c>
      <c r="U105" t="n">
        <v>6</v>
      </c>
      <c r="V105" t="n">
        <v>6</v>
      </c>
      <c r="W105" t="inlineStr">
        <is>
          <t>1996-02-06</t>
        </is>
      </c>
      <c r="X105" t="inlineStr">
        <is>
          <t>1996-02-06</t>
        </is>
      </c>
      <c r="Y105" t="inlineStr">
        <is>
          <t>1994-09-12</t>
        </is>
      </c>
      <c r="Z105" t="inlineStr">
        <is>
          <t>1994-09-12</t>
        </is>
      </c>
      <c r="AA105" t="n">
        <v>198</v>
      </c>
      <c r="AB105" t="n">
        <v>79</v>
      </c>
      <c r="AC105" t="n">
        <v>80</v>
      </c>
      <c r="AD105" t="n">
        <v>1</v>
      </c>
      <c r="AE105" t="n">
        <v>1</v>
      </c>
      <c r="AF105" t="n">
        <v>4</v>
      </c>
      <c r="AG105" t="n">
        <v>4</v>
      </c>
      <c r="AH105" t="n">
        <v>2</v>
      </c>
      <c r="AI105" t="n">
        <v>2</v>
      </c>
      <c r="AJ105" t="n">
        <v>0</v>
      </c>
      <c r="AK105" t="n">
        <v>0</v>
      </c>
      <c r="AL105" t="n">
        <v>4</v>
      </c>
      <c r="AM105" t="n">
        <v>4</v>
      </c>
      <c r="AN105" t="n">
        <v>0</v>
      </c>
      <c r="AO105" t="n">
        <v>0</v>
      </c>
      <c r="AP105" t="n">
        <v>0</v>
      </c>
      <c r="AQ105" t="n">
        <v>0</v>
      </c>
      <c r="AR105" t="inlineStr">
        <is>
          <t>No</t>
        </is>
      </c>
      <c r="AS105" t="inlineStr">
        <is>
          <t>No</t>
        </is>
      </c>
      <c r="AU105">
        <f>HYPERLINK("https://creighton-primo.hosted.exlibrisgroup.com/primo-explore/search?tab=default_tab&amp;search_scope=EVERYTHING&amp;vid=01CRU&amp;lang=en_US&amp;offset=0&amp;query=any,contains,991000677949702656","Catalog Record")</f>
        <v/>
      </c>
      <c r="AV105">
        <f>HYPERLINK("http://www.worldcat.org/oclc/29565150","WorldCat Record")</f>
        <v/>
      </c>
      <c r="AW105" t="inlineStr">
        <is>
          <t>836728970:eng</t>
        </is>
      </c>
      <c r="AX105" t="inlineStr">
        <is>
          <t>29565150</t>
        </is>
      </c>
      <c r="AY105" t="inlineStr">
        <is>
          <t>991000677949702656</t>
        </is>
      </c>
      <c r="AZ105" t="inlineStr">
        <is>
          <t>991000677949702656</t>
        </is>
      </c>
      <c r="BA105" t="inlineStr">
        <is>
          <t>2255626450002656</t>
        </is>
      </c>
      <c r="BB105" t="inlineStr">
        <is>
          <t>BOOK</t>
        </is>
      </c>
      <c r="BD105" t="inlineStr">
        <is>
          <t>9780632036042</t>
        </is>
      </c>
      <c r="BE105" t="inlineStr">
        <is>
          <t>30001002696831</t>
        </is>
      </c>
      <c r="BF105" t="inlineStr">
        <is>
          <t>893726484</t>
        </is>
      </c>
    </row>
    <row r="106">
      <c r="A106" t="inlineStr">
        <is>
          <t>No</t>
        </is>
      </c>
      <c r="B106" t="inlineStr">
        <is>
          <t>CUHSL</t>
        </is>
      </c>
      <c r="C106" t="inlineStr">
        <is>
          <t>SHELVES</t>
        </is>
      </c>
      <c r="D106" t="inlineStr">
        <is>
          <t>WY 16 F996 1974</t>
        </is>
      </c>
      <c r="E106" t="inlineStr">
        <is>
          <t>0                      WY 0016000F  996         1974</t>
        </is>
      </c>
      <c r="F106" t="inlineStr">
        <is>
          <t>The future is now : presentations at the conference of the Northeast Regional Assembly of Constituent Leagues for Nursing.</t>
        </is>
      </c>
      <c r="H106" t="inlineStr">
        <is>
          <t>No</t>
        </is>
      </c>
      <c r="I106" t="inlineStr">
        <is>
          <t>1</t>
        </is>
      </c>
      <c r="J106" t="inlineStr">
        <is>
          <t>No</t>
        </is>
      </c>
      <c r="K106" t="inlineStr">
        <is>
          <t>No</t>
        </is>
      </c>
      <c r="L106" t="inlineStr">
        <is>
          <t>0</t>
        </is>
      </c>
      <c r="N106" t="inlineStr">
        <is>
          <t>New York : National League for Nursing, Division of Community Planning, c1974.</t>
        </is>
      </c>
      <c r="O106" t="inlineStr">
        <is>
          <t>1974</t>
        </is>
      </c>
      <c r="Q106" t="inlineStr">
        <is>
          <t>eng</t>
        </is>
      </c>
      <c r="R106" t="inlineStr">
        <is>
          <t>nyu</t>
        </is>
      </c>
      <c r="S106" t="inlineStr">
        <is>
          <t>NLN pub. no. 52-1553</t>
        </is>
      </c>
      <c r="T106" t="inlineStr">
        <is>
          <t xml:space="preserve">WY </t>
        </is>
      </c>
      <c r="U106" t="n">
        <v>2</v>
      </c>
      <c r="V106" t="n">
        <v>2</v>
      </c>
      <c r="W106" t="inlineStr">
        <is>
          <t>2008-01-08</t>
        </is>
      </c>
      <c r="X106" t="inlineStr">
        <is>
          <t>2008-01-08</t>
        </is>
      </c>
      <c r="Y106" t="inlineStr">
        <is>
          <t>1987-11-18</t>
        </is>
      </c>
      <c r="Z106" t="inlineStr">
        <is>
          <t>1987-11-18</t>
        </is>
      </c>
      <c r="AA106" t="n">
        <v>72</v>
      </c>
      <c r="AB106" t="n">
        <v>62</v>
      </c>
      <c r="AC106" t="n">
        <v>64</v>
      </c>
      <c r="AD106" t="n">
        <v>1</v>
      </c>
      <c r="AE106" t="n">
        <v>1</v>
      </c>
      <c r="AF106" t="n">
        <v>1</v>
      </c>
      <c r="AG106" t="n">
        <v>1</v>
      </c>
      <c r="AH106" t="n">
        <v>0</v>
      </c>
      <c r="AI106" t="n">
        <v>0</v>
      </c>
      <c r="AJ106" t="n">
        <v>0</v>
      </c>
      <c r="AK106" t="n">
        <v>0</v>
      </c>
      <c r="AL106" t="n">
        <v>1</v>
      </c>
      <c r="AM106" t="n">
        <v>1</v>
      </c>
      <c r="AN106" t="n">
        <v>0</v>
      </c>
      <c r="AO106" t="n">
        <v>0</v>
      </c>
      <c r="AP106" t="n">
        <v>0</v>
      </c>
      <c r="AQ106" t="n">
        <v>0</v>
      </c>
      <c r="AR106" t="inlineStr">
        <is>
          <t>No</t>
        </is>
      </c>
      <c r="AS106" t="inlineStr">
        <is>
          <t>Yes</t>
        </is>
      </c>
      <c r="AT106">
        <f>HYPERLINK("http://catalog.hathitrust.org/Record/001574039","HathiTrust Record")</f>
        <v/>
      </c>
      <c r="AU106">
        <f>HYPERLINK("https://creighton-primo.hosted.exlibrisgroup.com/primo-explore/search?tab=default_tab&amp;search_scope=EVERYTHING&amp;vid=01CRU&amp;lang=en_US&amp;offset=0&amp;query=any,contains,991001516149702656","Catalog Record")</f>
        <v/>
      </c>
      <c r="AV106">
        <f>HYPERLINK("http://www.worldcat.org/oclc/1218856","WorldCat Record")</f>
        <v/>
      </c>
      <c r="AW106" t="inlineStr">
        <is>
          <t>2112730:eng</t>
        </is>
      </c>
      <c r="AX106" t="inlineStr">
        <is>
          <t>1218856</t>
        </is>
      </c>
      <c r="AY106" t="inlineStr">
        <is>
          <t>991001516149702656</t>
        </is>
      </c>
      <c r="AZ106" t="inlineStr">
        <is>
          <t>991001516149702656</t>
        </is>
      </c>
      <c r="BA106" t="inlineStr">
        <is>
          <t>2268339690002656</t>
        </is>
      </c>
      <c r="BB106" t="inlineStr">
        <is>
          <t>BOOK</t>
        </is>
      </c>
      <c r="BE106" t="inlineStr">
        <is>
          <t>30001000600025</t>
        </is>
      </c>
      <c r="BF106" t="inlineStr">
        <is>
          <t>893652054</t>
        </is>
      </c>
    </row>
    <row r="107">
      <c r="A107" t="inlineStr">
        <is>
          <t>No</t>
        </is>
      </c>
      <c r="B107" t="inlineStr">
        <is>
          <t>CUHSL</t>
        </is>
      </c>
      <c r="C107" t="inlineStr">
        <is>
          <t>SHELVES</t>
        </is>
      </c>
      <c r="D107" t="inlineStr">
        <is>
          <t>WY 16 G197h 1982</t>
        </is>
      </c>
      <c r="E107" t="inlineStr">
        <is>
          <t>0                      WY 0016000G  197h        1982</t>
        </is>
      </c>
      <c r="F107" t="inlineStr">
        <is>
          <t>HELP with career ladders in nursing : applying the wide-track careers concept, a management guide / by Joan and Warren Ganong.</t>
        </is>
      </c>
      <c r="H107" t="inlineStr">
        <is>
          <t>No</t>
        </is>
      </c>
      <c r="I107" t="inlineStr">
        <is>
          <t>1</t>
        </is>
      </c>
      <c r="J107" t="inlineStr">
        <is>
          <t>No</t>
        </is>
      </c>
      <c r="K107" t="inlineStr">
        <is>
          <t>No</t>
        </is>
      </c>
      <c r="L107" t="inlineStr">
        <is>
          <t>0</t>
        </is>
      </c>
      <c r="M107" t="inlineStr">
        <is>
          <t>Ganong, Joan M.</t>
        </is>
      </c>
      <c r="N107" t="inlineStr">
        <is>
          <t>Chapel Hill, North Carolina : W.L. Ganong Company, c1982.</t>
        </is>
      </c>
      <c r="O107" t="inlineStr">
        <is>
          <t>1982</t>
        </is>
      </c>
      <c r="Q107" t="inlineStr">
        <is>
          <t>eng</t>
        </is>
      </c>
      <c r="R107" t="inlineStr">
        <is>
          <t>ncu</t>
        </is>
      </c>
      <c r="S107" t="inlineStr">
        <is>
          <t>HELP ; no. 6</t>
        </is>
      </c>
      <c r="T107" t="inlineStr">
        <is>
          <t xml:space="preserve">WY </t>
        </is>
      </c>
      <c r="U107" t="n">
        <v>6</v>
      </c>
      <c r="V107" t="n">
        <v>6</v>
      </c>
      <c r="W107" t="inlineStr">
        <is>
          <t>2002-08-30</t>
        </is>
      </c>
      <c r="X107" t="inlineStr">
        <is>
          <t>2002-08-30</t>
        </is>
      </c>
      <c r="Y107" t="inlineStr">
        <is>
          <t>1987-12-22</t>
        </is>
      </c>
      <c r="Z107" t="inlineStr">
        <is>
          <t>1987-12-22</t>
        </is>
      </c>
      <c r="AA107" t="n">
        <v>10</v>
      </c>
      <c r="AB107" t="n">
        <v>9</v>
      </c>
      <c r="AC107" t="n">
        <v>9</v>
      </c>
      <c r="AD107" t="n">
        <v>1</v>
      </c>
      <c r="AE107" t="n">
        <v>1</v>
      </c>
      <c r="AF107" t="n">
        <v>0</v>
      </c>
      <c r="AG107" t="n">
        <v>0</v>
      </c>
      <c r="AH107" t="n">
        <v>0</v>
      </c>
      <c r="AI107" t="n">
        <v>0</v>
      </c>
      <c r="AJ107" t="n">
        <v>0</v>
      </c>
      <c r="AK107" t="n">
        <v>0</v>
      </c>
      <c r="AL107" t="n">
        <v>0</v>
      </c>
      <c r="AM107" t="n">
        <v>0</v>
      </c>
      <c r="AN107" t="n">
        <v>0</v>
      </c>
      <c r="AO107" t="n">
        <v>0</v>
      </c>
      <c r="AP107" t="n">
        <v>0</v>
      </c>
      <c r="AQ107" t="n">
        <v>0</v>
      </c>
      <c r="AR107" t="inlineStr">
        <is>
          <t>No</t>
        </is>
      </c>
      <c r="AS107" t="inlineStr">
        <is>
          <t>No</t>
        </is>
      </c>
      <c r="AU107">
        <f>HYPERLINK("https://creighton-primo.hosted.exlibrisgroup.com/primo-explore/search?tab=default_tab&amp;search_scope=EVERYTHING&amp;vid=01CRU&amp;lang=en_US&amp;offset=0&amp;query=any,contains,991001033219702656","Catalog Record")</f>
        <v/>
      </c>
      <c r="AV107">
        <f>HYPERLINK("http://www.worldcat.org/oclc/10629093","WorldCat Record")</f>
        <v/>
      </c>
      <c r="AW107" t="inlineStr">
        <is>
          <t>3235281:eng</t>
        </is>
      </c>
      <c r="AX107" t="inlineStr">
        <is>
          <t>10629093</t>
        </is>
      </c>
      <c r="AY107" t="inlineStr">
        <is>
          <t>991001033219702656</t>
        </is>
      </c>
      <c r="AZ107" t="inlineStr">
        <is>
          <t>991001033219702656</t>
        </is>
      </c>
      <c r="BA107" t="inlineStr">
        <is>
          <t>2268697470002656</t>
        </is>
      </c>
      <c r="BB107" t="inlineStr">
        <is>
          <t>BOOK</t>
        </is>
      </c>
      <c r="BD107" t="inlineStr">
        <is>
          <t>9780933036314</t>
        </is>
      </c>
      <c r="BE107" t="inlineStr">
        <is>
          <t>30001000240244</t>
        </is>
      </c>
      <c r="BF107" t="inlineStr">
        <is>
          <t>893740691</t>
        </is>
      </c>
    </row>
    <row r="108">
      <c r="A108" t="inlineStr">
        <is>
          <t>No</t>
        </is>
      </c>
      <c r="B108" t="inlineStr">
        <is>
          <t>CUHSL</t>
        </is>
      </c>
      <c r="C108" t="inlineStr">
        <is>
          <t>SHELVES</t>
        </is>
      </c>
      <c r="D108" t="inlineStr">
        <is>
          <t>WY 16 G624p 1990</t>
        </is>
      </c>
      <c r="E108" t="inlineStr">
        <is>
          <t>0                      WY 0016000G  624p        1990</t>
        </is>
      </c>
      <c r="F108" t="inlineStr">
        <is>
          <t>Prescription for nurses : effective political action / Marilyn Goldwater, with Mary Jane Lloyd Zusy.</t>
        </is>
      </c>
      <c r="H108" t="inlineStr">
        <is>
          <t>No</t>
        </is>
      </c>
      <c r="I108" t="inlineStr">
        <is>
          <t>1</t>
        </is>
      </c>
      <c r="J108" t="inlineStr">
        <is>
          <t>No</t>
        </is>
      </c>
      <c r="K108" t="inlineStr">
        <is>
          <t>No</t>
        </is>
      </c>
      <c r="L108" t="inlineStr">
        <is>
          <t>0</t>
        </is>
      </c>
      <c r="M108" t="inlineStr">
        <is>
          <t>Goldwater, Marilyn.</t>
        </is>
      </c>
      <c r="N108" t="inlineStr">
        <is>
          <t>St. Louis : Mosby, c1990.</t>
        </is>
      </c>
      <c r="O108" t="inlineStr">
        <is>
          <t>1990</t>
        </is>
      </c>
      <c r="Q108" t="inlineStr">
        <is>
          <t>eng</t>
        </is>
      </c>
      <c r="R108" t="inlineStr">
        <is>
          <t>xxu</t>
        </is>
      </c>
      <c r="T108" t="inlineStr">
        <is>
          <t xml:space="preserve">WY </t>
        </is>
      </c>
      <c r="U108" t="n">
        <v>7</v>
      </c>
      <c r="V108" t="n">
        <v>7</v>
      </c>
      <c r="W108" t="inlineStr">
        <is>
          <t>1996-06-11</t>
        </is>
      </c>
      <c r="X108" t="inlineStr">
        <is>
          <t>1996-06-11</t>
        </is>
      </c>
      <c r="Y108" t="inlineStr">
        <is>
          <t>1991-02-16</t>
        </is>
      </c>
      <c r="Z108" t="inlineStr">
        <is>
          <t>1991-02-16</t>
        </is>
      </c>
      <c r="AA108" t="n">
        <v>279</v>
      </c>
      <c r="AB108" t="n">
        <v>235</v>
      </c>
      <c r="AC108" t="n">
        <v>242</v>
      </c>
      <c r="AD108" t="n">
        <v>2</v>
      </c>
      <c r="AE108" t="n">
        <v>2</v>
      </c>
      <c r="AF108" t="n">
        <v>8</v>
      </c>
      <c r="AG108" t="n">
        <v>8</v>
      </c>
      <c r="AH108" t="n">
        <v>4</v>
      </c>
      <c r="AI108" t="n">
        <v>4</v>
      </c>
      <c r="AJ108" t="n">
        <v>1</v>
      </c>
      <c r="AK108" t="n">
        <v>1</v>
      </c>
      <c r="AL108" t="n">
        <v>4</v>
      </c>
      <c r="AM108" t="n">
        <v>4</v>
      </c>
      <c r="AN108" t="n">
        <v>1</v>
      </c>
      <c r="AO108" t="n">
        <v>1</v>
      </c>
      <c r="AP108" t="n">
        <v>0</v>
      </c>
      <c r="AQ108" t="n">
        <v>0</v>
      </c>
      <c r="AR108" t="inlineStr">
        <is>
          <t>No</t>
        </is>
      </c>
      <c r="AS108" t="inlineStr">
        <is>
          <t>Yes</t>
        </is>
      </c>
      <c r="AT108">
        <f>HYPERLINK("http://catalog.hathitrust.org/Record/001955634","HathiTrust Record")</f>
        <v/>
      </c>
      <c r="AU108">
        <f>HYPERLINK("https://creighton-primo.hosted.exlibrisgroup.com/primo-explore/search?tab=default_tab&amp;search_scope=EVERYTHING&amp;vid=01CRU&amp;lang=en_US&amp;offset=0&amp;query=any,contains,991000820789702656","Catalog Record")</f>
        <v/>
      </c>
      <c r="AV108">
        <f>HYPERLINK("http://www.worldcat.org/oclc/20167573","WorldCat Record")</f>
        <v/>
      </c>
      <c r="AW108" t="inlineStr">
        <is>
          <t>427414365:eng</t>
        </is>
      </c>
      <c r="AX108" t="inlineStr">
        <is>
          <t>20167573</t>
        </is>
      </c>
      <c r="AY108" t="inlineStr">
        <is>
          <t>991000820789702656</t>
        </is>
      </c>
      <c r="AZ108" t="inlineStr">
        <is>
          <t>991000820789702656</t>
        </is>
      </c>
      <c r="BA108" t="inlineStr">
        <is>
          <t>2258051510002656</t>
        </is>
      </c>
      <c r="BB108" t="inlineStr">
        <is>
          <t>BOOK</t>
        </is>
      </c>
      <c r="BD108" t="inlineStr">
        <is>
          <t>9780801628511</t>
        </is>
      </c>
      <c r="BE108" t="inlineStr">
        <is>
          <t>30001002087502</t>
        </is>
      </c>
      <c r="BF108" t="inlineStr">
        <is>
          <t>893731341</t>
        </is>
      </c>
    </row>
    <row r="109">
      <c r="A109" t="inlineStr">
        <is>
          <t>No</t>
        </is>
      </c>
      <c r="B109" t="inlineStr">
        <is>
          <t>CUHSL</t>
        </is>
      </c>
      <c r="C109" t="inlineStr">
        <is>
          <t>SHELVES</t>
        </is>
      </c>
      <c r="D109" t="inlineStr">
        <is>
          <t>WY 16 G868n 1989</t>
        </is>
      </c>
      <c r="E109" t="inlineStr">
        <is>
          <t>0                      WY 0016000G  868n        1989</t>
        </is>
      </c>
      <c r="F109" t="inlineStr">
        <is>
          <t>Nursing perspectives and issues / Gloria M. Grippando, Paula Mitchell.</t>
        </is>
      </c>
      <c r="H109" t="inlineStr">
        <is>
          <t>No</t>
        </is>
      </c>
      <c r="I109" t="inlineStr">
        <is>
          <t>1</t>
        </is>
      </c>
      <c r="J109" t="inlineStr">
        <is>
          <t>No</t>
        </is>
      </c>
      <c r="K109" t="inlineStr">
        <is>
          <t>No</t>
        </is>
      </c>
      <c r="L109" t="inlineStr">
        <is>
          <t>0</t>
        </is>
      </c>
      <c r="M109" t="inlineStr">
        <is>
          <t>Grippando, Gloria M.</t>
        </is>
      </c>
      <c r="N109" t="inlineStr">
        <is>
          <t>Albany, N.Y. : Delmar Publishers, c1989.</t>
        </is>
      </c>
      <c r="O109" t="inlineStr">
        <is>
          <t>1989</t>
        </is>
      </c>
      <c r="P109" t="inlineStr">
        <is>
          <t>4th ed. / contributing author, Cynthia E. Northrop.</t>
        </is>
      </c>
      <c r="Q109" t="inlineStr">
        <is>
          <t>eng</t>
        </is>
      </c>
      <c r="R109" t="inlineStr">
        <is>
          <t>xxu</t>
        </is>
      </c>
      <c r="T109" t="inlineStr">
        <is>
          <t xml:space="preserve">WY </t>
        </is>
      </c>
      <c r="U109" t="n">
        <v>2</v>
      </c>
      <c r="V109" t="n">
        <v>2</v>
      </c>
      <c r="W109" t="inlineStr">
        <is>
          <t>1990-10-22</t>
        </is>
      </c>
      <c r="X109" t="inlineStr">
        <is>
          <t>1990-10-22</t>
        </is>
      </c>
      <c r="Y109" t="inlineStr">
        <is>
          <t>1989-08-08</t>
        </is>
      </c>
      <c r="Z109" t="inlineStr">
        <is>
          <t>1989-08-08</t>
        </is>
      </c>
      <c r="AA109" t="n">
        <v>146</v>
      </c>
      <c r="AB109" t="n">
        <v>110</v>
      </c>
      <c r="AC109" t="n">
        <v>398</v>
      </c>
      <c r="AD109" t="n">
        <v>2</v>
      </c>
      <c r="AE109" t="n">
        <v>3</v>
      </c>
      <c r="AF109" t="n">
        <v>1</v>
      </c>
      <c r="AG109" t="n">
        <v>10</v>
      </c>
      <c r="AH109" t="n">
        <v>0</v>
      </c>
      <c r="AI109" t="n">
        <v>4</v>
      </c>
      <c r="AJ109" t="n">
        <v>0</v>
      </c>
      <c r="AK109" t="n">
        <v>2</v>
      </c>
      <c r="AL109" t="n">
        <v>1</v>
      </c>
      <c r="AM109" t="n">
        <v>4</v>
      </c>
      <c r="AN109" t="n">
        <v>0</v>
      </c>
      <c r="AO109" t="n">
        <v>1</v>
      </c>
      <c r="AP109" t="n">
        <v>0</v>
      </c>
      <c r="AQ109" t="n">
        <v>0</v>
      </c>
      <c r="AR109" t="inlineStr">
        <is>
          <t>No</t>
        </is>
      </c>
      <c r="AS109" t="inlineStr">
        <is>
          <t>Yes</t>
        </is>
      </c>
      <c r="AT109">
        <f>HYPERLINK("http://catalog.hathitrust.org/Record/002059122","HathiTrust Record")</f>
        <v/>
      </c>
      <c r="AU109">
        <f>HYPERLINK("https://creighton-primo.hosted.exlibrisgroup.com/primo-explore/search?tab=default_tab&amp;search_scope=EVERYTHING&amp;vid=01CRU&amp;lang=en_US&amp;offset=0&amp;query=any,contains,991001312679702656","Catalog Record")</f>
        <v/>
      </c>
      <c r="AV109">
        <f>HYPERLINK("http://www.worldcat.org/oclc/18716020","WorldCat Record")</f>
        <v/>
      </c>
      <c r="AW109" t="inlineStr">
        <is>
          <t>6556198:eng</t>
        </is>
      </c>
      <c r="AX109" t="inlineStr">
        <is>
          <t>18716020</t>
        </is>
      </c>
      <c r="AY109" t="inlineStr">
        <is>
          <t>991001312679702656</t>
        </is>
      </c>
      <c r="AZ109" t="inlineStr">
        <is>
          <t>991001312679702656</t>
        </is>
      </c>
      <c r="BA109" t="inlineStr">
        <is>
          <t>2263528200002656</t>
        </is>
      </c>
      <c r="BB109" t="inlineStr">
        <is>
          <t>BOOK</t>
        </is>
      </c>
      <c r="BD109" t="inlineStr">
        <is>
          <t>9780827334663</t>
        </is>
      </c>
      <c r="BE109" t="inlineStr">
        <is>
          <t>30001001751454</t>
        </is>
      </c>
      <c r="BF109" t="inlineStr">
        <is>
          <t>893284682</t>
        </is>
      </c>
    </row>
    <row r="110">
      <c r="A110" t="inlineStr">
        <is>
          <t>No</t>
        </is>
      </c>
      <c r="B110" t="inlineStr">
        <is>
          <t>CUHSL</t>
        </is>
      </c>
      <c r="C110" t="inlineStr">
        <is>
          <t>SHELVES</t>
        </is>
      </c>
      <c r="D110" t="inlineStr">
        <is>
          <t>WY 16 H219r 1992</t>
        </is>
      </c>
      <c r="E110" t="inlineStr">
        <is>
          <t>0                      WY 0016000H  219r        1992</t>
        </is>
      </c>
      <c r="F110" t="inlineStr">
        <is>
          <t>Realities of contemporary nursing / Persis Mary Hamilton.</t>
        </is>
      </c>
      <c r="H110" t="inlineStr">
        <is>
          <t>No</t>
        </is>
      </c>
      <c r="I110" t="inlineStr">
        <is>
          <t>1</t>
        </is>
      </c>
      <c r="J110" t="inlineStr">
        <is>
          <t>No</t>
        </is>
      </c>
      <c r="K110" t="inlineStr">
        <is>
          <t>No</t>
        </is>
      </c>
      <c r="L110" t="inlineStr">
        <is>
          <t>0</t>
        </is>
      </c>
      <c r="M110" t="inlineStr">
        <is>
          <t>Hamilton, Persis Mary.</t>
        </is>
      </c>
      <c r="N110" t="inlineStr">
        <is>
          <t>[Redwood City, CA] : Addison-Wesley Nursing; c1992.</t>
        </is>
      </c>
      <c r="O110" t="inlineStr">
        <is>
          <t>1992</t>
        </is>
      </c>
      <c r="Q110" t="inlineStr">
        <is>
          <t>eng</t>
        </is>
      </c>
      <c r="R110" t="inlineStr">
        <is>
          <t>cau</t>
        </is>
      </c>
      <c r="T110" t="inlineStr">
        <is>
          <t xml:space="preserve">WY </t>
        </is>
      </c>
      <c r="U110" t="n">
        <v>11</v>
      </c>
      <c r="V110" t="n">
        <v>11</v>
      </c>
      <c r="W110" t="inlineStr">
        <is>
          <t>1997-04-24</t>
        </is>
      </c>
      <c r="X110" t="inlineStr">
        <is>
          <t>1997-04-24</t>
        </is>
      </c>
      <c r="Y110" t="inlineStr">
        <is>
          <t>1993-03-26</t>
        </is>
      </c>
      <c r="Z110" t="inlineStr">
        <is>
          <t>1993-03-26</t>
        </is>
      </c>
      <c r="AA110" t="n">
        <v>236</v>
      </c>
      <c r="AB110" t="n">
        <v>197</v>
      </c>
      <c r="AC110" t="n">
        <v>359</v>
      </c>
      <c r="AD110" t="n">
        <v>2</v>
      </c>
      <c r="AE110" t="n">
        <v>2</v>
      </c>
      <c r="AF110" t="n">
        <v>8</v>
      </c>
      <c r="AG110" t="n">
        <v>12</v>
      </c>
      <c r="AH110" t="n">
        <v>3</v>
      </c>
      <c r="AI110" t="n">
        <v>5</v>
      </c>
      <c r="AJ110" t="n">
        <v>2</v>
      </c>
      <c r="AK110" t="n">
        <v>2</v>
      </c>
      <c r="AL110" t="n">
        <v>5</v>
      </c>
      <c r="AM110" t="n">
        <v>7</v>
      </c>
      <c r="AN110" t="n">
        <v>1</v>
      </c>
      <c r="AO110" t="n">
        <v>1</v>
      </c>
      <c r="AP110" t="n">
        <v>0</v>
      </c>
      <c r="AQ110" t="n">
        <v>0</v>
      </c>
      <c r="AR110" t="inlineStr">
        <is>
          <t>No</t>
        </is>
      </c>
      <c r="AS110" t="inlineStr">
        <is>
          <t>Yes</t>
        </is>
      </c>
      <c r="AT110">
        <f>HYPERLINK("http://catalog.hathitrust.org/Record/002975554","HathiTrust Record")</f>
        <v/>
      </c>
      <c r="AU110">
        <f>HYPERLINK("https://creighton-primo.hosted.exlibrisgroup.com/primo-explore/search?tab=default_tab&amp;search_scope=EVERYTHING&amp;vid=01CRU&amp;lang=en_US&amp;offset=0&amp;query=any,contains,991001476389702656","Catalog Record")</f>
        <v/>
      </c>
      <c r="AV110">
        <f>HYPERLINK("http://www.worldcat.org/oclc/24010894","WorldCat Record")</f>
        <v/>
      </c>
      <c r="AW110" t="inlineStr">
        <is>
          <t>25001877:eng</t>
        </is>
      </c>
      <c r="AX110" t="inlineStr">
        <is>
          <t>24010894</t>
        </is>
      </c>
      <c r="AY110" t="inlineStr">
        <is>
          <t>991001476389702656</t>
        </is>
      </c>
      <c r="AZ110" t="inlineStr">
        <is>
          <t>991001476389702656</t>
        </is>
      </c>
      <c r="BA110" t="inlineStr">
        <is>
          <t>2264627020002656</t>
        </is>
      </c>
      <c r="BB110" t="inlineStr">
        <is>
          <t>BOOK</t>
        </is>
      </c>
      <c r="BD110" t="inlineStr">
        <is>
          <t>9780201066753</t>
        </is>
      </c>
      <c r="BE110" t="inlineStr">
        <is>
          <t>30001002563411</t>
        </is>
      </c>
      <c r="BF110" t="inlineStr">
        <is>
          <t>893121528</t>
        </is>
      </c>
    </row>
    <row r="111">
      <c r="A111" t="inlineStr">
        <is>
          <t>No</t>
        </is>
      </c>
      <c r="B111" t="inlineStr">
        <is>
          <t>CUHSL</t>
        </is>
      </c>
      <c r="C111" t="inlineStr">
        <is>
          <t>SHELVES</t>
        </is>
      </c>
      <c r="D111" t="inlineStr">
        <is>
          <t>WY 16 H496m 1994</t>
        </is>
      </c>
      <c r="E111" t="inlineStr">
        <is>
          <t>0                      WY 0016000H  496m        1994</t>
        </is>
      </c>
      <c r="F111" t="inlineStr">
        <is>
          <t>Managing your career in nursing / Frances C. Henderson, Barbara O. McGettigan.</t>
        </is>
      </c>
      <c r="H111" t="inlineStr">
        <is>
          <t>No</t>
        </is>
      </c>
      <c r="I111" t="inlineStr">
        <is>
          <t>1</t>
        </is>
      </c>
      <c r="J111" t="inlineStr">
        <is>
          <t>No</t>
        </is>
      </c>
      <c r="K111" t="inlineStr">
        <is>
          <t>No</t>
        </is>
      </c>
      <c r="L111" t="inlineStr">
        <is>
          <t>0</t>
        </is>
      </c>
      <c r="M111" t="inlineStr">
        <is>
          <t>Henderson, Frances C.</t>
        </is>
      </c>
      <c r="N111" t="inlineStr">
        <is>
          <t>New York : National League for Nursing Press, c1994.</t>
        </is>
      </c>
      <c r="O111" t="inlineStr">
        <is>
          <t>1994</t>
        </is>
      </c>
      <c r="P111" t="inlineStr">
        <is>
          <t>2nd ed.</t>
        </is>
      </c>
      <c r="Q111" t="inlineStr">
        <is>
          <t>eng</t>
        </is>
      </c>
      <c r="R111" t="inlineStr">
        <is>
          <t>nyu</t>
        </is>
      </c>
      <c r="S111" t="inlineStr">
        <is>
          <t>NLN pub. no. 14-2640</t>
        </is>
      </c>
      <c r="T111" t="inlineStr">
        <is>
          <t xml:space="preserve">WY </t>
        </is>
      </c>
      <c r="U111" t="n">
        <v>4</v>
      </c>
      <c r="V111" t="n">
        <v>4</v>
      </c>
      <c r="W111" t="inlineStr">
        <is>
          <t>2002-08-30</t>
        </is>
      </c>
      <c r="X111" t="inlineStr">
        <is>
          <t>2002-08-30</t>
        </is>
      </c>
      <c r="Y111" t="inlineStr">
        <is>
          <t>2000-06-15</t>
        </is>
      </c>
      <c r="Z111" t="inlineStr">
        <is>
          <t>2000-06-15</t>
        </is>
      </c>
      <c r="AA111" t="n">
        <v>257</v>
      </c>
      <c r="AB111" t="n">
        <v>232</v>
      </c>
      <c r="AC111" t="n">
        <v>293</v>
      </c>
      <c r="AD111" t="n">
        <v>2</v>
      </c>
      <c r="AE111" t="n">
        <v>2</v>
      </c>
      <c r="AF111" t="n">
        <v>10</v>
      </c>
      <c r="AG111" t="n">
        <v>11</v>
      </c>
      <c r="AH111" t="n">
        <v>4</v>
      </c>
      <c r="AI111" t="n">
        <v>4</v>
      </c>
      <c r="AJ111" t="n">
        <v>3</v>
      </c>
      <c r="AK111" t="n">
        <v>3</v>
      </c>
      <c r="AL111" t="n">
        <v>5</v>
      </c>
      <c r="AM111" t="n">
        <v>6</v>
      </c>
      <c r="AN111" t="n">
        <v>0</v>
      </c>
      <c r="AO111" t="n">
        <v>0</v>
      </c>
      <c r="AP111" t="n">
        <v>0</v>
      </c>
      <c r="AQ111" t="n">
        <v>0</v>
      </c>
      <c r="AR111" t="inlineStr">
        <is>
          <t>No</t>
        </is>
      </c>
      <c r="AS111" t="inlineStr">
        <is>
          <t>Yes</t>
        </is>
      </c>
      <c r="AT111">
        <f>HYPERLINK("http://catalog.hathitrust.org/Record/002914682","HathiTrust Record")</f>
        <v/>
      </c>
      <c r="AU111">
        <f>HYPERLINK("https://creighton-primo.hosted.exlibrisgroup.com/primo-explore/search?tab=default_tab&amp;search_scope=EVERYTHING&amp;vid=01CRU&amp;lang=en_US&amp;offset=0&amp;query=any,contains,991000251629702656","Catalog Record")</f>
        <v/>
      </c>
      <c r="AV111">
        <f>HYPERLINK("http://www.worldcat.org/oclc/31423749","WorldCat Record")</f>
        <v/>
      </c>
      <c r="AW111" t="inlineStr">
        <is>
          <t>6873353:eng</t>
        </is>
      </c>
      <c r="AX111" t="inlineStr">
        <is>
          <t>31423749</t>
        </is>
      </c>
      <c r="AY111" t="inlineStr">
        <is>
          <t>991000251629702656</t>
        </is>
      </c>
      <c r="AZ111" t="inlineStr">
        <is>
          <t>991000251629702656</t>
        </is>
      </c>
      <c r="BA111" t="inlineStr">
        <is>
          <t>2260370840002656</t>
        </is>
      </c>
      <c r="BB111" t="inlineStr">
        <is>
          <t>BOOK</t>
        </is>
      </c>
      <c r="BD111" t="inlineStr">
        <is>
          <t>9780887376290</t>
        </is>
      </c>
      <c r="BE111" t="inlineStr">
        <is>
          <t>30001003083062</t>
        </is>
      </c>
      <c r="BF111" t="inlineStr">
        <is>
          <t>893122418</t>
        </is>
      </c>
    </row>
    <row r="112">
      <c r="A112" t="inlineStr">
        <is>
          <t>No</t>
        </is>
      </c>
      <c r="B112" t="inlineStr">
        <is>
          <t>CUHSL</t>
        </is>
      </c>
      <c r="C112" t="inlineStr">
        <is>
          <t>SHELVES</t>
        </is>
      </c>
      <c r="D112" t="inlineStr">
        <is>
          <t>WY 16 H711n 1984</t>
        </is>
      </c>
      <c r="E112" t="inlineStr">
        <is>
          <t>0                      WY 0016000H  711n        1984</t>
        </is>
      </c>
      <c r="F112" t="inlineStr">
        <is>
          <t>New directions for the professional nurse : exploring your career options and discovering great escapes / Vicki Reynolds Hoffman : illustrations by Alice Hedlund and Vicki Reynolds Hoffman.</t>
        </is>
      </c>
      <c r="H112" t="inlineStr">
        <is>
          <t>No</t>
        </is>
      </c>
      <c r="I112" t="inlineStr">
        <is>
          <t>1</t>
        </is>
      </c>
      <c r="J112" t="inlineStr">
        <is>
          <t>No</t>
        </is>
      </c>
      <c r="K112" t="inlineStr">
        <is>
          <t>No</t>
        </is>
      </c>
      <c r="L112" t="inlineStr">
        <is>
          <t>0</t>
        </is>
      </c>
      <c r="M112" t="inlineStr">
        <is>
          <t>Hoffman, Vicki Reynolds.</t>
        </is>
      </c>
      <c r="N112" t="inlineStr">
        <is>
          <t>New York : Arco, c1984.</t>
        </is>
      </c>
      <c r="O112" t="inlineStr">
        <is>
          <t>1984</t>
        </is>
      </c>
      <c r="Q112" t="inlineStr">
        <is>
          <t>eng</t>
        </is>
      </c>
      <c r="R112" t="inlineStr">
        <is>
          <t>xxu</t>
        </is>
      </c>
      <c r="T112" t="inlineStr">
        <is>
          <t xml:space="preserve">WY </t>
        </is>
      </c>
      <c r="U112" t="n">
        <v>4</v>
      </c>
      <c r="V112" t="n">
        <v>4</v>
      </c>
      <c r="W112" t="inlineStr">
        <is>
          <t>1993-08-06</t>
        </is>
      </c>
      <c r="X112" t="inlineStr">
        <is>
          <t>1993-08-06</t>
        </is>
      </c>
      <c r="Y112" t="inlineStr">
        <is>
          <t>1987-12-22</t>
        </is>
      </c>
      <c r="Z112" t="inlineStr">
        <is>
          <t>1987-12-22</t>
        </is>
      </c>
      <c r="AA112" t="n">
        <v>98</v>
      </c>
      <c r="AB112" t="n">
        <v>86</v>
      </c>
      <c r="AC112" t="n">
        <v>88</v>
      </c>
      <c r="AD112" t="n">
        <v>1</v>
      </c>
      <c r="AE112" t="n">
        <v>1</v>
      </c>
      <c r="AF112" t="n">
        <v>0</v>
      </c>
      <c r="AG112" t="n">
        <v>0</v>
      </c>
      <c r="AH112" t="n">
        <v>0</v>
      </c>
      <c r="AI112" t="n">
        <v>0</v>
      </c>
      <c r="AJ112" t="n">
        <v>0</v>
      </c>
      <c r="AK112" t="n">
        <v>0</v>
      </c>
      <c r="AL112" t="n">
        <v>0</v>
      </c>
      <c r="AM112" t="n">
        <v>0</v>
      </c>
      <c r="AN112" t="n">
        <v>0</v>
      </c>
      <c r="AO112" t="n">
        <v>0</v>
      </c>
      <c r="AP112" t="n">
        <v>0</v>
      </c>
      <c r="AQ112" t="n">
        <v>0</v>
      </c>
      <c r="AR112" t="inlineStr">
        <is>
          <t>No</t>
        </is>
      </c>
      <c r="AS112" t="inlineStr">
        <is>
          <t>Yes</t>
        </is>
      </c>
      <c r="AT112">
        <f>HYPERLINK("http://catalog.hathitrust.org/Record/010661550","HathiTrust Record")</f>
        <v/>
      </c>
      <c r="AU112">
        <f>HYPERLINK("https://creighton-primo.hosted.exlibrisgroup.com/primo-explore/search?tab=default_tab&amp;search_scope=EVERYTHING&amp;vid=01CRU&amp;lang=en_US&amp;offset=0&amp;query=any,contains,991001033449702656","Catalog Record")</f>
        <v/>
      </c>
      <c r="AV112">
        <f>HYPERLINK("http://www.worldcat.org/oclc/9576542","WorldCat Record")</f>
        <v/>
      </c>
      <c r="AW112" t="inlineStr">
        <is>
          <t>1020776922:eng</t>
        </is>
      </c>
      <c r="AX112" t="inlineStr">
        <is>
          <t>9576542</t>
        </is>
      </c>
      <c r="AY112" t="inlineStr">
        <is>
          <t>991001033449702656</t>
        </is>
      </c>
      <c r="AZ112" t="inlineStr">
        <is>
          <t>991001033449702656</t>
        </is>
      </c>
      <c r="BA112" t="inlineStr">
        <is>
          <t>2269169170002656</t>
        </is>
      </c>
      <c r="BB112" t="inlineStr">
        <is>
          <t>BOOK</t>
        </is>
      </c>
      <c r="BD112" t="inlineStr">
        <is>
          <t>9780668052993</t>
        </is>
      </c>
      <c r="BE112" t="inlineStr">
        <is>
          <t>30001000240285</t>
        </is>
      </c>
      <c r="BF112" t="inlineStr">
        <is>
          <t>893731616</t>
        </is>
      </c>
    </row>
    <row r="113">
      <c r="A113" t="inlineStr">
        <is>
          <t>No</t>
        </is>
      </c>
      <c r="B113" t="inlineStr">
        <is>
          <t>CUHSL</t>
        </is>
      </c>
      <c r="C113" t="inlineStr">
        <is>
          <t>SHELVES</t>
        </is>
      </c>
      <c r="D113" t="inlineStr">
        <is>
          <t>WY 16 H885s 1974</t>
        </is>
      </c>
      <c r="E113" t="inlineStr">
        <is>
          <t>0                      WY 0016000H  885s        1974</t>
        </is>
      </c>
      <c r="F113" t="inlineStr">
        <is>
          <t>Source book - nursing personnel / Helen H. Hudson and Margaret D. McCarthy.</t>
        </is>
      </c>
      <c r="H113" t="inlineStr">
        <is>
          <t>No</t>
        </is>
      </c>
      <c r="I113" t="inlineStr">
        <is>
          <t>1</t>
        </is>
      </c>
      <c r="J113" t="inlineStr">
        <is>
          <t>No</t>
        </is>
      </c>
      <c r="K113" t="inlineStr">
        <is>
          <t>No</t>
        </is>
      </c>
      <c r="L113" t="inlineStr">
        <is>
          <t>0</t>
        </is>
      </c>
      <c r="M113" t="inlineStr">
        <is>
          <t>Hudson, Helen H.</t>
        </is>
      </c>
      <c r="N113" t="inlineStr">
        <is>
          <t>Bethesda, Md. : U. S. Division of Nursing, 1974.</t>
        </is>
      </c>
      <c r="O113" t="inlineStr">
        <is>
          <t>1974</t>
        </is>
      </c>
      <c r="Q113" t="inlineStr">
        <is>
          <t>eng</t>
        </is>
      </c>
      <c r="R113" t="inlineStr">
        <is>
          <t>xxu</t>
        </is>
      </c>
      <c r="S113" t="inlineStr">
        <is>
          <t>DHEW publication ; no. (HRA) 75-43</t>
        </is>
      </c>
      <c r="T113" t="inlineStr">
        <is>
          <t xml:space="preserve">WY </t>
        </is>
      </c>
      <c r="U113" t="n">
        <v>3</v>
      </c>
      <c r="V113" t="n">
        <v>3</v>
      </c>
      <c r="W113" t="inlineStr">
        <is>
          <t>1991-09-13</t>
        </is>
      </c>
      <c r="X113" t="inlineStr">
        <is>
          <t>1991-09-13</t>
        </is>
      </c>
      <c r="Y113" t="inlineStr">
        <is>
          <t>1991-09-12</t>
        </is>
      </c>
      <c r="Z113" t="inlineStr">
        <is>
          <t>1991-09-12</t>
        </is>
      </c>
      <c r="AA113" t="n">
        <v>19</v>
      </c>
      <c r="AB113" t="n">
        <v>16</v>
      </c>
      <c r="AC113" t="n">
        <v>121</v>
      </c>
      <c r="AD113" t="n">
        <v>1</v>
      </c>
      <c r="AE113" t="n">
        <v>2</v>
      </c>
      <c r="AF113" t="n">
        <v>2</v>
      </c>
      <c r="AG113" t="n">
        <v>6</v>
      </c>
      <c r="AH113" t="n">
        <v>0</v>
      </c>
      <c r="AI113" t="n">
        <v>1</v>
      </c>
      <c r="AJ113" t="n">
        <v>1</v>
      </c>
      <c r="AK113" t="n">
        <v>1</v>
      </c>
      <c r="AL113" t="n">
        <v>1</v>
      </c>
      <c r="AM113" t="n">
        <v>3</v>
      </c>
      <c r="AN113" t="n">
        <v>0</v>
      </c>
      <c r="AO113" t="n">
        <v>1</v>
      </c>
      <c r="AP113" t="n">
        <v>0</v>
      </c>
      <c r="AQ113" t="n">
        <v>0</v>
      </c>
      <c r="AR113" t="inlineStr">
        <is>
          <t>Yes</t>
        </is>
      </c>
      <c r="AS113" t="inlineStr">
        <is>
          <t>No</t>
        </is>
      </c>
      <c r="AT113">
        <f>HYPERLINK("http://catalog.hathitrust.org/Record/000683874","HathiTrust Record")</f>
        <v/>
      </c>
      <c r="AU113">
        <f>HYPERLINK("https://creighton-primo.hosted.exlibrisgroup.com/primo-explore/search?tab=default_tab&amp;search_scope=EVERYTHING&amp;vid=01CRU&amp;lang=en_US&amp;offset=0&amp;query=any,contains,991001014119702656","Catalog Record")</f>
        <v/>
      </c>
      <c r="AV113">
        <f>HYPERLINK("http://www.worldcat.org/oclc/14422310","WorldCat Record")</f>
        <v/>
      </c>
      <c r="AW113" t="inlineStr">
        <is>
          <t>2873597:eng</t>
        </is>
      </c>
      <c r="AX113" t="inlineStr">
        <is>
          <t>14422310</t>
        </is>
      </c>
      <c r="AY113" t="inlineStr">
        <is>
          <t>991001014119702656</t>
        </is>
      </c>
      <c r="AZ113" t="inlineStr">
        <is>
          <t>991001014119702656</t>
        </is>
      </c>
      <c r="BA113" t="inlineStr">
        <is>
          <t>2258347710002656</t>
        </is>
      </c>
      <c r="BB113" t="inlineStr">
        <is>
          <t>BOOK</t>
        </is>
      </c>
      <c r="BE113" t="inlineStr">
        <is>
          <t>30001002240374</t>
        </is>
      </c>
      <c r="BF113" t="inlineStr">
        <is>
          <t>893826371</t>
        </is>
      </c>
    </row>
    <row r="114">
      <c r="A114" t="inlineStr">
        <is>
          <t>No</t>
        </is>
      </c>
      <c r="B114" t="inlineStr">
        <is>
          <t>CUHSL</t>
        </is>
      </c>
      <c r="C114" t="inlineStr">
        <is>
          <t>SHELVES</t>
        </is>
      </c>
      <c r="D114" t="inlineStr">
        <is>
          <t>WY 16 H893t 1958</t>
        </is>
      </c>
      <c r="E114" t="inlineStr">
        <is>
          <t>0                      WY 0016000H  893t        1958</t>
        </is>
      </c>
      <c r="F114" t="inlineStr">
        <is>
          <t>Twenty thousand nurses tell their story : a report on studies of nursing functions sponsored by the American Nurses' Association / Everett C. Hughes, Helen MacGill Hughes and Irwin Deutscher ; with a foreword by Agnes Ohlson.</t>
        </is>
      </c>
      <c r="H114" t="inlineStr">
        <is>
          <t>No</t>
        </is>
      </c>
      <c r="I114" t="inlineStr">
        <is>
          <t>1</t>
        </is>
      </c>
      <c r="J114" t="inlineStr">
        <is>
          <t>No</t>
        </is>
      </c>
      <c r="K114" t="inlineStr">
        <is>
          <t>No</t>
        </is>
      </c>
      <c r="L114" t="inlineStr">
        <is>
          <t>0</t>
        </is>
      </c>
      <c r="M114" t="inlineStr">
        <is>
          <t>Hughes, Everett C. (Everett Cherrington), 1897-1983.</t>
        </is>
      </c>
      <c r="N114" t="inlineStr">
        <is>
          <t>Philadelphia, PA : Lippincott 1958.</t>
        </is>
      </c>
      <c r="O114" t="inlineStr">
        <is>
          <t>1958</t>
        </is>
      </c>
      <c r="Q114" t="inlineStr">
        <is>
          <t>eng</t>
        </is>
      </c>
      <c r="R114" t="inlineStr">
        <is>
          <t>pau</t>
        </is>
      </c>
      <c r="T114" t="inlineStr">
        <is>
          <t xml:space="preserve">WY </t>
        </is>
      </c>
      <c r="U114" t="n">
        <v>2</v>
      </c>
      <c r="V114" t="n">
        <v>2</v>
      </c>
      <c r="W114" t="inlineStr">
        <is>
          <t>1995-07-19</t>
        </is>
      </c>
      <c r="X114" t="inlineStr">
        <is>
          <t>1995-07-19</t>
        </is>
      </c>
      <c r="Y114" t="inlineStr">
        <is>
          <t>1988-01-09</t>
        </is>
      </c>
      <c r="Z114" t="inlineStr">
        <is>
          <t>1988-01-09</t>
        </is>
      </c>
      <c r="AA114" t="n">
        <v>271</v>
      </c>
      <c r="AB114" t="n">
        <v>241</v>
      </c>
      <c r="AC114" t="n">
        <v>261</v>
      </c>
      <c r="AD114" t="n">
        <v>6</v>
      </c>
      <c r="AE114" t="n">
        <v>6</v>
      </c>
      <c r="AF114" t="n">
        <v>14</v>
      </c>
      <c r="AG114" t="n">
        <v>15</v>
      </c>
      <c r="AH114" t="n">
        <v>1</v>
      </c>
      <c r="AI114" t="n">
        <v>1</v>
      </c>
      <c r="AJ114" t="n">
        <v>2</v>
      </c>
      <c r="AK114" t="n">
        <v>3</v>
      </c>
      <c r="AL114" t="n">
        <v>6</v>
      </c>
      <c r="AM114" t="n">
        <v>6</v>
      </c>
      <c r="AN114" t="n">
        <v>5</v>
      </c>
      <c r="AO114" t="n">
        <v>5</v>
      </c>
      <c r="AP114" t="n">
        <v>0</v>
      </c>
      <c r="AQ114" t="n">
        <v>0</v>
      </c>
      <c r="AR114" t="inlineStr">
        <is>
          <t>No</t>
        </is>
      </c>
      <c r="AS114" t="inlineStr">
        <is>
          <t>Yes</t>
        </is>
      </c>
      <c r="AT114">
        <f>HYPERLINK("http://catalog.hathitrust.org/Record/001574681","HathiTrust Record")</f>
        <v/>
      </c>
      <c r="AU114">
        <f>HYPERLINK("https://creighton-primo.hosted.exlibrisgroup.com/primo-explore/search?tab=default_tab&amp;search_scope=EVERYTHING&amp;vid=01CRU&amp;lang=en_US&amp;offset=0&amp;query=any,contains,991001033489702656","Catalog Record")</f>
        <v/>
      </c>
      <c r="AV114">
        <f>HYPERLINK("http://www.worldcat.org/oclc/1263795","WorldCat Record")</f>
        <v/>
      </c>
      <c r="AW114" t="inlineStr">
        <is>
          <t>291885906:eng</t>
        </is>
      </c>
      <c r="AX114" t="inlineStr">
        <is>
          <t>1263795</t>
        </is>
      </c>
      <c r="AY114" t="inlineStr">
        <is>
          <t>991001033489702656</t>
        </is>
      </c>
      <c r="AZ114" t="inlineStr">
        <is>
          <t>991001033489702656</t>
        </is>
      </c>
      <c r="BA114" t="inlineStr">
        <is>
          <t>2262408130002656</t>
        </is>
      </c>
      <c r="BB114" t="inlineStr">
        <is>
          <t>BOOK</t>
        </is>
      </c>
      <c r="BE114" t="inlineStr">
        <is>
          <t>30001000240293</t>
        </is>
      </c>
      <c r="BF114" t="inlineStr">
        <is>
          <t>893820865</t>
        </is>
      </c>
    </row>
    <row r="115">
      <c r="A115" t="inlineStr">
        <is>
          <t>No</t>
        </is>
      </c>
      <c r="B115" t="inlineStr">
        <is>
          <t>CUHSL</t>
        </is>
      </c>
      <c r="C115" t="inlineStr">
        <is>
          <t>SHELVES</t>
        </is>
      </c>
      <c r="D115" t="inlineStr">
        <is>
          <t>WY 16 I34 1992</t>
        </is>
      </c>
      <c r="E115" t="inlineStr">
        <is>
          <t>0                      WY 0016000I  34          1992</t>
        </is>
      </c>
      <c r="F115" t="inlineStr">
        <is>
          <t>Improving quality : a guide to effective programs / edited by Claire G. Meisenheimer.</t>
        </is>
      </c>
      <c r="H115" t="inlineStr">
        <is>
          <t>No</t>
        </is>
      </c>
      <c r="I115" t="inlineStr">
        <is>
          <t>1</t>
        </is>
      </c>
      <c r="J115" t="inlineStr">
        <is>
          <t>No</t>
        </is>
      </c>
      <c r="K115" t="inlineStr">
        <is>
          <t>Yes</t>
        </is>
      </c>
      <c r="L115" t="inlineStr">
        <is>
          <t>0</t>
        </is>
      </c>
      <c r="N115" t="inlineStr">
        <is>
          <t>Gaithersburg, Md. : Aspen Publishers, c1992.</t>
        </is>
      </c>
      <c r="O115" t="inlineStr">
        <is>
          <t>1992</t>
        </is>
      </c>
      <c r="Q115" t="inlineStr">
        <is>
          <t>eng</t>
        </is>
      </c>
      <c r="R115" t="inlineStr">
        <is>
          <t>mdu</t>
        </is>
      </c>
      <c r="T115" t="inlineStr">
        <is>
          <t xml:space="preserve">WY </t>
        </is>
      </c>
      <c r="U115" t="n">
        <v>8</v>
      </c>
      <c r="V115" t="n">
        <v>8</v>
      </c>
      <c r="W115" t="inlineStr">
        <is>
          <t>2001-12-02</t>
        </is>
      </c>
      <c r="X115" t="inlineStr">
        <is>
          <t>2001-12-02</t>
        </is>
      </c>
      <c r="Y115" t="inlineStr">
        <is>
          <t>1993-05-27</t>
        </is>
      </c>
      <c r="Z115" t="inlineStr">
        <is>
          <t>1993-05-27</t>
        </is>
      </c>
      <c r="AA115" t="n">
        <v>301</v>
      </c>
      <c r="AB115" t="n">
        <v>262</v>
      </c>
      <c r="AC115" t="n">
        <v>382</v>
      </c>
      <c r="AD115" t="n">
        <v>1</v>
      </c>
      <c r="AE115" t="n">
        <v>2</v>
      </c>
      <c r="AF115" t="n">
        <v>10</v>
      </c>
      <c r="AG115" t="n">
        <v>16</v>
      </c>
      <c r="AH115" t="n">
        <v>4</v>
      </c>
      <c r="AI115" t="n">
        <v>7</v>
      </c>
      <c r="AJ115" t="n">
        <v>3</v>
      </c>
      <c r="AK115" t="n">
        <v>3</v>
      </c>
      <c r="AL115" t="n">
        <v>6</v>
      </c>
      <c r="AM115" t="n">
        <v>10</v>
      </c>
      <c r="AN115" t="n">
        <v>0</v>
      </c>
      <c r="AO115" t="n">
        <v>1</v>
      </c>
      <c r="AP115" t="n">
        <v>0</v>
      </c>
      <c r="AQ115" t="n">
        <v>0</v>
      </c>
      <c r="AR115" t="inlineStr">
        <is>
          <t>No</t>
        </is>
      </c>
      <c r="AS115" t="inlineStr">
        <is>
          <t>Yes</t>
        </is>
      </c>
      <c r="AT115">
        <f>HYPERLINK("http://catalog.hathitrust.org/Record/002525566","HathiTrust Record")</f>
        <v/>
      </c>
      <c r="AU115">
        <f>HYPERLINK("https://creighton-primo.hosted.exlibrisgroup.com/primo-explore/search?tab=default_tab&amp;search_scope=EVERYTHING&amp;vid=01CRU&amp;lang=en_US&amp;offset=0&amp;query=any,contains,991001479819702656","Catalog Record")</f>
        <v/>
      </c>
      <c r="AV115">
        <f>HYPERLINK("http://www.worldcat.org/oclc/24629668","WorldCat Record")</f>
        <v/>
      </c>
      <c r="AW115" t="inlineStr">
        <is>
          <t>55516718:eng</t>
        </is>
      </c>
      <c r="AX115" t="inlineStr">
        <is>
          <t>24629668</t>
        </is>
      </c>
      <c r="AY115" t="inlineStr">
        <is>
          <t>991001479819702656</t>
        </is>
      </c>
      <c r="AZ115" t="inlineStr">
        <is>
          <t>991001479819702656</t>
        </is>
      </c>
      <c r="BA115" t="inlineStr">
        <is>
          <t>2258371320002656</t>
        </is>
      </c>
      <c r="BB115" t="inlineStr">
        <is>
          <t>BOOK</t>
        </is>
      </c>
      <c r="BD115" t="inlineStr">
        <is>
          <t>9780834202344</t>
        </is>
      </c>
      <c r="BE115" t="inlineStr">
        <is>
          <t>30001002566885</t>
        </is>
      </c>
      <c r="BF115" t="inlineStr">
        <is>
          <t>893826787</t>
        </is>
      </c>
    </row>
    <row r="116">
      <c r="A116" t="inlineStr">
        <is>
          <t>No</t>
        </is>
      </c>
      <c r="B116" t="inlineStr">
        <is>
          <t>CUHSL</t>
        </is>
      </c>
      <c r="C116" t="inlineStr">
        <is>
          <t>SHELVES</t>
        </is>
      </c>
      <c r="D116" t="inlineStr">
        <is>
          <t>WY 16 I36 1982</t>
        </is>
      </c>
      <c r="E116" t="inlineStr">
        <is>
          <t>0                      WY 0016000I  36          1982</t>
        </is>
      </c>
      <c r="F116" t="inlineStr">
        <is>
          <t>Increasing our visibility, toward a stronger public image for nursing : papers presented at the Annual Meeting of the Council of Diploma Programs, National League for Nursing, on April 14-16, 1982.</t>
        </is>
      </c>
      <c r="H116" t="inlineStr">
        <is>
          <t>No</t>
        </is>
      </c>
      <c r="I116" t="inlineStr">
        <is>
          <t>1</t>
        </is>
      </c>
      <c r="J116" t="inlineStr">
        <is>
          <t>No</t>
        </is>
      </c>
      <c r="K116" t="inlineStr">
        <is>
          <t>No</t>
        </is>
      </c>
      <c r="L116" t="inlineStr">
        <is>
          <t>0</t>
        </is>
      </c>
      <c r="N116" t="inlineStr">
        <is>
          <t>New York The League, 1982.</t>
        </is>
      </c>
      <c r="O116" t="inlineStr">
        <is>
          <t>1982</t>
        </is>
      </c>
      <c r="Q116" t="inlineStr">
        <is>
          <t>eng</t>
        </is>
      </c>
      <c r="R116" t="inlineStr">
        <is>
          <t>nyu</t>
        </is>
      </c>
      <c r="S116" t="inlineStr">
        <is>
          <t>NLN pub. no. 16-1914</t>
        </is>
      </c>
      <c r="T116" t="inlineStr">
        <is>
          <t xml:space="preserve">WY </t>
        </is>
      </c>
      <c r="U116" t="n">
        <v>7</v>
      </c>
      <c r="V116" t="n">
        <v>7</v>
      </c>
      <c r="W116" t="inlineStr">
        <is>
          <t>1996-02-05</t>
        </is>
      </c>
      <c r="X116" t="inlineStr">
        <is>
          <t>1996-02-05</t>
        </is>
      </c>
      <c r="Y116" t="inlineStr">
        <is>
          <t>1987-11-02</t>
        </is>
      </c>
      <c r="Z116" t="inlineStr">
        <is>
          <t>1987-11-02</t>
        </is>
      </c>
      <c r="AA116" t="n">
        <v>12</v>
      </c>
      <c r="AB116" t="n">
        <v>12</v>
      </c>
      <c r="AC116" t="n">
        <v>12</v>
      </c>
      <c r="AD116" t="n">
        <v>1</v>
      </c>
      <c r="AE116" t="n">
        <v>1</v>
      </c>
      <c r="AF116" t="n">
        <v>0</v>
      </c>
      <c r="AG116" t="n">
        <v>0</v>
      </c>
      <c r="AH116" t="n">
        <v>0</v>
      </c>
      <c r="AI116" t="n">
        <v>0</v>
      </c>
      <c r="AJ116" t="n">
        <v>0</v>
      </c>
      <c r="AK116" t="n">
        <v>0</v>
      </c>
      <c r="AL116" t="n">
        <v>0</v>
      </c>
      <c r="AM116" t="n">
        <v>0</v>
      </c>
      <c r="AN116" t="n">
        <v>0</v>
      </c>
      <c r="AO116" t="n">
        <v>0</v>
      </c>
      <c r="AP116" t="n">
        <v>0</v>
      </c>
      <c r="AQ116" t="n">
        <v>0</v>
      </c>
      <c r="AR116" t="inlineStr">
        <is>
          <t>No</t>
        </is>
      </c>
      <c r="AS116" t="inlineStr">
        <is>
          <t>No</t>
        </is>
      </c>
      <c r="AU116">
        <f>HYPERLINK("https://creighton-primo.hosted.exlibrisgroup.com/primo-explore/search?tab=default_tab&amp;search_scope=EVERYTHING&amp;vid=01CRU&amp;lang=en_US&amp;offset=0&amp;query=any,contains,991001378679702656","Catalog Record")</f>
        <v/>
      </c>
      <c r="AV116">
        <f>HYPERLINK("http://www.worldcat.org/oclc/10419361","WorldCat Record")</f>
        <v/>
      </c>
      <c r="AW116" t="inlineStr">
        <is>
          <t>3149829:eng</t>
        </is>
      </c>
      <c r="AX116" t="inlineStr">
        <is>
          <t>10419361</t>
        </is>
      </c>
      <c r="AY116" t="inlineStr">
        <is>
          <t>991001378679702656</t>
        </is>
      </c>
      <c r="AZ116" t="inlineStr">
        <is>
          <t>991001378679702656</t>
        </is>
      </c>
      <c r="BA116" t="inlineStr">
        <is>
          <t>2269608480002656</t>
        </is>
      </c>
      <c r="BB116" t="inlineStr">
        <is>
          <t>BOOK</t>
        </is>
      </c>
      <c r="BE116" t="inlineStr">
        <is>
          <t>30001000462483</t>
        </is>
      </c>
      <c r="BF116" t="inlineStr">
        <is>
          <t>893358520</t>
        </is>
      </c>
    </row>
    <row r="117">
      <c r="A117" t="inlineStr">
        <is>
          <t>No</t>
        </is>
      </c>
      <c r="B117" t="inlineStr">
        <is>
          <t>CUHSL</t>
        </is>
      </c>
      <c r="C117" t="inlineStr">
        <is>
          <t>SHELVES</t>
        </is>
      </c>
      <c r="D117" t="inlineStr">
        <is>
          <t>WY 16 I595 1986</t>
        </is>
      </c>
      <c r="E117" t="inlineStr">
        <is>
          <t>0                      WY 0016000I  595         1986</t>
        </is>
      </c>
      <c r="F117" t="inlineStr">
        <is>
          <t>Integrating public policy into the curriculum / Sally B. Solomon and Susan C. Roe, editors.</t>
        </is>
      </c>
      <c r="H117" t="inlineStr">
        <is>
          <t>No</t>
        </is>
      </c>
      <c r="I117" t="inlineStr">
        <is>
          <t>1</t>
        </is>
      </c>
      <c r="J117" t="inlineStr">
        <is>
          <t>No</t>
        </is>
      </c>
      <c r="K117" t="inlineStr">
        <is>
          <t>No</t>
        </is>
      </c>
      <c r="L117" t="inlineStr">
        <is>
          <t>0</t>
        </is>
      </c>
      <c r="N117" t="inlineStr">
        <is>
          <t>New York : National League for Nursing, c1986.</t>
        </is>
      </c>
      <c r="O117" t="inlineStr">
        <is>
          <t>1986</t>
        </is>
      </c>
      <c r="Q117" t="inlineStr">
        <is>
          <t>eng</t>
        </is>
      </c>
      <c r="R117" t="inlineStr">
        <is>
          <t>xxu</t>
        </is>
      </c>
      <c r="S117" t="inlineStr">
        <is>
          <t>NLN pub. no. 15-1995</t>
        </is>
      </c>
      <c r="T117" t="inlineStr">
        <is>
          <t xml:space="preserve">WY </t>
        </is>
      </c>
      <c r="U117" t="n">
        <v>2</v>
      </c>
      <c r="V117" t="n">
        <v>2</v>
      </c>
      <c r="W117" t="inlineStr">
        <is>
          <t>1990-07-17</t>
        </is>
      </c>
      <c r="X117" t="inlineStr">
        <is>
          <t>1990-07-17</t>
        </is>
      </c>
      <c r="Y117" t="inlineStr">
        <is>
          <t>1987-10-29</t>
        </is>
      </c>
      <c r="Z117" t="inlineStr">
        <is>
          <t>1987-10-29</t>
        </is>
      </c>
      <c r="AA117" t="n">
        <v>183</v>
      </c>
      <c r="AB117" t="n">
        <v>162</v>
      </c>
      <c r="AC117" t="n">
        <v>164</v>
      </c>
      <c r="AD117" t="n">
        <v>2</v>
      </c>
      <c r="AE117" t="n">
        <v>2</v>
      </c>
      <c r="AF117" t="n">
        <v>9</v>
      </c>
      <c r="AG117" t="n">
        <v>9</v>
      </c>
      <c r="AH117" t="n">
        <v>3</v>
      </c>
      <c r="AI117" t="n">
        <v>3</v>
      </c>
      <c r="AJ117" t="n">
        <v>1</v>
      </c>
      <c r="AK117" t="n">
        <v>1</v>
      </c>
      <c r="AL117" t="n">
        <v>6</v>
      </c>
      <c r="AM117" t="n">
        <v>6</v>
      </c>
      <c r="AN117" t="n">
        <v>0</v>
      </c>
      <c r="AO117" t="n">
        <v>0</v>
      </c>
      <c r="AP117" t="n">
        <v>0</v>
      </c>
      <c r="AQ117" t="n">
        <v>0</v>
      </c>
      <c r="AR117" t="inlineStr">
        <is>
          <t>No</t>
        </is>
      </c>
      <c r="AS117" t="inlineStr">
        <is>
          <t>Yes</t>
        </is>
      </c>
      <c r="AT117">
        <f>HYPERLINK("http://catalog.hathitrust.org/Record/002505089","HathiTrust Record")</f>
        <v/>
      </c>
      <c r="AU117">
        <f>HYPERLINK("https://creighton-primo.hosted.exlibrisgroup.com/primo-explore/search?tab=default_tab&amp;search_scope=EVERYTHING&amp;vid=01CRU&amp;lang=en_US&amp;offset=0&amp;query=any,contains,991000803079702656","Catalog Record")</f>
        <v/>
      </c>
      <c r="AV117">
        <f>HYPERLINK("http://www.worldcat.org/oclc/13085188","WorldCat Record")</f>
        <v/>
      </c>
      <c r="AW117" t="inlineStr">
        <is>
          <t>422964222:eng</t>
        </is>
      </c>
      <c r="AX117" t="inlineStr">
        <is>
          <t>13085188</t>
        </is>
      </c>
      <c r="AY117" t="inlineStr">
        <is>
          <t>991000803079702656</t>
        </is>
      </c>
      <c r="AZ117" t="inlineStr">
        <is>
          <t>991000803079702656</t>
        </is>
      </c>
      <c r="BA117" t="inlineStr">
        <is>
          <t>2265028120002656</t>
        </is>
      </c>
      <c r="BB117" t="inlineStr">
        <is>
          <t>BOOK</t>
        </is>
      </c>
      <c r="BD117" t="inlineStr">
        <is>
          <t>9780887372223</t>
        </is>
      </c>
      <c r="BE117" t="inlineStr">
        <is>
          <t>30001000743858</t>
        </is>
      </c>
      <c r="BF117" t="inlineStr">
        <is>
          <t>893632174</t>
        </is>
      </c>
    </row>
    <row r="118">
      <c r="A118" t="inlineStr">
        <is>
          <t>No</t>
        </is>
      </c>
      <c r="B118" t="inlineStr">
        <is>
          <t>CUHSL</t>
        </is>
      </c>
      <c r="C118" t="inlineStr">
        <is>
          <t>SHELVES</t>
        </is>
      </c>
      <c r="D118" t="inlineStr">
        <is>
          <t>WY 16 I85 1998</t>
        </is>
      </c>
      <c r="E118" t="inlineStr">
        <is>
          <t>0                      WY 0016000I  85          1998</t>
        </is>
      </c>
      <c r="F118" t="inlineStr">
        <is>
          <t>Issues and trends in nursing / [edited by] Grace Deloughery.</t>
        </is>
      </c>
      <c r="H118" t="inlineStr">
        <is>
          <t>No</t>
        </is>
      </c>
      <c r="I118" t="inlineStr">
        <is>
          <t>1</t>
        </is>
      </c>
      <c r="J118" t="inlineStr">
        <is>
          <t>No</t>
        </is>
      </c>
      <c r="K118" t="inlineStr">
        <is>
          <t>Yes</t>
        </is>
      </c>
      <c r="L118" t="inlineStr">
        <is>
          <t>0</t>
        </is>
      </c>
      <c r="N118" t="inlineStr">
        <is>
          <t>St. Louis : Mosby, c1998.</t>
        </is>
      </c>
      <c r="O118" t="inlineStr">
        <is>
          <t>1998</t>
        </is>
      </c>
      <c r="P118" t="inlineStr">
        <is>
          <t>3rd ed.</t>
        </is>
      </c>
      <c r="Q118" t="inlineStr">
        <is>
          <t>eng</t>
        </is>
      </c>
      <c r="R118" t="inlineStr">
        <is>
          <t>mou</t>
        </is>
      </c>
      <c r="T118" t="inlineStr">
        <is>
          <t xml:space="preserve">WY </t>
        </is>
      </c>
      <c r="U118" t="n">
        <v>5</v>
      </c>
      <c r="V118" t="n">
        <v>5</v>
      </c>
      <c r="W118" t="inlineStr">
        <is>
          <t>2008-03-17</t>
        </is>
      </c>
      <c r="X118" t="inlineStr">
        <is>
          <t>2008-03-17</t>
        </is>
      </c>
      <c r="Y118" t="inlineStr">
        <is>
          <t>1998-05-01</t>
        </is>
      </c>
      <c r="Z118" t="inlineStr">
        <is>
          <t>1998-05-01</t>
        </is>
      </c>
      <c r="AA118" t="n">
        <v>261</v>
      </c>
      <c r="AB118" t="n">
        <v>191</v>
      </c>
      <c r="AC118" t="n">
        <v>395</v>
      </c>
      <c r="AD118" t="n">
        <v>1</v>
      </c>
      <c r="AE118" t="n">
        <v>2</v>
      </c>
      <c r="AF118" t="n">
        <v>9</v>
      </c>
      <c r="AG118" t="n">
        <v>15</v>
      </c>
      <c r="AH118" t="n">
        <v>5</v>
      </c>
      <c r="AI118" t="n">
        <v>8</v>
      </c>
      <c r="AJ118" t="n">
        <v>1</v>
      </c>
      <c r="AK118" t="n">
        <v>1</v>
      </c>
      <c r="AL118" t="n">
        <v>4</v>
      </c>
      <c r="AM118" t="n">
        <v>8</v>
      </c>
      <c r="AN118" t="n">
        <v>0</v>
      </c>
      <c r="AO118" t="n">
        <v>0</v>
      </c>
      <c r="AP118" t="n">
        <v>0</v>
      </c>
      <c r="AQ118" t="n">
        <v>0</v>
      </c>
      <c r="AR118" t="inlineStr">
        <is>
          <t>No</t>
        </is>
      </c>
      <c r="AS118" t="inlineStr">
        <is>
          <t>Yes</t>
        </is>
      </c>
      <c r="AT118">
        <f>HYPERLINK("http://catalog.hathitrust.org/Record/003959839","HathiTrust Record")</f>
        <v/>
      </c>
      <c r="AU118">
        <f>HYPERLINK("https://creighton-primo.hosted.exlibrisgroup.com/primo-explore/search?tab=default_tab&amp;search_scope=EVERYTHING&amp;vid=01CRU&amp;lang=en_US&amp;offset=0&amp;query=any,contains,991000901179702656","Catalog Record")</f>
        <v/>
      </c>
      <c r="AV118">
        <f>HYPERLINK("http://www.worldcat.org/oclc/40535054","WorldCat Record")</f>
        <v/>
      </c>
      <c r="AW118" t="inlineStr">
        <is>
          <t>141127822:eng</t>
        </is>
      </c>
      <c r="AX118" t="inlineStr">
        <is>
          <t>40535054</t>
        </is>
      </c>
      <c r="AY118" t="inlineStr">
        <is>
          <t>991000901179702656</t>
        </is>
      </c>
      <c r="AZ118" t="inlineStr">
        <is>
          <t>991000901179702656</t>
        </is>
      </c>
      <c r="BA118" t="inlineStr">
        <is>
          <t>2260849520002656</t>
        </is>
      </c>
      <c r="BB118" t="inlineStr">
        <is>
          <t>BOOK</t>
        </is>
      </c>
      <c r="BD118" t="inlineStr">
        <is>
          <t>9780815126089</t>
        </is>
      </c>
      <c r="BE118" t="inlineStr">
        <is>
          <t>30001004176360</t>
        </is>
      </c>
      <c r="BF118" t="inlineStr">
        <is>
          <t>893637776</t>
        </is>
      </c>
    </row>
    <row r="119">
      <c r="A119" t="inlineStr">
        <is>
          <t>No</t>
        </is>
      </c>
      <c r="B119" t="inlineStr">
        <is>
          <t>CUHSL</t>
        </is>
      </c>
      <c r="C119" t="inlineStr">
        <is>
          <t>SHELVES</t>
        </is>
      </c>
      <c r="D119" t="inlineStr">
        <is>
          <t>WY 16 I855 1991</t>
        </is>
      </c>
      <c r="E119" t="inlineStr">
        <is>
          <t>0                      WY 0016000I  855         1991</t>
        </is>
      </c>
      <c r="F119" t="inlineStr">
        <is>
          <t>Issues and trends in nursing / edited by Grace L. Deloughery.</t>
        </is>
      </c>
      <c r="H119" t="inlineStr">
        <is>
          <t>No</t>
        </is>
      </c>
      <c r="I119" t="inlineStr">
        <is>
          <t>1</t>
        </is>
      </c>
      <c r="J119" t="inlineStr">
        <is>
          <t>No</t>
        </is>
      </c>
      <c r="K119" t="inlineStr">
        <is>
          <t>Yes</t>
        </is>
      </c>
      <c r="L119" t="inlineStr">
        <is>
          <t>0</t>
        </is>
      </c>
      <c r="N119" t="inlineStr">
        <is>
          <t>St. Louis : Mosby-Year Book, c1991.</t>
        </is>
      </c>
      <c r="O119" t="inlineStr">
        <is>
          <t>1991</t>
        </is>
      </c>
      <c r="Q119" t="inlineStr">
        <is>
          <t>eng</t>
        </is>
      </c>
      <c r="R119" t="inlineStr">
        <is>
          <t>mou</t>
        </is>
      </c>
      <c r="T119" t="inlineStr">
        <is>
          <t xml:space="preserve">WY </t>
        </is>
      </c>
      <c r="U119" t="n">
        <v>6</v>
      </c>
      <c r="V119" t="n">
        <v>6</v>
      </c>
      <c r="W119" t="inlineStr">
        <is>
          <t>2004-04-27</t>
        </is>
      </c>
      <c r="X119" t="inlineStr">
        <is>
          <t>2004-04-27</t>
        </is>
      </c>
      <c r="Y119" t="inlineStr">
        <is>
          <t>1994-05-25</t>
        </is>
      </c>
      <c r="Z119" t="inlineStr">
        <is>
          <t>1994-05-25</t>
        </is>
      </c>
      <c r="AA119" t="n">
        <v>266</v>
      </c>
      <c r="AB119" t="n">
        <v>199</v>
      </c>
      <c r="AC119" t="n">
        <v>395</v>
      </c>
      <c r="AD119" t="n">
        <v>1</v>
      </c>
      <c r="AE119" t="n">
        <v>2</v>
      </c>
      <c r="AF119" t="n">
        <v>7</v>
      </c>
      <c r="AG119" t="n">
        <v>15</v>
      </c>
      <c r="AH119" t="n">
        <v>3</v>
      </c>
      <c r="AI119" t="n">
        <v>8</v>
      </c>
      <c r="AJ119" t="n">
        <v>0</v>
      </c>
      <c r="AK119" t="n">
        <v>1</v>
      </c>
      <c r="AL119" t="n">
        <v>5</v>
      </c>
      <c r="AM119" t="n">
        <v>8</v>
      </c>
      <c r="AN119" t="n">
        <v>0</v>
      </c>
      <c r="AO119" t="n">
        <v>0</v>
      </c>
      <c r="AP119" t="n">
        <v>0</v>
      </c>
      <c r="AQ119" t="n">
        <v>0</v>
      </c>
      <c r="AR119" t="inlineStr">
        <is>
          <t>No</t>
        </is>
      </c>
      <c r="AS119" t="inlineStr">
        <is>
          <t>Yes</t>
        </is>
      </c>
      <c r="AT119">
        <f>HYPERLINK("http://catalog.hathitrust.org/Record/002443405","HathiTrust Record")</f>
        <v/>
      </c>
      <c r="AU119">
        <f>HYPERLINK("https://creighton-primo.hosted.exlibrisgroup.com/primo-explore/search?tab=default_tab&amp;search_scope=EVERYTHING&amp;vid=01CRU&amp;lang=en_US&amp;offset=0&amp;query=any,contains,991001194889702656","Catalog Record")</f>
        <v/>
      </c>
      <c r="AV119">
        <f>HYPERLINK("http://www.worldcat.org/oclc/22628781","WorldCat Record")</f>
        <v/>
      </c>
      <c r="AW119" t="inlineStr">
        <is>
          <t>141127822:eng</t>
        </is>
      </c>
      <c r="AX119" t="inlineStr">
        <is>
          <t>22628781</t>
        </is>
      </c>
      <c r="AY119" t="inlineStr">
        <is>
          <t>991001194889702656</t>
        </is>
      </c>
      <c r="AZ119" t="inlineStr">
        <is>
          <t>991001194889702656</t>
        </is>
      </c>
      <c r="BA119" t="inlineStr">
        <is>
          <t>2269550920002656</t>
        </is>
      </c>
      <c r="BB119" t="inlineStr">
        <is>
          <t>BOOK</t>
        </is>
      </c>
      <c r="BD119" t="inlineStr">
        <is>
          <t>9780801629280</t>
        </is>
      </c>
      <c r="BE119" t="inlineStr">
        <is>
          <t>30001002984237</t>
        </is>
      </c>
      <c r="BF119" t="inlineStr">
        <is>
          <t>893161756</t>
        </is>
      </c>
    </row>
    <row r="120">
      <c r="A120" t="inlineStr">
        <is>
          <t>No</t>
        </is>
      </c>
      <c r="B120" t="inlineStr">
        <is>
          <t>CUHSL</t>
        </is>
      </c>
      <c r="C120" t="inlineStr">
        <is>
          <t>SHELVES</t>
        </is>
      </c>
      <c r="D120" t="inlineStr">
        <is>
          <t>WY 16 I86p</t>
        </is>
      </c>
      <c r="E120" t="inlineStr">
        <is>
          <t>0                      WY 0016000I  86p</t>
        </is>
      </c>
      <c r="F120" t="inlineStr">
        <is>
          <t>Issues in professional nursing practice / coeditors, Irma Lou Hirsch, Robert V. Piemonte.</t>
        </is>
      </c>
      <c r="H120" t="inlineStr">
        <is>
          <t>No</t>
        </is>
      </c>
      <c r="I120" t="inlineStr">
        <is>
          <t>1</t>
        </is>
      </c>
      <c r="J120" t="inlineStr">
        <is>
          <t>No</t>
        </is>
      </c>
      <c r="K120" t="inlineStr">
        <is>
          <t>No</t>
        </is>
      </c>
      <c r="L120" t="inlineStr">
        <is>
          <t>0</t>
        </is>
      </c>
      <c r="N120" t="inlineStr">
        <is>
          <t>[Kansas City, Mo.] : American Nurses' Association, [c1984-</t>
        </is>
      </c>
      <c r="O120" t="inlineStr">
        <is>
          <t>1984</t>
        </is>
      </c>
      <c r="Q120" t="inlineStr">
        <is>
          <t>eng</t>
        </is>
      </c>
      <c r="R120" t="inlineStr">
        <is>
          <t>mou</t>
        </is>
      </c>
      <c r="T120" t="inlineStr">
        <is>
          <t xml:space="preserve">WY </t>
        </is>
      </c>
      <c r="U120" t="n">
        <v>14</v>
      </c>
      <c r="V120" t="n">
        <v>14</v>
      </c>
      <c r="W120" t="inlineStr">
        <is>
          <t>1992-04-01</t>
        </is>
      </c>
      <c r="X120" t="inlineStr">
        <is>
          <t>1992-04-01</t>
        </is>
      </c>
      <c r="Y120" t="inlineStr">
        <is>
          <t>1987-12-22</t>
        </is>
      </c>
      <c r="Z120" t="inlineStr">
        <is>
          <t>1987-12-22</t>
        </is>
      </c>
      <c r="AA120" t="n">
        <v>45</v>
      </c>
      <c r="AB120" t="n">
        <v>45</v>
      </c>
      <c r="AC120" t="n">
        <v>62</v>
      </c>
      <c r="AD120" t="n">
        <v>1</v>
      </c>
      <c r="AE120" t="n">
        <v>1</v>
      </c>
      <c r="AF120" t="n">
        <v>1</v>
      </c>
      <c r="AG120" t="n">
        <v>2</v>
      </c>
      <c r="AH120" t="n">
        <v>0</v>
      </c>
      <c r="AI120" t="n">
        <v>0</v>
      </c>
      <c r="AJ120" t="n">
        <v>0</v>
      </c>
      <c r="AK120" t="n">
        <v>1</v>
      </c>
      <c r="AL120" t="n">
        <v>1</v>
      </c>
      <c r="AM120" t="n">
        <v>1</v>
      </c>
      <c r="AN120" t="n">
        <v>0</v>
      </c>
      <c r="AO120" t="n">
        <v>0</v>
      </c>
      <c r="AP120" t="n">
        <v>0</v>
      </c>
      <c r="AQ120" t="n">
        <v>0</v>
      </c>
      <c r="AR120" t="inlineStr">
        <is>
          <t>No</t>
        </is>
      </c>
      <c r="AS120" t="inlineStr">
        <is>
          <t>No</t>
        </is>
      </c>
      <c r="AU120">
        <f>HYPERLINK("https://creighton-primo.hosted.exlibrisgroup.com/primo-explore/search?tab=default_tab&amp;search_scope=EVERYTHING&amp;vid=01CRU&amp;lang=en_US&amp;offset=0&amp;query=any,contains,991001033659702656","Catalog Record")</f>
        <v/>
      </c>
      <c r="AV120">
        <f>HYPERLINK("http://www.worldcat.org/oclc/10916239","WorldCat Record")</f>
        <v/>
      </c>
      <c r="AW120" t="inlineStr">
        <is>
          <t>1151266427:eng</t>
        </is>
      </c>
      <c r="AX120" t="inlineStr">
        <is>
          <t>10916239</t>
        </is>
      </c>
      <c r="AY120" t="inlineStr">
        <is>
          <t>991001033659702656</t>
        </is>
      </c>
      <c r="AZ120" t="inlineStr">
        <is>
          <t>991001033659702656</t>
        </is>
      </c>
      <c r="BA120" t="inlineStr">
        <is>
          <t>2256907000002656</t>
        </is>
      </c>
      <c r="BB120" t="inlineStr">
        <is>
          <t>BOOK</t>
        </is>
      </c>
      <c r="BE120" t="inlineStr">
        <is>
          <t>30001000240319</t>
        </is>
      </c>
      <c r="BF120" t="inlineStr">
        <is>
          <t>893736160</t>
        </is>
      </c>
    </row>
    <row r="121">
      <c r="A121" t="inlineStr">
        <is>
          <t>No</t>
        </is>
      </c>
      <c r="B121" t="inlineStr">
        <is>
          <t>CUHSL</t>
        </is>
      </c>
      <c r="C121" t="inlineStr">
        <is>
          <t>SHELVES</t>
        </is>
      </c>
      <c r="D121" t="inlineStr">
        <is>
          <t>WY 16 J55s 1983</t>
        </is>
      </c>
      <c r="E121" t="inlineStr">
        <is>
          <t>0                      WY 0016000J  55s         1983</t>
        </is>
      </c>
      <c r="F121" t="inlineStr">
        <is>
          <t>Standards, job descriptions, and performance evaluations for nursing practice / Dale Kayser Jernigan, Abigail Pepper Young.</t>
        </is>
      </c>
      <c r="H121" t="inlineStr">
        <is>
          <t>No</t>
        </is>
      </c>
      <c r="I121" t="inlineStr">
        <is>
          <t>1</t>
        </is>
      </c>
      <c r="J121" t="inlineStr">
        <is>
          <t>No</t>
        </is>
      </c>
      <c r="K121" t="inlineStr">
        <is>
          <t>No</t>
        </is>
      </c>
      <c r="L121" t="inlineStr">
        <is>
          <t>0</t>
        </is>
      </c>
      <c r="M121" t="inlineStr">
        <is>
          <t>Jernigan, Dale Kayser.</t>
        </is>
      </c>
      <c r="N121" t="inlineStr">
        <is>
          <t>Norwalk, CT : Appleton-Century-Crofts, c1983.</t>
        </is>
      </c>
      <c r="O121" t="inlineStr">
        <is>
          <t>1983</t>
        </is>
      </c>
      <c r="Q121" t="inlineStr">
        <is>
          <t>eng</t>
        </is>
      </c>
      <c r="R121" t="inlineStr">
        <is>
          <t>xxu</t>
        </is>
      </c>
      <c r="T121" t="inlineStr">
        <is>
          <t xml:space="preserve">WY </t>
        </is>
      </c>
      <c r="U121" t="n">
        <v>12</v>
      </c>
      <c r="V121" t="n">
        <v>12</v>
      </c>
      <c r="W121" t="inlineStr">
        <is>
          <t>1993-08-06</t>
        </is>
      </c>
      <c r="X121" t="inlineStr">
        <is>
          <t>1993-08-06</t>
        </is>
      </c>
      <c r="Y121" t="inlineStr">
        <is>
          <t>1988-03-23</t>
        </is>
      </c>
      <c r="Z121" t="inlineStr">
        <is>
          <t>1988-03-23</t>
        </is>
      </c>
      <c r="AA121" t="n">
        <v>262</v>
      </c>
      <c r="AB121" t="n">
        <v>212</v>
      </c>
      <c r="AC121" t="n">
        <v>214</v>
      </c>
      <c r="AD121" t="n">
        <v>2</v>
      </c>
      <c r="AE121" t="n">
        <v>2</v>
      </c>
      <c r="AF121" t="n">
        <v>6</v>
      </c>
      <c r="AG121" t="n">
        <v>6</v>
      </c>
      <c r="AH121" t="n">
        <v>4</v>
      </c>
      <c r="AI121" t="n">
        <v>4</v>
      </c>
      <c r="AJ121" t="n">
        <v>0</v>
      </c>
      <c r="AK121" t="n">
        <v>0</v>
      </c>
      <c r="AL121" t="n">
        <v>3</v>
      </c>
      <c r="AM121" t="n">
        <v>3</v>
      </c>
      <c r="AN121" t="n">
        <v>0</v>
      </c>
      <c r="AO121" t="n">
        <v>0</v>
      </c>
      <c r="AP121" t="n">
        <v>0</v>
      </c>
      <c r="AQ121" t="n">
        <v>0</v>
      </c>
      <c r="AR121" t="inlineStr">
        <is>
          <t>No</t>
        </is>
      </c>
      <c r="AS121" t="inlineStr">
        <is>
          <t>Yes</t>
        </is>
      </c>
      <c r="AT121">
        <f>HYPERLINK("http://catalog.hathitrust.org/Record/000323451","HathiTrust Record")</f>
        <v/>
      </c>
      <c r="AU121">
        <f>HYPERLINK("https://creighton-primo.hosted.exlibrisgroup.com/primo-explore/search?tab=default_tab&amp;search_scope=EVERYTHING&amp;vid=01CRU&amp;lang=en_US&amp;offset=0&amp;query=any,contains,991001033789702656","Catalog Record")</f>
        <v/>
      </c>
      <c r="AV121">
        <f>HYPERLINK("http://www.worldcat.org/oclc/9197043","WorldCat Record")</f>
        <v/>
      </c>
      <c r="AW121" t="inlineStr">
        <is>
          <t>43711507:eng</t>
        </is>
      </c>
      <c r="AX121" t="inlineStr">
        <is>
          <t>9197043</t>
        </is>
      </c>
      <c r="AY121" t="inlineStr">
        <is>
          <t>991001033789702656</t>
        </is>
      </c>
      <c r="AZ121" t="inlineStr">
        <is>
          <t>991001033789702656</t>
        </is>
      </c>
      <c r="BA121" t="inlineStr">
        <is>
          <t>2266880330002656</t>
        </is>
      </c>
      <c r="BB121" t="inlineStr">
        <is>
          <t>BOOK</t>
        </is>
      </c>
      <c r="BD121" t="inlineStr">
        <is>
          <t>9780838586730</t>
        </is>
      </c>
      <c r="BE121" t="inlineStr">
        <is>
          <t>30001000240343</t>
        </is>
      </c>
      <c r="BF121" t="inlineStr">
        <is>
          <t>893831867</t>
        </is>
      </c>
    </row>
    <row r="122">
      <c r="A122" t="inlineStr">
        <is>
          <t>No</t>
        </is>
      </c>
      <c r="B122" t="inlineStr">
        <is>
          <t>CUHSL</t>
        </is>
      </c>
      <c r="C122" t="inlineStr">
        <is>
          <t>SHELVES</t>
        </is>
      </c>
      <c r="D122" t="inlineStr">
        <is>
          <t>WY16 J64k 2003</t>
        </is>
      </c>
      <c r="E122" t="inlineStr">
        <is>
          <t>0                      WY 0016000J  64k         2003</t>
        </is>
      </c>
      <c r="F122" t="inlineStr">
        <is>
          <t>Kelly's Dimensions of professional nursing / Lucille A. Joel.</t>
        </is>
      </c>
      <c r="H122" t="inlineStr">
        <is>
          <t>No</t>
        </is>
      </c>
      <c r="I122" t="inlineStr">
        <is>
          <t>1</t>
        </is>
      </c>
      <c r="J122" t="inlineStr">
        <is>
          <t>No</t>
        </is>
      </c>
      <c r="K122" t="inlineStr">
        <is>
          <t>No</t>
        </is>
      </c>
      <c r="L122" t="inlineStr">
        <is>
          <t>0</t>
        </is>
      </c>
      <c r="M122" t="inlineStr">
        <is>
          <t>Joel, Lucille A.</t>
        </is>
      </c>
      <c r="N122" t="inlineStr">
        <is>
          <t>New York : McGraw-Hill, Medical Pub. Division, c2003.</t>
        </is>
      </c>
      <c r="O122" t="inlineStr">
        <is>
          <t>2003</t>
        </is>
      </c>
      <c r="P122" t="inlineStr">
        <is>
          <t>9th ed.</t>
        </is>
      </c>
      <c r="Q122" t="inlineStr">
        <is>
          <t>eng</t>
        </is>
      </c>
      <c r="R122" t="inlineStr">
        <is>
          <t>nyu</t>
        </is>
      </c>
      <c r="T122" t="inlineStr">
        <is>
          <t xml:space="preserve">WY </t>
        </is>
      </c>
      <c r="U122" t="n">
        <v>0</v>
      </c>
      <c r="V122" t="n">
        <v>0</v>
      </c>
      <c r="W122" t="inlineStr">
        <is>
          <t>2003-06-30</t>
        </is>
      </c>
      <c r="X122" t="inlineStr">
        <is>
          <t>2003-06-30</t>
        </is>
      </c>
      <c r="Y122" t="inlineStr">
        <is>
          <t>2003-06-30</t>
        </is>
      </c>
      <c r="Z122" t="inlineStr">
        <is>
          <t>2003-06-30</t>
        </is>
      </c>
      <c r="AA122" t="n">
        <v>341</v>
      </c>
      <c r="AB122" t="n">
        <v>280</v>
      </c>
      <c r="AC122" t="n">
        <v>421</v>
      </c>
      <c r="AD122" t="n">
        <v>1</v>
      </c>
      <c r="AE122" t="n">
        <v>1</v>
      </c>
      <c r="AF122" t="n">
        <v>7</v>
      </c>
      <c r="AG122" t="n">
        <v>10</v>
      </c>
      <c r="AH122" t="n">
        <v>4</v>
      </c>
      <c r="AI122" t="n">
        <v>5</v>
      </c>
      <c r="AJ122" t="n">
        <v>0</v>
      </c>
      <c r="AK122" t="n">
        <v>1</v>
      </c>
      <c r="AL122" t="n">
        <v>4</v>
      </c>
      <c r="AM122" t="n">
        <v>6</v>
      </c>
      <c r="AN122" t="n">
        <v>0</v>
      </c>
      <c r="AO122" t="n">
        <v>0</v>
      </c>
      <c r="AP122" t="n">
        <v>0</v>
      </c>
      <c r="AQ122" t="n">
        <v>0</v>
      </c>
      <c r="AR122" t="inlineStr">
        <is>
          <t>No</t>
        </is>
      </c>
      <c r="AS122" t="inlineStr">
        <is>
          <t>Yes</t>
        </is>
      </c>
      <c r="AT122">
        <f>HYPERLINK("http://catalog.hathitrust.org/Record/004318761","HathiTrust Record")</f>
        <v/>
      </c>
      <c r="AU122">
        <f>HYPERLINK("https://creighton-primo.hosted.exlibrisgroup.com/primo-explore/search?tab=default_tab&amp;search_scope=EVERYTHING&amp;vid=01CRU&amp;lang=en_US&amp;offset=0&amp;query=any,contains,991001723379702656","Catalog Record")</f>
        <v/>
      </c>
      <c r="AV122">
        <f>HYPERLINK("http://www.worldcat.org/oclc/51054159","WorldCat Record")</f>
        <v/>
      </c>
      <c r="AW122" t="inlineStr">
        <is>
          <t>3859011215:eng</t>
        </is>
      </c>
      <c r="AX122" t="inlineStr">
        <is>
          <t>51054159</t>
        </is>
      </c>
      <c r="AY122" t="inlineStr">
        <is>
          <t>991001723379702656</t>
        </is>
      </c>
      <c r="AZ122" t="inlineStr">
        <is>
          <t>991001723379702656</t>
        </is>
      </c>
      <c r="BA122" t="inlineStr">
        <is>
          <t>2264108340002656</t>
        </is>
      </c>
      <c r="BB122" t="inlineStr">
        <is>
          <t>BOOK</t>
        </is>
      </c>
      <c r="BD122" t="inlineStr">
        <is>
          <t>9780071406390</t>
        </is>
      </c>
      <c r="BE122" t="inlineStr">
        <is>
          <t>30001004504975</t>
        </is>
      </c>
      <c r="BF122" t="inlineStr">
        <is>
          <t>893274427</t>
        </is>
      </c>
    </row>
    <row r="123">
      <c r="A123" t="inlineStr">
        <is>
          <t>No</t>
        </is>
      </c>
      <c r="B123" t="inlineStr">
        <is>
          <t>CUHSL</t>
        </is>
      </c>
      <c r="C123" t="inlineStr">
        <is>
          <t>SHELVES</t>
        </is>
      </c>
      <c r="D123" t="inlineStr">
        <is>
          <t>WY 16 K14p 1982</t>
        </is>
      </c>
      <c r="E123" t="inlineStr">
        <is>
          <t>0                      WY 0016000K  14p         1982</t>
        </is>
      </c>
      <c r="F123" t="inlineStr">
        <is>
          <t>Politics of nursing / Beatrice J. Kalisch, Philip A. Kalisch.</t>
        </is>
      </c>
      <c r="H123" t="inlineStr">
        <is>
          <t>No</t>
        </is>
      </c>
      <c r="I123" t="inlineStr">
        <is>
          <t>1</t>
        </is>
      </c>
      <c r="J123" t="inlineStr">
        <is>
          <t>No</t>
        </is>
      </c>
      <c r="K123" t="inlineStr">
        <is>
          <t>No</t>
        </is>
      </c>
      <c r="L123" t="inlineStr">
        <is>
          <t>0</t>
        </is>
      </c>
      <c r="M123" t="inlineStr">
        <is>
          <t>Kalisch, Beatrice J., 1943-</t>
        </is>
      </c>
      <c r="N123" t="inlineStr">
        <is>
          <t>Philadelphia : Lippincott, c1982.</t>
        </is>
      </c>
      <c r="O123" t="inlineStr">
        <is>
          <t>1982</t>
        </is>
      </c>
      <c r="Q123" t="inlineStr">
        <is>
          <t>eng</t>
        </is>
      </c>
      <c r="R123" t="inlineStr">
        <is>
          <t>xxu</t>
        </is>
      </c>
      <c r="T123" t="inlineStr">
        <is>
          <t xml:space="preserve">WY </t>
        </is>
      </c>
      <c r="U123" t="n">
        <v>3</v>
      </c>
      <c r="V123" t="n">
        <v>3</v>
      </c>
      <c r="W123" t="inlineStr">
        <is>
          <t>1995-07-14</t>
        </is>
      </c>
      <c r="X123" t="inlineStr">
        <is>
          <t>1995-07-14</t>
        </is>
      </c>
      <c r="Y123" t="inlineStr">
        <is>
          <t>1989-09-02</t>
        </is>
      </c>
      <c r="Z123" t="inlineStr">
        <is>
          <t>1989-09-02</t>
        </is>
      </c>
      <c r="AA123" t="n">
        <v>450</v>
      </c>
      <c r="AB123" t="n">
        <v>399</v>
      </c>
      <c r="AC123" t="n">
        <v>406</v>
      </c>
      <c r="AD123" t="n">
        <v>3</v>
      </c>
      <c r="AE123" t="n">
        <v>3</v>
      </c>
      <c r="AF123" t="n">
        <v>23</v>
      </c>
      <c r="AG123" t="n">
        <v>23</v>
      </c>
      <c r="AH123" t="n">
        <v>11</v>
      </c>
      <c r="AI123" t="n">
        <v>11</v>
      </c>
      <c r="AJ123" t="n">
        <v>4</v>
      </c>
      <c r="AK123" t="n">
        <v>4</v>
      </c>
      <c r="AL123" t="n">
        <v>11</v>
      </c>
      <c r="AM123" t="n">
        <v>11</v>
      </c>
      <c r="AN123" t="n">
        <v>1</v>
      </c>
      <c r="AO123" t="n">
        <v>1</v>
      </c>
      <c r="AP123" t="n">
        <v>0</v>
      </c>
      <c r="AQ123" t="n">
        <v>0</v>
      </c>
      <c r="AR123" t="inlineStr">
        <is>
          <t>No</t>
        </is>
      </c>
      <c r="AS123" t="inlineStr">
        <is>
          <t>Yes</t>
        </is>
      </c>
      <c r="AT123">
        <f>HYPERLINK("http://catalog.hathitrust.org/Record/000305838","HathiTrust Record")</f>
        <v/>
      </c>
      <c r="AU123">
        <f>HYPERLINK("https://creighton-primo.hosted.exlibrisgroup.com/primo-explore/search?tab=default_tab&amp;search_scope=EVERYTHING&amp;vid=01CRU&amp;lang=en_US&amp;offset=0&amp;query=any,contains,991001316089702656","Catalog Record")</f>
        <v/>
      </c>
      <c r="AV123">
        <f>HYPERLINK("http://www.worldcat.org/oclc/7572193","WorldCat Record")</f>
        <v/>
      </c>
      <c r="AW123" t="inlineStr">
        <is>
          <t>471022:eng</t>
        </is>
      </c>
      <c r="AX123" t="inlineStr">
        <is>
          <t>7572193</t>
        </is>
      </c>
      <c r="AY123" t="inlineStr">
        <is>
          <t>991001316089702656</t>
        </is>
      </c>
      <c r="AZ123" t="inlineStr">
        <is>
          <t>991001316089702656</t>
        </is>
      </c>
      <c r="BA123" t="inlineStr">
        <is>
          <t>2255858890002656</t>
        </is>
      </c>
      <c r="BB123" t="inlineStr">
        <is>
          <t>BOOK</t>
        </is>
      </c>
      <c r="BD123" t="inlineStr">
        <is>
          <t>9780397542451</t>
        </is>
      </c>
      <c r="BE123" t="inlineStr">
        <is>
          <t>30001001752858</t>
        </is>
      </c>
      <c r="BF123" t="inlineStr">
        <is>
          <t>893649094</t>
        </is>
      </c>
    </row>
    <row r="124">
      <c r="A124" t="inlineStr">
        <is>
          <t>No</t>
        </is>
      </c>
      <c r="B124" t="inlineStr">
        <is>
          <t>CUHSL</t>
        </is>
      </c>
      <c r="C124" t="inlineStr">
        <is>
          <t>SHELVES</t>
        </is>
      </c>
      <c r="D124" t="inlineStr">
        <is>
          <t>WY 16 K292n 1987</t>
        </is>
      </c>
      <c r="E124" t="inlineStr">
        <is>
          <t>0                      WY 0016000K  292n        1987</t>
        </is>
      </c>
      <c r="F124" t="inlineStr">
        <is>
          <t>The nursing experience : trends, challenges, and transitions / Lucie Young Kelly ; consulting editor, Madeline Renee Turkeltaub.</t>
        </is>
      </c>
      <c r="H124" t="inlineStr">
        <is>
          <t>No</t>
        </is>
      </c>
      <c r="I124" t="inlineStr">
        <is>
          <t>1</t>
        </is>
      </c>
      <c r="J124" t="inlineStr">
        <is>
          <t>No</t>
        </is>
      </c>
      <c r="K124" t="inlineStr">
        <is>
          <t>Yes</t>
        </is>
      </c>
      <c r="L124" t="inlineStr">
        <is>
          <t>0</t>
        </is>
      </c>
      <c r="M124" t="inlineStr">
        <is>
          <t>Kelly, Lucie Young.</t>
        </is>
      </c>
      <c r="N124" t="inlineStr">
        <is>
          <t>New York : Macmillan, c1987.</t>
        </is>
      </c>
      <c r="O124" t="inlineStr">
        <is>
          <t>1987</t>
        </is>
      </c>
      <c r="Q124" t="inlineStr">
        <is>
          <t>eng</t>
        </is>
      </c>
      <c r="R124" t="inlineStr">
        <is>
          <t>xxu</t>
        </is>
      </c>
      <c r="T124" t="inlineStr">
        <is>
          <t xml:space="preserve">WY </t>
        </is>
      </c>
      <c r="U124" t="n">
        <v>12</v>
      </c>
      <c r="V124" t="n">
        <v>12</v>
      </c>
      <c r="W124" t="inlineStr">
        <is>
          <t>1995-01-16</t>
        </is>
      </c>
      <c r="X124" t="inlineStr">
        <is>
          <t>1995-01-16</t>
        </is>
      </c>
      <c r="Y124" t="inlineStr">
        <is>
          <t>1987-10-19</t>
        </is>
      </c>
      <c r="Z124" t="inlineStr">
        <is>
          <t>1987-10-19</t>
        </is>
      </c>
      <c r="AA124" t="n">
        <v>208</v>
      </c>
      <c r="AB124" t="n">
        <v>179</v>
      </c>
      <c r="AC124" t="n">
        <v>1387</v>
      </c>
      <c r="AD124" t="n">
        <v>3</v>
      </c>
      <c r="AE124" t="n">
        <v>34</v>
      </c>
      <c r="AF124" t="n">
        <v>7</v>
      </c>
      <c r="AG124" t="n">
        <v>47</v>
      </c>
      <c r="AH124" t="n">
        <v>1</v>
      </c>
      <c r="AI124" t="n">
        <v>18</v>
      </c>
      <c r="AJ124" t="n">
        <v>1</v>
      </c>
      <c r="AK124" t="n">
        <v>7</v>
      </c>
      <c r="AL124" t="n">
        <v>4</v>
      </c>
      <c r="AM124" t="n">
        <v>15</v>
      </c>
      <c r="AN124" t="n">
        <v>1</v>
      </c>
      <c r="AO124" t="n">
        <v>14</v>
      </c>
      <c r="AP124" t="n">
        <v>0</v>
      </c>
      <c r="AQ124" t="n">
        <v>0</v>
      </c>
      <c r="AR124" t="inlineStr">
        <is>
          <t>No</t>
        </is>
      </c>
      <c r="AS124" t="inlineStr">
        <is>
          <t>Yes</t>
        </is>
      </c>
      <c r="AT124">
        <f>HYPERLINK("http://catalog.hathitrust.org/Record/000807969","HathiTrust Record")</f>
        <v/>
      </c>
      <c r="AU124">
        <f>HYPERLINK("https://creighton-primo.hosted.exlibrisgroup.com/primo-explore/search?tab=default_tab&amp;search_scope=EVERYTHING&amp;vid=01CRU&amp;lang=en_US&amp;offset=0&amp;query=any,contains,991000763529702656","Catalog Record")</f>
        <v/>
      </c>
      <c r="AV124">
        <f>HYPERLINK("http://www.worldcat.org/oclc/14165858","WorldCat Record")</f>
        <v/>
      </c>
      <c r="AW124" t="inlineStr">
        <is>
          <t>794013560:eng</t>
        </is>
      </c>
      <c r="AX124" t="inlineStr">
        <is>
          <t>14165858</t>
        </is>
      </c>
      <c r="AY124" t="inlineStr">
        <is>
          <t>991000763529702656</t>
        </is>
      </c>
      <c r="AZ124" t="inlineStr">
        <is>
          <t>991000763529702656</t>
        </is>
      </c>
      <c r="BA124" t="inlineStr">
        <is>
          <t>2271118670002656</t>
        </is>
      </c>
      <c r="BB124" t="inlineStr">
        <is>
          <t>BOOK</t>
        </is>
      </c>
      <c r="BD124" t="inlineStr">
        <is>
          <t>9780023635007</t>
        </is>
      </c>
      <c r="BE124" t="inlineStr">
        <is>
          <t>30001000056616</t>
        </is>
      </c>
      <c r="BF124" t="inlineStr">
        <is>
          <t>893267379</t>
        </is>
      </c>
    </row>
    <row r="125">
      <c r="A125" t="inlineStr">
        <is>
          <t>No</t>
        </is>
      </c>
      <c r="B125" t="inlineStr">
        <is>
          <t>CUHSL</t>
        </is>
      </c>
      <c r="C125" t="inlineStr">
        <is>
          <t>SHELVES</t>
        </is>
      </c>
      <c r="D125" t="inlineStr">
        <is>
          <t>WY 16 K292n 1996</t>
        </is>
      </c>
      <c r="E125" t="inlineStr">
        <is>
          <t>0                      WY 0016000K  292n        1996</t>
        </is>
      </c>
      <c r="F125" t="inlineStr">
        <is>
          <t>The nursing experience : trends, challenges, and transitions / Lucie Young Kelly, Lucille A. Joel.</t>
        </is>
      </c>
      <c r="H125" t="inlineStr">
        <is>
          <t>No</t>
        </is>
      </c>
      <c r="I125" t="inlineStr">
        <is>
          <t>1</t>
        </is>
      </c>
      <c r="J125" t="inlineStr">
        <is>
          <t>No</t>
        </is>
      </c>
      <c r="K125" t="inlineStr">
        <is>
          <t>Yes</t>
        </is>
      </c>
      <c r="L125" t="inlineStr">
        <is>
          <t>0</t>
        </is>
      </c>
      <c r="M125" t="inlineStr">
        <is>
          <t>Kelly, Lucie Young.</t>
        </is>
      </c>
      <c r="N125" t="inlineStr">
        <is>
          <t>New York : McGraw-Hill, Health Professions Division, c1996.</t>
        </is>
      </c>
      <c r="O125" t="inlineStr">
        <is>
          <t>1996</t>
        </is>
      </c>
      <c r="P125" t="inlineStr">
        <is>
          <t>3rd ed.</t>
        </is>
      </c>
      <c r="Q125" t="inlineStr">
        <is>
          <t>eng</t>
        </is>
      </c>
      <c r="R125" t="inlineStr">
        <is>
          <t>nyu</t>
        </is>
      </c>
      <c r="T125" t="inlineStr">
        <is>
          <t xml:space="preserve">WY </t>
        </is>
      </c>
      <c r="U125" t="n">
        <v>2</v>
      </c>
      <c r="V125" t="n">
        <v>2</v>
      </c>
      <c r="W125" t="inlineStr">
        <is>
          <t>2002-06-03</t>
        </is>
      </c>
      <c r="X125" t="inlineStr">
        <is>
          <t>2002-06-03</t>
        </is>
      </c>
      <c r="Y125" t="inlineStr">
        <is>
          <t>1996-06-24</t>
        </is>
      </c>
      <c r="Z125" t="inlineStr">
        <is>
          <t>1996-06-24</t>
        </is>
      </c>
      <c r="AA125" t="n">
        <v>280</v>
      </c>
      <c r="AB125" t="n">
        <v>241</v>
      </c>
      <c r="AC125" t="n">
        <v>1387</v>
      </c>
      <c r="AD125" t="n">
        <v>1</v>
      </c>
      <c r="AE125" t="n">
        <v>34</v>
      </c>
      <c r="AF125" t="n">
        <v>11</v>
      </c>
      <c r="AG125" t="n">
        <v>47</v>
      </c>
      <c r="AH125" t="n">
        <v>4</v>
      </c>
      <c r="AI125" t="n">
        <v>18</v>
      </c>
      <c r="AJ125" t="n">
        <v>2</v>
      </c>
      <c r="AK125" t="n">
        <v>7</v>
      </c>
      <c r="AL125" t="n">
        <v>6</v>
      </c>
      <c r="AM125" t="n">
        <v>15</v>
      </c>
      <c r="AN125" t="n">
        <v>0</v>
      </c>
      <c r="AO125" t="n">
        <v>14</v>
      </c>
      <c r="AP125" t="n">
        <v>0</v>
      </c>
      <c r="AQ125" t="n">
        <v>0</v>
      </c>
      <c r="AR125" t="inlineStr">
        <is>
          <t>No</t>
        </is>
      </c>
      <c r="AS125" t="inlineStr">
        <is>
          <t>Yes</t>
        </is>
      </c>
      <c r="AT125">
        <f>HYPERLINK("http://catalog.hathitrust.org/Record/003065129","HathiTrust Record")</f>
        <v/>
      </c>
      <c r="AU125">
        <f>HYPERLINK("https://creighton-primo.hosted.exlibrisgroup.com/primo-explore/search?tab=default_tab&amp;search_scope=EVERYTHING&amp;vid=01CRU&amp;lang=en_US&amp;offset=0&amp;query=any,contains,991000832829702656","Catalog Record")</f>
        <v/>
      </c>
      <c r="AV125">
        <f>HYPERLINK("http://www.worldcat.org/oclc/33008239","WorldCat Record")</f>
        <v/>
      </c>
      <c r="AW125" t="inlineStr">
        <is>
          <t>794013560:eng</t>
        </is>
      </c>
      <c r="AX125" t="inlineStr">
        <is>
          <t>33008239</t>
        </is>
      </c>
      <c r="AY125" t="inlineStr">
        <is>
          <t>991000832829702656</t>
        </is>
      </c>
      <c r="AZ125" t="inlineStr">
        <is>
          <t>991000832829702656</t>
        </is>
      </c>
      <c r="BA125" t="inlineStr">
        <is>
          <t>2261437310002656</t>
        </is>
      </c>
      <c r="BB125" t="inlineStr">
        <is>
          <t>BOOK</t>
        </is>
      </c>
      <c r="BD125" t="inlineStr">
        <is>
          <t>9780071054836</t>
        </is>
      </c>
      <c r="BE125" t="inlineStr">
        <is>
          <t>30001003440072</t>
        </is>
      </c>
      <c r="BF125" t="inlineStr">
        <is>
          <t>893120557</t>
        </is>
      </c>
    </row>
    <row r="126">
      <c r="A126" t="inlineStr">
        <is>
          <t>No</t>
        </is>
      </c>
      <c r="B126" t="inlineStr">
        <is>
          <t>CUHSL</t>
        </is>
      </c>
      <c r="C126" t="inlineStr">
        <is>
          <t>SHELVES</t>
        </is>
      </c>
      <c r="D126" t="inlineStr">
        <is>
          <t>WY 16 K33d 1999</t>
        </is>
      </c>
      <c r="E126" t="inlineStr">
        <is>
          <t>0                      WY 0016000K  33d         1999</t>
        </is>
      </c>
      <c r="F126" t="inlineStr">
        <is>
          <t>Dimensions of professional nursing / Lucie Young Kelly, Lucille A. Joel.</t>
        </is>
      </c>
      <c r="H126" t="inlineStr">
        <is>
          <t>No</t>
        </is>
      </c>
      <c r="I126" t="inlineStr">
        <is>
          <t>1</t>
        </is>
      </c>
      <c r="J126" t="inlineStr">
        <is>
          <t>No</t>
        </is>
      </c>
      <c r="K126" t="inlineStr">
        <is>
          <t>Yes</t>
        </is>
      </c>
      <c r="L126" t="inlineStr">
        <is>
          <t>0</t>
        </is>
      </c>
      <c r="M126" t="inlineStr">
        <is>
          <t>Kelly, Lucie Young.</t>
        </is>
      </c>
      <c r="N126" t="inlineStr">
        <is>
          <t>New York : McGraw-Hill, Health Professions Division, c1999.</t>
        </is>
      </c>
      <c r="O126" t="inlineStr">
        <is>
          <t>1999</t>
        </is>
      </c>
      <c r="P126" t="inlineStr">
        <is>
          <t>8th ed.</t>
        </is>
      </c>
      <c r="Q126" t="inlineStr">
        <is>
          <t>eng</t>
        </is>
      </c>
      <c r="R126" t="inlineStr">
        <is>
          <t>nyu</t>
        </is>
      </c>
      <c r="T126" t="inlineStr">
        <is>
          <t xml:space="preserve">WY </t>
        </is>
      </c>
      <c r="U126" t="n">
        <v>2</v>
      </c>
      <c r="V126" t="n">
        <v>2</v>
      </c>
      <c r="W126" t="inlineStr">
        <is>
          <t>1999-06-23</t>
        </is>
      </c>
      <c r="X126" t="inlineStr">
        <is>
          <t>1999-06-23</t>
        </is>
      </c>
      <c r="Y126" t="inlineStr">
        <is>
          <t>1999-06-23</t>
        </is>
      </c>
      <c r="Z126" t="inlineStr">
        <is>
          <t>1999-06-23</t>
        </is>
      </c>
      <c r="AA126" t="n">
        <v>327</v>
      </c>
      <c r="AB126" t="n">
        <v>262</v>
      </c>
      <c r="AC126" t="n">
        <v>739</v>
      </c>
      <c r="AD126" t="n">
        <v>1</v>
      </c>
      <c r="AE126" t="n">
        <v>3</v>
      </c>
      <c r="AF126" t="n">
        <v>7</v>
      </c>
      <c r="AG126" t="n">
        <v>14</v>
      </c>
      <c r="AH126" t="n">
        <v>2</v>
      </c>
      <c r="AI126" t="n">
        <v>3</v>
      </c>
      <c r="AJ126" t="n">
        <v>0</v>
      </c>
      <c r="AK126" t="n">
        <v>2</v>
      </c>
      <c r="AL126" t="n">
        <v>5</v>
      </c>
      <c r="AM126" t="n">
        <v>9</v>
      </c>
      <c r="AN126" t="n">
        <v>0</v>
      </c>
      <c r="AO126" t="n">
        <v>1</v>
      </c>
      <c r="AP126" t="n">
        <v>0</v>
      </c>
      <c r="AQ126" t="n">
        <v>0</v>
      </c>
      <c r="AR126" t="inlineStr">
        <is>
          <t>No</t>
        </is>
      </c>
      <c r="AS126" t="inlineStr">
        <is>
          <t>Yes</t>
        </is>
      </c>
      <c r="AT126">
        <f>HYPERLINK("http://catalog.hathitrust.org/Record/004027505","HathiTrust Record")</f>
        <v/>
      </c>
      <c r="AU126">
        <f>HYPERLINK("https://creighton-primo.hosted.exlibrisgroup.com/primo-explore/search?tab=default_tab&amp;search_scope=EVERYTHING&amp;vid=01CRU&amp;lang=en_US&amp;offset=0&amp;query=any,contains,991001561589702656","Catalog Record")</f>
        <v/>
      </c>
      <c r="AV126">
        <f>HYPERLINK("http://www.worldcat.org/oclc/40331258","WorldCat Record")</f>
        <v/>
      </c>
      <c r="AW126" t="inlineStr">
        <is>
          <t>2427181:eng</t>
        </is>
      </c>
      <c r="AX126" t="inlineStr">
        <is>
          <t>40331258</t>
        </is>
      </c>
      <c r="AY126" t="inlineStr">
        <is>
          <t>991001561589702656</t>
        </is>
      </c>
      <c r="AZ126" t="inlineStr">
        <is>
          <t>991001561589702656</t>
        </is>
      </c>
      <c r="BA126" t="inlineStr">
        <is>
          <t>2256360050002656</t>
        </is>
      </c>
      <c r="BB126" t="inlineStr">
        <is>
          <t>BOOK</t>
        </is>
      </c>
      <c r="BD126" t="inlineStr">
        <is>
          <t>9780070344402</t>
        </is>
      </c>
      <c r="BE126" t="inlineStr">
        <is>
          <t>30001004075067</t>
        </is>
      </c>
      <c r="BF126" t="inlineStr">
        <is>
          <t>893652080</t>
        </is>
      </c>
    </row>
    <row r="127">
      <c r="A127" t="inlineStr">
        <is>
          <t>No</t>
        </is>
      </c>
      <c r="B127" t="inlineStr">
        <is>
          <t>CUHSL</t>
        </is>
      </c>
      <c r="C127" t="inlineStr">
        <is>
          <t>SHELVES</t>
        </is>
      </c>
      <c r="D127" t="inlineStr">
        <is>
          <t>WY 16 K72r 1975</t>
        </is>
      </c>
      <c r="E127" t="inlineStr">
        <is>
          <t>0                      WY 0016000K  72r         1975</t>
        </is>
      </c>
      <c r="F127" t="inlineStr">
        <is>
          <t>RN's one and five years after graduation / Lucille Knopf.</t>
        </is>
      </c>
      <c r="H127" t="inlineStr">
        <is>
          <t>No</t>
        </is>
      </c>
      <c r="I127" t="inlineStr">
        <is>
          <t>1</t>
        </is>
      </c>
      <c r="J127" t="inlineStr">
        <is>
          <t>No</t>
        </is>
      </c>
      <c r="K127" t="inlineStr">
        <is>
          <t>No</t>
        </is>
      </c>
      <c r="L127" t="inlineStr">
        <is>
          <t>0</t>
        </is>
      </c>
      <c r="M127" t="inlineStr">
        <is>
          <t>Knopf, Lucille.</t>
        </is>
      </c>
      <c r="N127" t="inlineStr">
        <is>
          <t>New York : Division of Research, National League for Nursing, c1975.</t>
        </is>
      </c>
      <c r="O127" t="inlineStr">
        <is>
          <t>1975</t>
        </is>
      </c>
      <c r="Q127" t="inlineStr">
        <is>
          <t>eng</t>
        </is>
      </c>
      <c r="R127" t="inlineStr">
        <is>
          <t>nyu</t>
        </is>
      </c>
      <c r="S127" t="inlineStr">
        <is>
          <t>NLN pub. no. 19-1535</t>
        </is>
      </c>
      <c r="T127" t="inlineStr">
        <is>
          <t xml:space="preserve">WY </t>
        </is>
      </c>
      <c r="U127" t="n">
        <v>1</v>
      </c>
      <c r="V127" t="n">
        <v>1</v>
      </c>
      <c r="W127" t="inlineStr">
        <is>
          <t>1990-09-05</t>
        </is>
      </c>
      <c r="X127" t="inlineStr">
        <is>
          <t>1990-09-05</t>
        </is>
      </c>
      <c r="Y127" t="inlineStr">
        <is>
          <t>1987-11-03</t>
        </is>
      </c>
      <c r="Z127" t="inlineStr">
        <is>
          <t>1987-11-03</t>
        </is>
      </c>
      <c r="AA127" t="n">
        <v>140</v>
      </c>
      <c r="AB127" t="n">
        <v>124</v>
      </c>
      <c r="AC127" t="n">
        <v>127</v>
      </c>
      <c r="AD127" t="n">
        <v>3</v>
      </c>
      <c r="AE127" t="n">
        <v>3</v>
      </c>
      <c r="AF127" t="n">
        <v>5</v>
      </c>
      <c r="AG127" t="n">
        <v>5</v>
      </c>
      <c r="AH127" t="n">
        <v>0</v>
      </c>
      <c r="AI127" t="n">
        <v>0</v>
      </c>
      <c r="AJ127" t="n">
        <v>2</v>
      </c>
      <c r="AK127" t="n">
        <v>2</v>
      </c>
      <c r="AL127" t="n">
        <v>2</v>
      </c>
      <c r="AM127" t="n">
        <v>2</v>
      </c>
      <c r="AN127" t="n">
        <v>1</v>
      </c>
      <c r="AO127" t="n">
        <v>1</v>
      </c>
      <c r="AP127" t="n">
        <v>0</v>
      </c>
      <c r="AQ127" t="n">
        <v>0</v>
      </c>
      <c r="AR127" t="inlineStr">
        <is>
          <t>No</t>
        </is>
      </c>
      <c r="AS127" t="inlineStr">
        <is>
          <t>Yes</t>
        </is>
      </c>
      <c r="AT127">
        <f>HYPERLINK("http://catalog.hathitrust.org/Record/000727734","HathiTrust Record")</f>
        <v/>
      </c>
      <c r="AU127">
        <f>HYPERLINK("https://creighton-primo.hosted.exlibrisgroup.com/primo-explore/search?tab=default_tab&amp;search_scope=EVERYTHING&amp;vid=01CRU&amp;lang=en_US&amp;offset=0&amp;query=any,contains,991001381119702656","Catalog Record")</f>
        <v/>
      </c>
      <c r="AV127">
        <f>HYPERLINK("http://www.worldcat.org/oclc/2536880","WorldCat Record")</f>
        <v/>
      </c>
      <c r="AW127" t="inlineStr">
        <is>
          <t>5556166:eng</t>
        </is>
      </c>
      <c r="AX127" t="inlineStr">
        <is>
          <t>2536880</t>
        </is>
      </c>
      <c r="AY127" t="inlineStr">
        <is>
          <t>991001381119702656</t>
        </is>
      </c>
      <c r="AZ127" t="inlineStr">
        <is>
          <t>991001381119702656</t>
        </is>
      </c>
      <c r="BA127" t="inlineStr">
        <is>
          <t>2270727870002656</t>
        </is>
      </c>
      <c r="BB127" t="inlineStr">
        <is>
          <t>BOOK</t>
        </is>
      </c>
      <c r="BE127" t="inlineStr">
        <is>
          <t>30001000462749</t>
        </is>
      </c>
      <c r="BF127" t="inlineStr">
        <is>
          <t>893121444</t>
        </is>
      </c>
    </row>
    <row r="128">
      <c r="A128" t="inlineStr">
        <is>
          <t>No</t>
        </is>
      </c>
      <c r="B128" t="inlineStr">
        <is>
          <t>CUHSL</t>
        </is>
      </c>
      <c r="C128" t="inlineStr">
        <is>
          <t>SHELVES</t>
        </is>
      </c>
      <c r="D128" t="inlineStr">
        <is>
          <t>WY 16 L472c 1998</t>
        </is>
      </c>
      <c r="E128" t="inlineStr">
        <is>
          <t>0                      WY 0016000L  472c        1998</t>
        </is>
      </c>
      <c r="F128" t="inlineStr">
        <is>
          <t>Conceptual bases of professional nursing / Susan Kun Leddy.</t>
        </is>
      </c>
      <c r="H128" t="inlineStr">
        <is>
          <t>No</t>
        </is>
      </c>
      <c r="I128" t="inlineStr">
        <is>
          <t>1</t>
        </is>
      </c>
      <c r="J128" t="inlineStr">
        <is>
          <t>No</t>
        </is>
      </c>
      <c r="K128" t="inlineStr">
        <is>
          <t>Yes</t>
        </is>
      </c>
      <c r="L128" t="inlineStr">
        <is>
          <t>0</t>
        </is>
      </c>
      <c r="M128" t="inlineStr">
        <is>
          <t>Leddy, Susan.</t>
        </is>
      </c>
      <c r="N128" t="inlineStr">
        <is>
          <t>Philadelphia : Lippincott, c1998.</t>
        </is>
      </c>
      <c r="O128" t="inlineStr">
        <is>
          <t>1998</t>
        </is>
      </c>
      <c r="P128" t="inlineStr">
        <is>
          <t>4th ed.</t>
        </is>
      </c>
      <c r="Q128" t="inlineStr">
        <is>
          <t>eng</t>
        </is>
      </c>
      <c r="R128" t="inlineStr">
        <is>
          <t>pau</t>
        </is>
      </c>
      <c r="T128" t="inlineStr">
        <is>
          <t xml:space="preserve">WY </t>
        </is>
      </c>
      <c r="U128" t="n">
        <v>3</v>
      </c>
      <c r="V128" t="n">
        <v>3</v>
      </c>
      <c r="W128" t="inlineStr">
        <is>
          <t>1998-04-20</t>
        </is>
      </c>
      <c r="X128" t="inlineStr">
        <is>
          <t>1998-04-20</t>
        </is>
      </c>
      <c r="Y128" t="inlineStr">
        <is>
          <t>1998-04-17</t>
        </is>
      </c>
      <c r="Z128" t="inlineStr">
        <is>
          <t>1998-04-17</t>
        </is>
      </c>
      <c r="AA128" t="n">
        <v>351</v>
      </c>
      <c r="AB128" t="n">
        <v>262</v>
      </c>
      <c r="AC128" t="n">
        <v>498</v>
      </c>
      <c r="AD128" t="n">
        <v>1</v>
      </c>
      <c r="AE128" t="n">
        <v>2</v>
      </c>
      <c r="AF128" t="n">
        <v>7</v>
      </c>
      <c r="AG128" t="n">
        <v>17</v>
      </c>
      <c r="AH128" t="n">
        <v>5</v>
      </c>
      <c r="AI128" t="n">
        <v>8</v>
      </c>
      <c r="AJ128" t="n">
        <v>1</v>
      </c>
      <c r="AK128" t="n">
        <v>3</v>
      </c>
      <c r="AL128" t="n">
        <v>3</v>
      </c>
      <c r="AM128" t="n">
        <v>11</v>
      </c>
      <c r="AN128" t="n">
        <v>0</v>
      </c>
      <c r="AO128" t="n">
        <v>1</v>
      </c>
      <c r="AP128" t="n">
        <v>0</v>
      </c>
      <c r="AQ128" t="n">
        <v>0</v>
      </c>
      <c r="AR128" t="inlineStr">
        <is>
          <t>No</t>
        </is>
      </c>
      <c r="AS128" t="inlineStr">
        <is>
          <t>Yes</t>
        </is>
      </c>
      <c r="AT128">
        <f>HYPERLINK("http://catalog.hathitrust.org/Record/003252727","HathiTrust Record")</f>
        <v/>
      </c>
      <c r="AU128">
        <f>HYPERLINK("https://creighton-primo.hosted.exlibrisgroup.com/primo-explore/search?tab=default_tab&amp;search_scope=EVERYTHING&amp;vid=01CRU&amp;lang=en_US&amp;offset=0&amp;query=any,contains,991001429369702656","Catalog Record")</f>
        <v/>
      </c>
      <c r="AV128">
        <f>HYPERLINK("http://www.worldcat.org/oclc/37879074","WorldCat Record")</f>
        <v/>
      </c>
      <c r="AW128" t="inlineStr">
        <is>
          <t>538725:eng</t>
        </is>
      </c>
      <c r="AX128" t="inlineStr">
        <is>
          <t>37879074</t>
        </is>
      </c>
      <c r="AY128" t="inlineStr">
        <is>
          <t>991001429369702656</t>
        </is>
      </c>
      <c r="AZ128" t="inlineStr">
        <is>
          <t>991001429369702656</t>
        </is>
      </c>
      <c r="BA128" t="inlineStr">
        <is>
          <t>2264441430002656</t>
        </is>
      </c>
      <c r="BB128" t="inlineStr">
        <is>
          <t>BOOK</t>
        </is>
      </c>
      <c r="BE128" t="inlineStr">
        <is>
          <t>30001003864420</t>
        </is>
      </c>
      <c r="BF128" t="inlineStr">
        <is>
          <t>893816389</t>
        </is>
      </c>
    </row>
    <row r="129">
      <c r="A129" t="inlineStr">
        <is>
          <t>No</t>
        </is>
      </c>
      <c r="B129" t="inlineStr">
        <is>
          <t>CUHSL</t>
        </is>
      </c>
      <c r="C129" t="inlineStr">
        <is>
          <t>SHELVES</t>
        </is>
      </c>
      <c r="D129" t="inlineStr">
        <is>
          <t>WY 16 L987a 1996</t>
        </is>
      </c>
      <c r="E129" t="inlineStr">
        <is>
          <t>0                      WY 0016000L  987a        1996</t>
        </is>
      </c>
      <c r="F129" t="inlineStr">
        <is>
          <t>American nursing : from hospitals to health systems / Joan E. Lynaugh and Barbara L. Brush.</t>
        </is>
      </c>
      <c r="H129" t="inlineStr">
        <is>
          <t>No</t>
        </is>
      </c>
      <c r="I129" t="inlineStr">
        <is>
          <t>1</t>
        </is>
      </c>
      <c r="J129" t="inlineStr">
        <is>
          <t>No</t>
        </is>
      </c>
      <c r="K129" t="inlineStr">
        <is>
          <t>No</t>
        </is>
      </c>
      <c r="L129" t="inlineStr">
        <is>
          <t>0</t>
        </is>
      </c>
      <c r="M129" t="inlineStr">
        <is>
          <t>Lynaugh, Joan E.</t>
        </is>
      </c>
      <c r="N129" t="inlineStr">
        <is>
          <t>Cambridge, Mass. : Blackwell Publishers, a copublication with the Milbank Memorial Fund, 1996.</t>
        </is>
      </c>
      <c r="O129" t="inlineStr">
        <is>
          <t>1996</t>
        </is>
      </c>
      <c r="Q129" t="inlineStr">
        <is>
          <t>eng</t>
        </is>
      </c>
      <c r="R129" t="inlineStr">
        <is>
          <t>mau</t>
        </is>
      </c>
      <c r="T129" t="inlineStr">
        <is>
          <t xml:space="preserve">WY </t>
        </is>
      </c>
      <c r="U129" t="n">
        <v>2</v>
      </c>
      <c r="V129" t="n">
        <v>2</v>
      </c>
      <c r="W129" t="inlineStr">
        <is>
          <t>1998-09-22</t>
        </is>
      </c>
      <c r="X129" t="inlineStr">
        <is>
          <t>1998-09-22</t>
        </is>
      </c>
      <c r="Y129" t="inlineStr">
        <is>
          <t>1998-01-16</t>
        </is>
      </c>
      <c r="Z129" t="inlineStr">
        <is>
          <t>1998-01-16</t>
        </is>
      </c>
      <c r="AA129" t="n">
        <v>211</v>
      </c>
      <c r="AB129" t="n">
        <v>182</v>
      </c>
      <c r="AC129" t="n">
        <v>191</v>
      </c>
      <c r="AD129" t="n">
        <v>3</v>
      </c>
      <c r="AE129" t="n">
        <v>3</v>
      </c>
      <c r="AF129" t="n">
        <v>14</v>
      </c>
      <c r="AG129" t="n">
        <v>14</v>
      </c>
      <c r="AH129" t="n">
        <v>7</v>
      </c>
      <c r="AI129" t="n">
        <v>7</v>
      </c>
      <c r="AJ129" t="n">
        <v>3</v>
      </c>
      <c r="AK129" t="n">
        <v>3</v>
      </c>
      <c r="AL129" t="n">
        <v>7</v>
      </c>
      <c r="AM129" t="n">
        <v>7</v>
      </c>
      <c r="AN129" t="n">
        <v>1</v>
      </c>
      <c r="AO129" t="n">
        <v>1</v>
      </c>
      <c r="AP129" t="n">
        <v>0</v>
      </c>
      <c r="AQ129" t="n">
        <v>0</v>
      </c>
      <c r="AR129" t="inlineStr">
        <is>
          <t>No</t>
        </is>
      </c>
      <c r="AS129" t="inlineStr">
        <is>
          <t>No</t>
        </is>
      </c>
      <c r="AU129">
        <f>HYPERLINK("https://creighton-primo.hosted.exlibrisgroup.com/primo-explore/search?tab=default_tab&amp;search_scope=EVERYTHING&amp;vid=01CRU&amp;lang=en_US&amp;offset=0&amp;query=any,contains,991001227139702656","Catalog Record")</f>
        <v/>
      </c>
      <c r="AV129">
        <f>HYPERLINK("http://www.worldcat.org/oclc/35694537","WorldCat Record")</f>
        <v/>
      </c>
      <c r="AW129" t="inlineStr">
        <is>
          <t>837023819:eng</t>
        </is>
      </c>
      <c r="AX129" t="inlineStr">
        <is>
          <t>35694537</t>
        </is>
      </c>
      <c r="AY129" t="inlineStr">
        <is>
          <t>991001227139702656</t>
        </is>
      </c>
      <c r="AZ129" t="inlineStr">
        <is>
          <t>991001227139702656</t>
        </is>
      </c>
      <c r="BA129" t="inlineStr">
        <is>
          <t>2259362540002656</t>
        </is>
      </c>
      <c r="BB129" t="inlineStr">
        <is>
          <t>BOOK</t>
        </is>
      </c>
      <c r="BD129" t="inlineStr">
        <is>
          <t>9781577180463</t>
        </is>
      </c>
      <c r="BE129" t="inlineStr">
        <is>
          <t>30001003669746</t>
        </is>
      </c>
      <c r="BF129" t="inlineStr">
        <is>
          <t>893832025</t>
        </is>
      </c>
    </row>
    <row r="130">
      <c r="A130" t="inlineStr">
        <is>
          <t>No</t>
        </is>
      </c>
      <c r="B130" t="inlineStr">
        <is>
          <t>CUHSL</t>
        </is>
      </c>
      <c r="C130" t="inlineStr">
        <is>
          <t>SHELVES</t>
        </is>
      </c>
      <c r="D130" t="inlineStr">
        <is>
          <t>WY 16 M299t 1986</t>
        </is>
      </c>
      <c r="E130" t="inlineStr">
        <is>
          <t>0                      WY 0016000M  299t        1986</t>
        </is>
      </c>
      <c r="F130" t="inlineStr">
        <is>
          <t>Talking points / Pamela J. Maraldo, Sally Solomon.</t>
        </is>
      </c>
      <c r="H130" t="inlineStr">
        <is>
          <t>No</t>
        </is>
      </c>
      <c r="I130" t="inlineStr">
        <is>
          <t>1</t>
        </is>
      </c>
      <c r="J130" t="inlineStr">
        <is>
          <t>No</t>
        </is>
      </c>
      <c r="K130" t="inlineStr">
        <is>
          <t>No</t>
        </is>
      </c>
      <c r="L130" t="inlineStr">
        <is>
          <t>0</t>
        </is>
      </c>
      <c r="M130" t="inlineStr">
        <is>
          <t>Maraldo, Pamela.</t>
        </is>
      </c>
      <c r="N130" t="inlineStr">
        <is>
          <t>New York : National League for Nursing, 1986.</t>
        </is>
      </c>
      <c r="O130" t="inlineStr">
        <is>
          <t>1986</t>
        </is>
      </c>
      <c r="Q130" t="inlineStr">
        <is>
          <t>eng</t>
        </is>
      </c>
      <c r="R130" t="inlineStr">
        <is>
          <t>nyu</t>
        </is>
      </c>
      <c r="S130" t="inlineStr">
        <is>
          <t>NLN pub. no. 41-1993</t>
        </is>
      </c>
      <c r="T130" t="inlineStr">
        <is>
          <t xml:space="preserve">WY </t>
        </is>
      </c>
      <c r="U130" t="n">
        <v>3</v>
      </c>
      <c r="V130" t="n">
        <v>3</v>
      </c>
      <c r="W130" t="inlineStr">
        <is>
          <t>1991-06-23</t>
        </is>
      </c>
      <c r="X130" t="inlineStr">
        <is>
          <t>1991-06-23</t>
        </is>
      </c>
      <c r="Y130" t="inlineStr">
        <is>
          <t>1987-11-12</t>
        </is>
      </c>
      <c r="Z130" t="inlineStr">
        <is>
          <t>1987-11-12</t>
        </is>
      </c>
      <c r="AA130" t="n">
        <v>124</v>
      </c>
      <c r="AB130" t="n">
        <v>112</v>
      </c>
      <c r="AC130" t="n">
        <v>251</v>
      </c>
      <c r="AD130" t="n">
        <v>2</v>
      </c>
      <c r="AE130" t="n">
        <v>2</v>
      </c>
      <c r="AF130" t="n">
        <v>7</v>
      </c>
      <c r="AG130" t="n">
        <v>11</v>
      </c>
      <c r="AH130" t="n">
        <v>2</v>
      </c>
      <c r="AI130" t="n">
        <v>4</v>
      </c>
      <c r="AJ130" t="n">
        <v>1</v>
      </c>
      <c r="AK130" t="n">
        <v>2</v>
      </c>
      <c r="AL130" t="n">
        <v>5</v>
      </c>
      <c r="AM130" t="n">
        <v>8</v>
      </c>
      <c r="AN130" t="n">
        <v>0</v>
      </c>
      <c r="AO130" t="n">
        <v>0</v>
      </c>
      <c r="AP130" t="n">
        <v>0</v>
      </c>
      <c r="AQ130" t="n">
        <v>0</v>
      </c>
      <c r="AR130" t="inlineStr">
        <is>
          <t>No</t>
        </is>
      </c>
      <c r="AS130" t="inlineStr">
        <is>
          <t>Yes</t>
        </is>
      </c>
      <c r="AT130">
        <f>HYPERLINK("http://catalog.hathitrust.org/Record/002508266","HathiTrust Record")</f>
        <v/>
      </c>
      <c r="AU130">
        <f>HYPERLINK("https://creighton-primo.hosted.exlibrisgroup.com/primo-explore/search?tab=default_tab&amp;search_scope=EVERYTHING&amp;vid=01CRU&amp;lang=en_US&amp;offset=0&amp;query=any,contains,991001517299702656","Catalog Record")</f>
        <v/>
      </c>
      <c r="AV130">
        <f>HYPERLINK("http://www.worldcat.org/oclc/16278572","WorldCat Record")</f>
        <v/>
      </c>
      <c r="AW130" t="inlineStr">
        <is>
          <t>12389526:eng</t>
        </is>
      </c>
      <c r="AX130" t="inlineStr">
        <is>
          <t>16278572</t>
        </is>
      </c>
      <c r="AY130" t="inlineStr">
        <is>
          <t>991001517299702656</t>
        </is>
      </c>
      <c r="AZ130" t="inlineStr">
        <is>
          <t>991001517299702656</t>
        </is>
      </c>
      <c r="BA130" t="inlineStr">
        <is>
          <t>2256570930002656</t>
        </is>
      </c>
      <c r="BB130" t="inlineStr">
        <is>
          <t>BOOK</t>
        </is>
      </c>
      <c r="BD130" t="inlineStr">
        <is>
          <t>9780887372117</t>
        </is>
      </c>
      <c r="BE130" t="inlineStr">
        <is>
          <t>30001000600165</t>
        </is>
      </c>
      <c r="BF130" t="inlineStr">
        <is>
          <t>893832277</t>
        </is>
      </c>
    </row>
    <row r="131">
      <c r="A131" t="inlineStr">
        <is>
          <t>No</t>
        </is>
      </c>
      <c r="B131" t="inlineStr">
        <is>
          <t>CUHSL</t>
        </is>
      </c>
      <c r="C131" t="inlineStr">
        <is>
          <t>SHELVES</t>
        </is>
      </c>
      <c r="D131" t="inlineStr">
        <is>
          <t>WY 16 M478n 1990</t>
        </is>
      </c>
      <c r="E131" t="inlineStr">
        <is>
          <t>0                      WY 0016000M  478n        1990</t>
        </is>
      </c>
      <c r="F131" t="inlineStr">
        <is>
          <t>The nursing shortage and the 1990s : realities and remedies / Richard C. McKibbin.</t>
        </is>
      </c>
      <c r="H131" t="inlineStr">
        <is>
          <t>No</t>
        </is>
      </c>
      <c r="I131" t="inlineStr">
        <is>
          <t>1</t>
        </is>
      </c>
      <c r="J131" t="inlineStr">
        <is>
          <t>No</t>
        </is>
      </c>
      <c r="K131" t="inlineStr">
        <is>
          <t>No</t>
        </is>
      </c>
      <c r="L131" t="inlineStr">
        <is>
          <t>0</t>
        </is>
      </c>
      <c r="M131" t="inlineStr">
        <is>
          <t>McKibbin, Richard C.</t>
        </is>
      </c>
      <c r="N131" t="inlineStr">
        <is>
          <t>Kansas City, Mo. : American Nurses Association, c1990.</t>
        </is>
      </c>
      <c r="O131" t="inlineStr">
        <is>
          <t>1990</t>
        </is>
      </c>
      <c r="Q131" t="inlineStr">
        <is>
          <t>eng</t>
        </is>
      </c>
      <c r="R131" t="inlineStr">
        <is>
          <t>mou</t>
        </is>
      </c>
      <c r="S131" t="inlineStr">
        <is>
          <t>ANA pub ; no. G-179</t>
        </is>
      </c>
      <c r="T131" t="inlineStr">
        <is>
          <t xml:space="preserve">WY </t>
        </is>
      </c>
      <c r="U131" t="n">
        <v>2</v>
      </c>
      <c r="V131" t="n">
        <v>2</v>
      </c>
      <c r="W131" t="inlineStr">
        <is>
          <t>2004-04-27</t>
        </is>
      </c>
      <c r="X131" t="inlineStr">
        <is>
          <t>2004-04-27</t>
        </is>
      </c>
      <c r="Y131" t="inlineStr">
        <is>
          <t>2000-06-15</t>
        </is>
      </c>
      <c r="Z131" t="inlineStr">
        <is>
          <t>2000-06-15</t>
        </is>
      </c>
      <c r="AA131" t="n">
        <v>176</v>
      </c>
      <c r="AB131" t="n">
        <v>166</v>
      </c>
      <c r="AC131" t="n">
        <v>176</v>
      </c>
      <c r="AD131" t="n">
        <v>1</v>
      </c>
      <c r="AE131" t="n">
        <v>1</v>
      </c>
      <c r="AF131" t="n">
        <v>10</v>
      </c>
      <c r="AG131" t="n">
        <v>10</v>
      </c>
      <c r="AH131" t="n">
        <v>4</v>
      </c>
      <c r="AI131" t="n">
        <v>4</v>
      </c>
      <c r="AJ131" t="n">
        <v>0</v>
      </c>
      <c r="AK131" t="n">
        <v>0</v>
      </c>
      <c r="AL131" t="n">
        <v>8</v>
      </c>
      <c r="AM131" t="n">
        <v>8</v>
      </c>
      <c r="AN131" t="n">
        <v>0</v>
      </c>
      <c r="AO131" t="n">
        <v>0</v>
      </c>
      <c r="AP131" t="n">
        <v>0</v>
      </c>
      <c r="AQ131" t="n">
        <v>0</v>
      </c>
      <c r="AR131" t="inlineStr">
        <is>
          <t>No</t>
        </is>
      </c>
      <c r="AS131" t="inlineStr">
        <is>
          <t>Yes</t>
        </is>
      </c>
      <c r="AT131">
        <f>HYPERLINK("http://catalog.hathitrust.org/Record/002435635","HathiTrust Record")</f>
        <v/>
      </c>
      <c r="AU131">
        <f>HYPERLINK("https://creighton-primo.hosted.exlibrisgroup.com/primo-explore/search?tab=default_tab&amp;search_scope=EVERYTHING&amp;vid=01CRU&amp;lang=en_US&amp;offset=0&amp;query=any,contains,991000225869702656","Catalog Record")</f>
        <v/>
      </c>
      <c r="AV131">
        <f>HYPERLINK("http://www.worldcat.org/oclc/22665345","WorldCat Record")</f>
        <v/>
      </c>
      <c r="AW131" t="inlineStr">
        <is>
          <t>3769134201:eng</t>
        </is>
      </c>
      <c r="AX131" t="inlineStr">
        <is>
          <t>22665345</t>
        </is>
      </c>
      <c r="AY131" t="inlineStr">
        <is>
          <t>991000225869702656</t>
        </is>
      </c>
      <c r="AZ131" t="inlineStr">
        <is>
          <t>991000225869702656</t>
        </is>
      </c>
      <c r="BA131" t="inlineStr">
        <is>
          <t>2257336400002656</t>
        </is>
      </c>
      <c r="BB131" t="inlineStr">
        <is>
          <t>BOOK</t>
        </is>
      </c>
      <c r="BD131" t="inlineStr">
        <is>
          <t>9781558100121</t>
        </is>
      </c>
      <c r="BE131" t="inlineStr">
        <is>
          <t>30001002086108</t>
        </is>
      </c>
      <c r="BF131" t="inlineStr">
        <is>
          <t>893456487</t>
        </is>
      </c>
    </row>
    <row r="132">
      <c r="A132" t="inlineStr">
        <is>
          <t>No</t>
        </is>
      </c>
      <c r="B132" t="inlineStr">
        <is>
          <t>CUHSL</t>
        </is>
      </c>
      <c r="C132" t="inlineStr">
        <is>
          <t>SHELVES</t>
        </is>
      </c>
      <c r="D132" t="inlineStr">
        <is>
          <t>WY16 M484 1990</t>
        </is>
      </c>
      <c r="E132" t="inlineStr">
        <is>
          <t>0                      WY 0016000M  484         1990</t>
        </is>
      </c>
      <c r="F132" t="inlineStr">
        <is>
          <t>Measurement of nursing outcomes / Carolyn F. Waltz, Ora L. Strickland, editors.</t>
        </is>
      </c>
      <c r="G132" t="inlineStr">
        <is>
          <t>V. 3</t>
        </is>
      </c>
      <c r="H132" t="inlineStr">
        <is>
          <t>Yes</t>
        </is>
      </c>
      <c r="I132" t="inlineStr">
        <is>
          <t>1</t>
        </is>
      </c>
      <c r="J132" t="inlineStr">
        <is>
          <t>No</t>
        </is>
      </c>
      <c r="K132" t="inlineStr">
        <is>
          <t>No</t>
        </is>
      </c>
      <c r="L132" t="inlineStr">
        <is>
          <t>0</t>
        </is>
      </c>
      <c r="N132" t="inlineStr">
        <is>
          <t>New York : Springer Pub. Co., c1988-1990.</t>
        </is>
      </c>
      <c r="O132" t="inlineStr">
        <is>
          <t>1988</t>
        </is>
      </c>
      <c r="Q132" t="inlineStr">
        <is>
          <t>eng</t>
        </is>
      </c>
      <c r="R132" t="inlineStr">
        <is>
          <t>nyu</t>
        </is>
      </c>
      <c r="T132" t="inlineStr">
        <is>
          <t xml:space="preserve">WY </t>
        </is>
      </c>
      <c r="U132" t="n">
        <v>17</v>
      </c>
      <c r="V132" t="n">
        <v>106</v>
      </c>
      <c r="W132" t="inlineStr">
        <is>
          <t>1997-11-29</t>
        </is>
      </c>
      <c r="X132" t="inlineStr">
        <is>
          <t>2009-04-27</t>
        </is>
      </c>
      <c r="Y132" t="inlineStr">
        <is>
          <t>1991-06-03</t>
        </is>
      </c>
      <c r="Z132" t="inlineStr">
        <is>
          <t>1991-06-03</t>
        </is>
      </c>
      <c r="AA132" t="n">
        <v>421</v>
      </c>
      <c r="AB132" t="n">
        <v>353</v>
      </c>
      <c r="AC132" t="n">
        <v>1317</v>
      </c>
      <c r="AD132" t="n">
        <v>4</v>
      </c>
      <c r="AE132" t="n">
        <v>16</v>
      </c>
      <c r="AF132" t="n">
        <v>19</v>
      </c>
      <c r="AG132" t="n">
        <v>49</v>
      </c>
      <c r="AH132" t="n">
        <v>8</v>
      </c>
      <c r="AI132" t="n">
        <v>16</v>
      </c>
      <c r="AJ132" t="n">
        <v>2</v>
      </c>
      <c r="AK132" t="n">
        <v>7</v>
      </c>
      <c r="AL132" t="n">
        <v>10</v>
      </c>
      <c r="AM132" t="n">
        <v>19</v>
      </c>
      <c r="AN132" t="n">
        <v>3</v>
      </c>
      <c r="AO132" t="n">
        <v>14</v>
      </c>
      <c r="AP132" t="n">
        <v>0</v>
      </c>
      <c r="AQ132" t="n">
        <v>1</v>
      </c>
      <c r="AR132" t="inlineStr">
        <is>
          <t>No</t>
        </is>
      </c>
      <c r="AS132" t="inlineStr">
        <is>
          <t>Yes</t>
        </is>
      </c>
      <c r="AT132">
        <f>HYPERLINK("http://catalog.hathitrust.org/Record/000949136","HathiTrust Record")</f>
        <v/>
      </c>
      <c r="AU132">
        <f>HYPERLINK("https://creighton-primo.hosted.exlibrisgroup.com/primo-explore/search?tab=default_tab&amp;search_scope=EVERYTHING&amp;vid=01CRU&amp;lang=en_US&amp;offset=0&amp;query=any,contains,991000934399702656","Catalog Record")</f>
        <v/>
      </c>
      <c r="AV132">
        <f>HYPERLINK("http://www.worldcat.org/oclc/18105510","WorldCat Record")</f>
        <v/>
      </c>
      <c r="AW132" t="inlineStr">
        <is>
          <t>102483648:eng</t>
        </is>
      </c>
      <c r="AX132" t="inlineStr">
        <is>
          <t>18105510</t>
        </is>
      </c>
      <c r="AY132" t="inlineStr">
        <is>
          <t>991000934399702656</t>
        </is>
      </c>
      <c r="AZ132" t="inlineStr">
        <is>
          <t>991000934399702656</t>
        </is>
      </c>
      <c r="BA132" t="inlineStr">
        <is>
          <t>2259507720002656</t>
        </is>
      </c>
      <c r="BB132" t="inlineStr">
        <is>
          <t>BOOK</t>
        </is>
      </c>
      <c r="BD132" t="inlineStr">
        <is>
          <t>9780826152701</t>
        </is>
      </c>
      <c r="BE132" t="inlineStr">
        <is>
          <t>30001002191759</t>
        </is>
      </c>
      <c r="BF132" t="inlineStr">
        <is>
          <t>893278496</t>
        </is>
      </c>
    </row>
    <row r="133">
      <c r="A133" t="inlineStr">
        <is>
          <t>No</t>
        </is>
      </c>
      <c r="B133" t="inlineStr">
        <is>
          <t>CUHSL</t>
        </is>
      </c>
      <c r="C133" t="inlineStr">
        <is>
          <t>SHELVES</t>
        </is>
      </c>
      <c r="D133" t="inlineStr">
        <is>
          <t>WY16 M484 1990</t>
        </is>
      </c>
      <c r="E133" t="inlineStr">
        <is>
          <t>0                      WY 0016000M  484         1990</t>
        </is>
      </c>
      <c r="F133" t="inlineStr">
        <is>
          <t>Measurement of nursing outcomes / Carolyn F. Waltz, Ora L. Strickland, editors.</t>
        </is>
      </c>
      <c r="G133" t="inlineStr">
        <is>
          <t>V. 4</t>
        </is>
      </c>
      <c r="H133" t="inlineStr">
        <is>
          <t>Yes</t>
        </is>
      </c>
      <c r="I133" t="inlineStr">
        <is>
          <t>1</t>
        </is>
      </c>
      <c r="J133" t="inlineStr">
        <is>
          <t>No</t>
        </is>
      </c>
      <c r="K133" t="inlineStr">
        <is>
          <t>No</t>
        </is>
      </c>
      <c r="L133" t="inlineStr">
        <is>
          <t>0</t>
        </is>
      </c>
      <c r="N133" t="inlineStr">
        <is>
          <t>New York : Springer Pub. Co., c1988-1990.</t>
        </is>
      </c>
      <c r="O133" t="inlineStr">
        <is>
          <t>1988</t>
        </is>
      </c>
      <c r="Q133" t="inlineStr">
        <is>
          <t>eng</t>
        </is>
      </c>
      <c r="R133" t="inlineStr">
        <is>
          <t>nyu</t>
        </is>
      </c>
      <c r="T133" t="inlineStr">
        <is>
          <t xml:space="preserve">WY </t>
        </is>
      </c>
      <c r="U133" t="n">
        <v>22</v>
      </c>
      <c r="V133" t="n">
        <v>106</v>
      </c>
      <c r="W133" t="inlineStr">
        <is>
          <t>2001-02-01</t>
        </is>
      </c>
      <c r="X133" t="inlineStr">
        <is>
          <t>2009-04-27</t>
        </is>
      </c>
      <c r="Y133" t="inlineStr">
        <is>
          <t>1991-04-26</t>
        </is>
      </c>
      <c r="Z133" t="inlineStr">
        <is>
          <t>1991-06-03</t>
        </is>
      </c>
      <c r="AA133" t="n">
        <v>421</v>
      </c>
      <c r="AB133" t="n">
        <v>353</v>
      </c>
      <c r="AC133" t="n">
        <v>1317</v>
      </c>
      <c r="AD133" t="n">
        <v>4</v>
      </c>
      <c r="AE133" t="n">
        <v>16</v>
      </c>
      <c r="AF133" t="n">
        <v>19</v>
      </c>
      <c r="AG133" t="n">
        <v>49</v>
      </c>
      <c r="AH133" t="n">
        <v>8</v>
      </c>
      <c r="AI133" t="n">
        <v>16</v>
      </c>
      <c r="AJ133" t="n">
        <v>2</v>
      </c>
      <c r="AK133" t="n">
        <v>7</v>
      </c>
      <c r="AL133" t="n">
        <v>10</v>
      </c>
      <c r="AM133" t="n">
        <v>19</v>
      </c>
      <c r="AN133" t="n">
        <v>3</v>
      </c>
      <c r="AO133" t="n">
        <v>14</v>
      </c>
      <c r="AP133" t="n">
        <v>0</v>
      </c>
      <c r="AQ133" t="n">
        <v>1</v>
      </c>
      <c r="AR133" t="inlineStr">
        <is>
          <t>No</t>
        </is>
      </c>
      <c r="AS133" t="inlineStr">
        <is>
          <t>Yes</t>
        </is>
      </c>
      <c r="AT133">
        <f>HYPERLINK("http://catalog.hathitrust.org/Record/000949136","HathiTrust Record")</f>
        <v/>
      </c>
      <c r="AU133">
        <f>HYPERLINK("https://creighton-primo.hosted.exlibrisgroup.com/primo-explore/search?tab=default_tab&amp;search_scope=EVERYTHING&amp;vid=01CRU&amp;lang=en_US&amp;offset=0&amp;query=any,contains,991000934399702656","Catalog Record")</f>
        <v/>
      </c>
      <c r="AV133">
        <f>HYPERLINK("http://www.worldcat.org/oclc/18105510","WorldCat Record")</f>
        <v/>
      </c>
      <c r="AW133" t="inlineStr">
        <is>
          <t>102483648:eng</t>
        </is>
      </c>
      <c r="AX133" t="inlineStr">
        <is>
          <t>18105510</t>
        </is>
      </c>
      <c r="AY133" t="inlineStr">
        <is>
          <t>991000934399702656</t>
        </is>
      </c>
      <c r="AZ133" t="inlineStr">
        <is>
          <t>991000934399702656</t>
        </is>
      </c>
      <c r="BA133" t="inlineStr">
        <is>
          <t>2259507720002656</t>
        </is>
      </c>
      <c r="BB133" t="inlineStr">
        <is>
          <t>BOOK</t>
        </is>
      </c>
      <c r="BD133" t="inlineStr">
        <is>
          <t>9780826152701</t>
        </is>
      </c>
      <c r="BE133" t="inlineStr">
        <is>
          <t>30001002190389</t>
        </is>
      </c>
      <c r="BF133" t="inlineStr">
        <is>
          <t>893267844</t>
        </is>
      </c>
    </row>
    <row r="134">
      <c r="A134" t="inlineStr">
        <is>
          <t>No</t>
        </is>
      </c>
      <c r="B134" t="inlineStr">
        <is>
          <t>CUHSL</t>
        </is>
      </c>
      <c r="C134" t="inlineStr">
        <is>
          <t>SHELVES</t>
        </is>
      </c>
      <c r="D134" t="inlineStr">
        <is>
          <t>WY 16 M484 1990 v.3-4</t>
        </is>
      </c>
      <c r="E134" t="inlineStr">
        <is>
          <t>0                      WY 0016000M  484         1990                                        v.3-4</t>
        </is>
      </c>
      <c r="F134" t="inlineStr">
        <is>
          <t>Measurement of nursing outcomes / Carolyn F. Waltz, Ora L. Strickland, editors.</t>
        </is>
      </c>
      <c r="G134" t="inlineStr">
        <is>
          <t>V. 1</t>
        </is>
      </c>
      <c r="H134" t="inlineStr">
        <is>
          <t>Yes</t>
        </is>
      </c>
      <c r="I134" t="inlineStr">
        <is>
          <t>1</t>
        </is>
      </c>
      <c r="J134" t="inlineStr">
        <is>
          <t>No</t>
        </is>
      </c>
      <c r="K134" t="inlineStr">
        <is>
          <t>No</t>
        </is>
      </c>
      <c r="L134" t="inlineStr">
        <is>
          <t>0</t>
        </is>
      </c>
      <c r="N134" t="inlineStr">
        <is>
          <t>New York : Springer Pub. Co., c1988-1990.</t>
        </is>
      </c>
      <c r="O134" t="inlineStr">
        <is>
          <t>1988</t>
        </is>
      </c>
      <c r="Q134" t="inlineStr">
        <is>
          <t>eng</t>
        </is>
      </c>
      <c r="R134" t="inlineStr">
        <is>
          <t>nyu</t>
        </is>
      </c>
      <c r="T134" t="inlineStr">
        <is>
          <t xml:space="preserve">WY </t>
        </is>
      </c>
      <c r="U134" t="n">
        <v>36</v>
      </c>
      <c r="V134" t="n">
        <v>106</v>
      </c>
      <c r="W134" t="inlineStr">
        <is>
          <t>2001-01-19</t>
        </is>
      </c>
      <c r="X134" t="inlineStr">
        <is>
          <t>2009-04-27</t>
        </is>
      </c>
      <c r="Y134" t="inlineStr">
        <is>
          <t>1989-05-22</t>
        </is>
      </c>
      <c r="Z134" t="inlineStr">
        <is>
          <t>1991-06-03</t>
        </is>
      </c>
      <c r="AA134" t="n">
        <v>421</v>
      </c>
      <c r="AB134" t="n">
        <v>353</v>
      </c>
      <c r="AC134" t="n">
        <v>1317</v>
      </c>
      <c r="AD134" t="n">
        <v>4</v>
      </c>
      <c r="AE134" t="n">
        <v>16</v>
      </c>
      <c r="AF134" t="n">
        <v>19</v>
      </c>
      <c r="AG134" t="n">
        <v>49</v>
      </c>
      <c r="AH134" t="n">
        <v>8</v>
      </c>
      <c r="AI134" t="n">
        <v>16</v>
      </c>
      <c r="AJ134" t="n">
        <v>2</v>
      </c>
      <c r="AK134" t="n">
        <v>7</v>
      </c>
      <c r="AL134" t="n">
        <v>10</v>
      </c>
      <c r="AM134" t="n">
        <v>19</v>
      </c>
      <c r="AN134" t="n">
        <v>3</v>
      </c>
      <c r="AO134" t="n">
        <v>14</v>
      </c>
      <c r="AP134" t="n">
        <v>0</v>
      </c>
      <c r="AQ134" t="n">
        <v>1</v>
      </c>
      <c r="AR134" t="inlineStr">
        <is>
          <t>No</t>
        </is>
      </c>
      <c r="AS134" t="inlineStr">
        <is>
          <t>Yes</t>
        </is>
      </c>
      <c r="AT134">
        <f>HYPERLINK("http://catalog.hathitrust.org/Record/000949136","HathiTrust Record")</f>
        <v/>
      </c>
      <c r="AU134">
        <f>HYPERLINK("https://creighton-primo.hosted.exlibrisgroup.com/primo-explore/search?tab=default_tab&amp;search_scope=EVERYTHING&amp;vid=01CRU&amp;lang=en_US&amp;offset=0&amp;query=any,contains,991000934399702656","Catalog Record")</f>
        <v/>
      </c>
      <c r="AV134">
        <f>HYPERLINK("http://www.worldcat.org/oclc/18105510","WorldCat Record")</f>
        <v/>
      </c>
      <c r="AW134" t="inlineStr">
        <is>
          <t>102483648:eng</t>
        </is>
      </c>
      <c r="AX134" t="inlineStr">
        <is>
          <t>18105510</t>
        </is>
      </c>
      <c r="AY134" t="inlineStr">
        <is>
          <t>991000934399702656</t>
        </is>
      </c>
      <c r="AZ134" t="inlineStr">
        <is>
          <t>991000934399702656</t>
        </is>
      </c>
      <c r="BA134" t="inlineStr">
        <is>
          <t>2259507720002656</t>
        </is>
      </c>
      <c r="BB134" t="inlineStr">
        <is>
          <t>BOOK</t>
        </is>
      </c>
      <c r="BD134" t="inlineStr">
        <is>
          <t>9780826152701</t>
        </is>
      </c>
      <c r="BE134" t="inlineStr">
        <is>
          <t>30001001678392</t>
        </is>
      </c>
      <c r="BF134" t="inlineStr">
        <is>
          <t>893273511</t>
        </is>
      </c>
    </row>
    <row r="135">
      <c r="A135" t="inlineStr">
        <is>
          <t>No</t>
        </is>
      </c>
      <c r="B135" t="inlineStr">
        <is>
          <t>CUHSL</t>
        </is>
      </c>
      <c r="C135" t="inlineStr">
        <is>
          <t>SHELVES</t>
        </is>
      </c>
      <c r="D135" t="inlineStr">
        <is>
          <t>WY 16 M484 1990 v.3-4</t>
        </is>
      </c>
      <c r="E135" t="inlineStr">
        <is>
          <t>0                      WY 0016000M  484         1990                                        v.3-4</t>
        </is>
      </c>
      <c r="F135" t="inlineStr">
        <is>
          <t>Measurement of nursing outcomes / Carolyn F. Waltz, Ora L. Strickland, editors.</t>
        </is>
      </c>
      <c r="G135" t="inlineStr">
        <is>
          <t>V. 2</t>
        </is>
      </c>
      <c r="H135" t="inlineStr">
        <is>
          <t>Yes</t>
        </is>
      </c>
      <c r="I135" t="inlineStr">
        <is>
          <t>1</t>
        </is>
      </c>
      <c r="J135" t="inlineStr">
        <is>
          <t>No</t>
        </is>
      </c>
      <c r="K135" t="inlineStr">
        <is>
          <t>No</t>
        </is>
      </c>
      <c r="L135" t="inlineStr">
        <is>
          <t>0</t>
        </is>
      </c>
      <c r="N135" t="inlineStr">
        <is>
          <t>New York : Springer Pub. Co., c1988-1990.</t>
        </is>
      </c>
      <c r="O135" t="inlineStr">
        <is>
          <t>1988</t>
        </is>
      </c>
      <c r="Q135" t="inlineStr">
        <is>
          <t>eng</t>
        </is>
      </c>
      <c r="R135" t="inlineStr">
        <is>
          <t>nyu</t>
        </is>
      </c>
      <c r="T135" t="inlineStr">
        <is>
          <t xml:space="preserve">WY </t>
        </is>
      </c>
      <c r="U135" t="n">
        <v>31</v>
      </c>
      <c r="V135" t="n">
        <v>106</v>
      </c>
      <c r="W135" t="inlineStr">
        <is>
          <t>2009-04-27</t>
        </is>
      </c>
      <c r="X135" t="inlineStr">
        <is>
          <t>2009-04-27</t>
        </is>
      </c>
      <c r="Y135" t="inlineStr">
        <is>
          <t>1989-05-22</t>
        </is>
      </c>
      <c r="Z135" t="inlineStr">
        <is>
          <t>1991-06-03</t>
        </is>
      </c>
      <c r="AA135" t="n">
        <v>421</v>
      </c>
      <c r="AB135" t="n">
        <v>353</v>
      </c>
      <c r="AC135" t="n">
        <v>1317</v>
      </c>
      <c r="AD135" t="n">
        <v>4</v>
      </c>
      <c r="AE135" t="n">
        <v>16</v>
      </c>
      <c r="AF135" t="n">
        <v>19</v>
      </c>
      <c r="AG135" t="n">
        <v>49</v>
      </c>
      <c r="AH135" t="n">
        <v>8</v>
      </c>
      <c r="AI135" t="n">
        <v>16</v>
      </c>
      <c r="AJ135" t="n">
        <v>2</v>
      </c>
      <c r="AK135" t="n">
        <v>7</v>
      </c>
      <c r="AL135" t="n">
        <v>10</v>
      </c>
      <c r="AM135" t="n">
        <v>19</v>
      </c>
      <c r="AN135" t="n">
        <v>3</v>
      </c>
      <c r="AO135" t="n">
        <v>14</v>
      </c>
      <c r="AP135" t="n">
        <v>0</v>
      </c>
      <c r="AQ135" t="n">
        <v>1</v>
      </c>
      <c r="AR135" t="inlineStr">
        <is>
          <t>No</t>
        </is>
      </c>
      <c r="AS135" t="inlineStr">
        <is>
          <t>Yes</t>
        </is>
      </c>
      <c r="AT135">
        <f>HYPERLINK("http://catalog.hathitrust.org/Record/000949136","HathiTrust Record")</f>
        <v/>
      </c>
      <c r="AU135">
        <f>HYPERLINK("https://creighton-primo.hosted.exlibrisgroup.com/primo-explore/search?tab=default_tab&amp;search_scope=EVERYTHING&amp;vid=01CRU&amp;lang=en_US&amp;offset=0&amp;query=any,contains,991000934399702656","Catalog Record")</f>
        <v/>
      </c>
      <c r="AV135">
        <f>HYPERLINK("http://www.worldcat.org/oclc/18105510","WorldCat Record")</f>
        <v/>
      </c>
      <c r="AW135" t="inlineStr">
        <is>
          <t>102483648:eng</t>
        </is>
      </c>
      <c r="AX135" t="inlineStr">
        <is>
          <t>18105510</t>
        </is>
      </c>
      <c r="AY135" t="inlineStr">
        <is>
          <t>991000934399702656</t>
        </is>
      </c>
      <c r="AZ135" t="inlineStr">
        <is>
          <t>991000934399702656</t>
        </is>
      </c>
      <c r="BA135" t="inlineStr">
        <is>
          <t>2259507720002656</t>
        </is>
      </c>
      <c r="BB135" t="inlineStr">
        <is>
          <t>BOOK</t>
        </is>
      </c>
      <c r="BD135" t="inlineStr">
        <is>
          <t>9780826152701</t>
        </is>
      </c>
      <c r="BE135" t="inlineStr">
        <is>
          <t>30001001678400</t>
        </is>
      </c>
      <c r="BF135" t="inlineStr">
        <is>
          <t>893267845</t>
        </is>
      </c>
    </row>
    <row r="136">
      <c r="A136" t="inlineStr">
        <is>
          <t>No</t>
        </is>
      </c>
      <c r="B136" t="inlineStr">
        <is>
          <t>CUHSL</t>
        </is>
      </c>
      <c r="C136" t="inlineStr">
        <is>
          <t>SHELVES</t>
        </is>
      </c>
      <c r="D136" t="inlineStr">
        <is>
          <t>WY 16 N2764 1987</t>
        </is>
      </c>
      <c r="E136" t="inlineStr">
        <is>
          <t>0                      WY 0016000N  2764        1987</t>
        </is>
      </c>
      <c r="F136" t="inlineStr">
        <is>
          <t>National Commission on Nursing Implementation Project : models for the future of nursing.</t>
        </is>
      </c>
      <c r="H136" t="inlineStr">
        <is>
          <t>No</t>
        </is>
      </c>
      <c r="I136" t="inlineStr">
        <is>
          <t>1</t>
        </is>
      </c>
      <c r="J136" t="inlineStr">
        <is>
          <t>No</t>
        </is>
      </c>
      <c r="K136" t="inlineStr">
        <is>
          <t>No</t>
        </is>
      </c>
      <c r="L136" t="inlineStr">
        <is>
          <t>0</t>
        </is>
      </c>
      <c r="N136" t="inlineStr">
        <is>
          <t>New York : National League for Nursing, c1988.</t>
        </is>
      </c>
      <c r="O136" t="inlineStr">
        <is>
          <t>1988</t>
        </is>
      </c>
      <c r="Q136" t="inlineStr">
        <is>
          <t>eng</t>
        </is>
      </c>
      <c r="R136" t="inlineStr">
        <is>
          <t>xxu</t>
        </is>
      </c>
      <c r="S136" t="inlineStr">
        <is>
          <t>NLN pub. no. 15-2251</t>
        </is>
      </c>
      <c r="T136" t="inlineStr">
        <is>
          <t xml:space="preserve">WY </t>
        </is>
      </c>
      <c r="U136" t="n">
        <v>8</v>
      </c>
      <c r="V136" t="n">
        <v>8</v>
      </c>
      <c r="W136" t="inlineStr">
        <is>
          <t>1994-07-25</t>
        </is>
      </c>
      <c r="X136" t="inlineStr">
        <is>
          <t>1994-07-25</t>
        </is>
      </c>
      <c r="Y136" t="inlineStr">
        <is>
          <t>1989-01-18</t>
        </is>
      </c>
      <c r="Z136" t="inlineStr">
        <is>
          <t>1989-01-18</t>
        </is>
      </c>
      <c r="AA136" t="n">
        <v>199</v>
      </c>
      <c r="AB136" t="n">
        <v>171</v>
      </c>
      <c r="AC136" t="n">
        <v>173</v>
      </c>
      <c r="AD136" t="n">
        <v>2</v>
      </c>
      <c r="AE136" t="n">
        <v>2</v>
      </c>
      <c r="AF136" t="n">
        <v>11</v>
      </c>
      <c r="AG136" t="n">
        <v>11</v>
      </c>
      <c r="AH136" t="n">
        <v>6</v>
      </c>
      <c r="AI136" t="n">
        <v>6</v>
      </c>
      <c r="AJ136" t="n">
        <v>2</v>
      </c>
      <c r="AK136" t="n">
        <v>2</v>
      </c>
      <c r="AL136" t="n">
        <v>5</v>
      </c>
      <c r="AM136" t="n">
        <v>5</v>
      </c>
      <c r="AN136" t="n">
        <v>0</v>
      </c>
      <c r="AO136" t="n">
        <v>0</v>
      </c>
      <c r="AP136" t="n">
        <v>0</v>
      </c>
      <c r="AQ136" t="n">
        <v>0</v>
      </c>
      <c r="AR136" t="inlineStr">
        <is>
          <t>No</t>
        </is>
      </c>
      <c r="AS136" t="inlineStr">
        <is>
          <t>Yes</t>
        </is>
      </c>
      <c r="AT136">
        <f>HYPERLINK("http://catalog.hathitrust.org/Record/004458586","HathiTrust Record")</f>
        <v/>
      </c>
      <c r="AU136">
        <f>HYPERLINK("https://creighton-primo.hosted.exlibrisgroup.com/primo-explore/search?tab=default_tab&amp;search_scope=EVERYTHING&amp;vid=01CRU&amp;lang=en_US&amp;offset=0&amp;query=any,contains,991001114549702656","Catalog Record")</f>
        <v/>
      </c>
      <c r="AV136">
        <f>HYPERLINK("http://www.worldcat.org/oclc/19010144","WorldCat Record")</f>
        <v/>
      </c>
      <c r="AW136" t="inlineStr">
        <is>
          <t>18436561:eng</t>
        </is>
      </c>
      <c r="AX136" t="inlineStr">
        <is>
          <t>19010144</t>
        </is>
      </c>
      <c r="AY136" t="inlineStr">
        <is>
          <t>991001114549702656</t>
        </is>
      </c>
      <c r="AZ136" t="inlineStr">
        <is>
          <t>991001114549702656</t>
        </is>
      </c>
      <c r="BA136" t="inlineStr">
        <is>
          <t>2259269560002656</t>
        </is>
      </c>
      <c r="BB136" t="inlineStr">
        <is>
          <t>BOOK</t>
        </is>
      </c>
      <c r="BD136" t="inlineStr">
        <is>
          <t>9780887374272</t>
        </is>
      </c>
      <c r="BE136" t="inlineStr">
        <is>
          <t>30001001612979</t>
        </is>
      </c>
      <c r="BF136" t="inlineStr">
        <is>
          <t>893287239</t>
        </is>
      </c>
    </row>
    <row r="137">
      <c r="A137" t="inlineStr">
        <is>
          <t>No</t>
        </is>
      </c>
      <c r="B137" t="inlineStr">
        <is>
          <t>CUHSL</t>
        </is>
      </c>
      <c r="C137" t="inlineStr">
        <is>
          <t>SHELVES</t>
        </is>
      </c>
      <c r="D137" t="inlineStr">
        <is>
          <t>WY 16 N2776s 1967</t>
        </is>
      </c>
      <c r="E137" t="inlineStr">
        <is>
          <t>0                      WY 0016000N  2776s       1967</t>
        </is>
      </c>
      <c r="F137" t="inlineStr">
        <is>
          <t>The shifting scene - directions for practice : papers presented at the 23rd conference of the Council of Member Agencies of the Dept. of Baccalaureate and Higher Degree Programs and at meetings held jointly with Council of Member Agencies of the Dept. of Associate Degree Programs, New York, New York, May 5-7, 1967.</t>
        </is>
      </c>
      <c r="H137" t="inlineStr">
        <is>
          <t>No</t>
        </is>
      </c>
      <c r="I137" t="inlineStr">
        <is>
          <t>1</t>
        </is>
      </c>
      <c r="J137" t="inlineStr">
        <is>
          <t>No</t>
        </is>
      </c>
      <c r="K137" t="inlineStr">
        <is>
          <t>No</t>
        </is>
      </c>
      <c r="L137" t="inlineStr">
        <is>
          <t>0</t>
        </is>
      </c>
      <c r="M137" t="inlineStr">
        <is>
          <t>National League for Nursing. Department of Baccalaureate and Higher Degree Programs.</t>
        </is>
      </c>
      <c r="N137" t="inlineStr">
        <is>
          <t>New York : National League for Nursing, 1967.</t>
        </is>
      </c>
      <c r="O137" t="inlineStr">
        <is>
          <t>1967</t>
        </is>
      </c>
      <c r="Q137" t="inlineStr">
        <is>
          <t>eng</t>
        </is>
      </c>
      <c r="R137" t="inlineStr">
        <is>
          <t xml:space="preserve">xx </t>
        </is>
      </c>
      <c r="S137" t="inlineStr">
        <is>
          <t>NLN pub. no. 15-1289</t>
        </is>
      </c>
      <c r="T137" t="inlineStr">
        <is>
          <t xml:space="preserve">WY </t>
        </is>
      </c>
      <c r="U137" t="n">
        <v>2</v>
      </c>
      <c r="V137" t="n">
        <v>2</v>
      </c>
      <c r="W137" t="inlineStr">
        <is>
          <t>1990-04-06</t>
        </is>
      </c>
      <c r="X137" t="inlineStr">
        <is>
          <t>1990-04-06</t>
        </is>
      </c>
      <c r="Y137" t="inlineStr">
        <is>
          <t>1987-10-20</t>
        </is>
      </c>
      <c r="Z137" t="inlineStr">
        <is>
          <t>1987-10-20</t>
        </is>
      </c>
      <c r="AA137" t="n">
        <v>9</v>
      </c>
      <c r="AB137" t="n">
        <v>8</v>
      </c>
      <c r="AC137" t="n">
        <v>8</v>
      </c>
      <c r="AD137" t="n">
        <v>1</v>
      </c>
      <c r="AE137" t="n">
        <v>1</v>
      </c>
      <c r="AF137" t="n">
        <v>0</v>
      </c>
      <c r="AG137" t="n">
        <v>0</v>
      </c>
      <c r="AH137" t="n">
        <v>0</v>
      </c>
      <c r="AI137" t="n">
        <v>0</v>
      </c>
      <c r="AJ137" t="n">
        <v>0</v>
      </c>
      <c r="AK137" t="n">
        <v>0</v>
      </c>
      <c r="AL137" t="n">
        <v>0</v>
      </c>
      <c r="AM137" t="n">
        <v>0</v>
      </c>
      <c r="AN137" t="n">
        <v>0</v>
      </c>
      <c r="AO137" t="n">
        <v>0</v>
      </c>
      <c r="AP137" t="n">
        <v>0</v>
      </c>
      <c r="AQ137" t="n">
        <v>0</v>
      </c>
      <c r="AR137" t="inlineStr">
        <is>
          <t>No</t>
        </is>
      </c>
      <c r="AS137" t="inlineStr">
        <is>
          <t>No</t>
        </is>
      </c>
      <c r="AU137">
        <f>HYPERLINK("https://creighton-primo.hosted.exlibrisgroup.com/primo-explore/search?tab=default_tab&amp;search_scope=EVERYTHING&amp;vid=01CRU&amp;lang=en_US&amp;offset=0&amp;query=any,contains,991001367329702656","Catalog Record")</f>
        <v/>
      </c>
      <c r="AV137">
        <f>HYPERLINK("http://www.worldcat.org/oclc/14501232","WorldCat Record")</f>
        <v/>
      </c>
      <c r="AW137" t="inlineStr">
        <is>
          <t>4020146901:eng</t>
        </is>
      </c>
      <c r="AX137" t="inlineStr">
        <is>
          <t>14501232</t>
        </is>
      </c>
      <c r="AY137" t="inlineStr">
        <is>
          <t>991001367329702656</t>
        </is>
      </c>
      <c r="AZ137" t="inlineStr">
        <is>
          <t>991001367329702656</t>
        </is>
      </c>
      <c r="BA137" t="inlineStr">
        <is>
          <t>2260919730002656</t>
        </is>
      </c>
      <c r="BB137" t="inlineStr">
        <is>
          <t>BOOK</t>
        </is>
      </c>
      <c r="BE137" t="inlineStr">
        <is>
          <t>30001000461279</t>
        </is>
      </c>
      <c r="BF137" t="inlineStr">
        <is>
          <t>893643532</t>
        </is>
      </c>
    </row>
    <row r="138">
      <c r="A138" t="inlineStr">
        <is>
          <t>No</t>
        </is>
      </c>
      <c r="B138" t="inlineStr">
        <is>
          <t>CUHSL</t>
        </is>
      </c>
      <c r="C138" t="inlineStr">
        <is>
          <t>SHELVES</t>
        </is>
      </c>
      <c r="D138" t="inlineStr">
        <is>
          <t>WY 16 N282p 1979</t>
        </is>
      </c>
      <c r="E138" t="inlineStr">
        <is>
          <t>0                      WY 0016000N  282p        1979</t>
        </is>
      </c>
      <c r="F138" t="inlineStr">
        <is>
          <t>Perspectives for nursing and goals of the National League for Nursing, 1979-1981 / [Perspectives Committee].</t>
        </is>
      </c>
      <c r="H138" t="inlineStr">
        <is>
          <t>No</t>
        </is>
      </c>
      <c r="I138" t="inlineStr">
        <is>
          <t>1</t>
        </is>
      </c>
      <c r="J138" t="inlineStr">
        <is>
          <t>No</t>
        </is>
      </c>
      <c r="K138" t="inlineStr">
        <is>
          <t>No</t>
        </is>
      </c>
      <c r="L138" t="inlineStr">
        <is>
          <t>0</t>
        </is>
      </c>
      <c r="M138" t="inlineStr">
        <is>
          <t>National League for Nursing. Committee on Perspectives.</t>
        </is>
      </c>
      <c r="N138" t="inlineStr">
        <is>
          <t>[New York : National League for Nursing], c1979.</t>
        </is>
      </c>
      <c r="O138" t="inlineStr">
        <is>
          <t>1979</t>
        </is>
      </c>
      <c r="Q138" t="inlineStr">
        <is>
          <t>eng</t>
        </is>
      </c>
      <c r="R138" t="inlineStr">
        <is>
          <t>nyu</t>
        </is>
      </c>
      <c r="S138" t="inlineStr">
        <is>
          <t>NLN pub. no. 11-1782</t>
        </is>
      </c>
      <c r="T138" t="inlineStr">
        <is>
          <t xml:space="preserve">WY </t>
        </is>
      </c>
      <c r="U138" t="n">
        <v>1</v>
      </c>
      <c r="V138" t="n">
        <v>1</v>
      </c>
      <c r="W138" t="inlineStr">
        <is>
          <t>1990-04-20</t>
        </is>
      </c>
      <c r="X138" t="inlineStr">
        <is>
          <t>1990-04-20</t>
        </is>
      </c>
      <c r="Y138" t="inlineStr">
        <is>
          <t>1987-10-13</t>
        </is>
      </c>
      <c r="Z138" t="inlineStr">
        <is>
          <t>1987-10-13</t>
        </is>
      </c>
      <c r="AA138" t="n">
        <v>83</v>
      </c>
      <c r="AB138" t="n">
        <v>75</v>
      </c>
      <c r="AC138" t="n">
        <v>75</v>
      </c>
      <c r="AD138" t="n">
        <v>1</v>
      </c>
      <c r="AE138" t="n">
        <v>1</v>
      </c>
      <c r="AF138" t="n">
        <v>3</v>
      </c>
      <c r="AG138" t="n">
        <v>3</v>
      </c>
      <c r="AH138" t="n">
        <v>1</v>
      </c>
      <c r="AI138" t="n">
        <v>1</v>
      </c>
      <c r="AJ138" t="n">
        <v>0</v>
      </c>
      <c r="AK138" t="n">
        <v>0</v>
      </c>
      <c r="AL138" t="n">
        <v>2</v>
      </c>
      <c r="AM138" t="n">
        <v>2</v>
      </c>
      <c r="AN138" t="n">
        <v>0</v>
      </c>
      <c r="AO138" t="n">
        <v>0</v>
      </c>
      <c r="AP138" t="n">
        <v>0</v>
      </c>
      <c r="AQ138" t="n">
        <v>0</v>
      </c>
      <c r="AR138" t="inlineStr">
        <is>
          <t>No</t>
        </is>
      </c>
      <c r="AS138" t="inlineStr">
        <is>
          <t>No</t>
        </is>
      </c>
      <c r="AU138">
        <f>HYPERLINK("https://creighton-primo.hosted.exlibrisgroup.com/primo-explore/search?tab=default_tab&amp;search_scope=EVERYTHING&amp;vid=01CRU&amp;lang=en_US&amp;offset=0&amp;query=any,contains,991001361179702656","Catalog Record")</f>
        <v/>
      </c>
      <c r="AV138">
        <f>HYPERLINK("http://www.worldcat.org/oclc/5206333","WorldCat Record")</f>
        <v/>
      </c>
      <c r="AW138" t="inlineStr">
        <is>
          <t>5395401775:eng</t>
        </is>
      </c>
      <c r="AX138" t="inlineStr">
        <is>
          <t>5206333</t>
        </is>
      </c>
      <c r="AY138" t="inlineStr">
        <is>
          <t>991001361179702656</t>
        </is>
      </c>
      <c r="AZ138" t="inlineStr">
        <is>
          <t>991001361179702656</t>
        </is>
      </c>
      <c r="BA138" t="inlineStr">
        <is>
          <t>2266144490002656</t>
        </is>
      </c>
      <c r="BB138" t="inlineStr">
        <is>
          <t>BOOK</t>
        </is>
      </c>
      <c r="BE138" t="inlineStr">
        <is>
          <t>30001000460719</t>
        </is>
      </c>
      <c r="BF138" t="inlineStr">
        <is>
          <t>893649139</t>
        </is>
      </c>
    </row>
    <row r="139">
      <c r="A139" t="inlineStr">
        <is>
          <t>No</t>
        </is>
      </c>
      <c r="B139" t="inlineStr">
        <is>
          <t>CUHSL</t>
        </is>
      </c>
      <c r="C139" t="inlineStr">
        <is>
          <t>SHELVES</t>
        </is>
      </c>
      <c r="D139" t="inlineStr">
        <is>
          <t>WY 16 N554i 1995</t>
        </is>
      </c>
      <c r="E139" t="inlineStr">
        <is>
          <t>0                      WY 0016000N  554i        1995</t>
        </is>
      </c>
      <c r="F139" t="inlineStr">
        <is>
          <t>A developing discipline : selected works of Margaret Newman / Margaret A. Newman.</t>
        </is>
      </c>
      <c r="H139" t="inlineStr">
        <is>
          <t>No</t>
        </is>
      </c>
      <c r="I139" t="inlineStr">
        <is>
          <t>1</t>
        </is>
      </c>
      <c r="J139" t="inlineStr">
        <is>
          <t>No</t>
        </is>
      </c>
      <c r="K139" t="inlineStr">
        <is>
          <t>No</t>
        </is>
      </c>
      <c r="L139" t="inlineStr">
        <is>
          <t>0</t>
        </is>
      </c>
      <c r="M139" t="inlineStr">
        <is>
          <t>Newman, Margaret A.</t>
        </is>
      </c>
      <c r="N139" t="inlineStr">
        <is>
          <t>New York : National League for Nursing Press, c1995.</t>
        </is>
      </c>
      <c r="O139" t="inlineStr">
        <is>
          <t>1995</t>
        </is>
      </c>
      <c r="Q139" t="inlineStr">
        <is>
          <t>eng</t>
        </is>
      </c>
      <c r="R139" t="inlineStr">
        <is>
          <t>nyu</t>
        </is>
      </c>
      <c r="T139" t="inlineStr">
        <is>
          <t xml:space="preserve">WY </t>
        </is>
      </c>
      <c r="U139" t="n">
        <v>0</v>
      </c>
      <c r="V139" t="n">
        <v>0</v>
      </c>
      <c r="W139" t="inlineStr">
        <is>
          <t>2002-07-21</t>
        </is>
      </c>
      <c r="X139" t="inlineStr">
        <is>
          <t>2002-07-21</t>
        </is>
      </c>
      <c r="Y139" t="inlineStr">
        <is>
          <t>2000-06-15</t>
        </is>
      </c>
      <c r="Z139" t="inlineStr">
        <is>
          <t>2000-06-15</t>
        </is>
      </c>
      <c r="AA139" t="n">
        <v>433</v>
      </c>
      <c r="AB139" t="n">
        <v>382</v>
      </c>
      <c r="AC139" t="n">
        <v>385</v>
      </c>
      <c r="AD139" t="n">
        <v>4</v>
      </c>
      <c r="AE139" t="n">
        <v>4</v>
      </c>
      <c r="AF139" t="n">
        <v>25</v>
      </c>
      <c r="AG139" t="n">
        <v>25</v>
      </c>
      <c r="AH139" t="n">
        <v>10</v>
      </c>
      <c r="AI139" t="n">
        <v>10</v>
      </c>
      <c r="AJ139" t="n">
        <v>5</v>
      </c>
      <c r="AK139" t="n">
        <v>5</v>
      </c>
      <c r="AL139" t="n">
        <v>12</v>
      </c>
      <c r="AM139" t="n">
        <v>12</v>
      </c>
      <c r="AN139" t="n">
        <v>2</v>
      </c>
      <c r="AO139" t="n">
        <v>2</v>
      </c>
      <c r="AP139" t="n">
        <v>0</v>
      </c>
      <c r="AQ139" t="n">
        <v>0</v>
      </c>
      <c r="AR139" t="inlineStr">
        <is>
          <t>No</t>
        </is>
      </c>
      <c r="AS139" t="inlineStr">
        <is>
          <t>Yes</t>
        </is>
      </c>
      <c r="AT139">
        <f>HYPERLINK("http://catalog.hathitrust.org/Record/002963453","HathiTrust Record")</f>
        <v/>
      </c>
      <c r="AU139">
        <f>HYPERLINK("https://creighton-primo.hosted.exlibrisgroup.com/primo-explore/search?tab=default_tab&amp;search_scope=EVERYTHING&amp;vid=01CRU&amp;lang=en_US&amp;offset=0&amp;query=any,contains,991000251589702656","Catalog Record")</f>
        <v/>
      </c>
      <c r="AV139">
        <f>HYPERLINK("http://www.worldcat.org/oclc/31412064","WorldCat Record")</f>
        <v/>
      </c>
      <c r="AW139" t="inlineStr">
        <is>
          <t>20662421:eng</t>
        </is>
      </c>
      <c r="AX139" t="inlineStr">
        <is>
          <t>31412064</t>
        </is>
      </c>
      <c r="AY139" t="inlineStr">
        <is>
          <t>991000251589702656</t>
        </is>
      </c>
      <c r="AZ139" t="inlineStr">
        <is>
          <t>991000251589702656</t>
        </is>
      </c>
      <c r="BA139" t="inlineStr">
        <is>
          <t>2261968800002656</t>
        </is>
      </c>
      <c r="BB139" t="inlineStr">
        <is>
          <t>BOOK</t>
        </is>
      </c>
      <c r="BD139" t="inlineStr">
        <is>
          <t>9780887376382</t>
        </is>
      </c>
      <c r="BE139" t="inlineStr">
        <is>
          <t>30001003168822</t>
        </is>
      </c>
      <c r="BF139" t="inlineStr">
        <is>
          <t>893558743</t>
        </is>
      </c>
    </row>
    <row r="140">
      <c r="A140" t="inlineStr">
        <is>
          <t>No</t>
        </is>
      </c>
      <c r="B140" t="inlineStr">
        <is>
          <t>CUHSL</t>
        </is>
      </c>
      <c r="C140" t="inlineStr">
        <is>
          <t>SHELVES</t>
        </is>
      </c>
      <c r="D140" t="inlineStr">
        <is>
          <t>WY16 N972A 2001</t>
        </is>
      </c>
      <c r="E140" t="inlineStr">
        <is>
          <t>0                      WY 0016000N  972A        2001</t>
        </is>
      </c>
      <c r="F140" t="inlineStr">
        <is>
          <t>Advancing your career : concepts of professional nursing / Rose Kearney.</t>
        </is>
      </c>
      <c r="H140" t="inlineStr">
        <is>
          <t>No</t>
        </is>
      </c>
      <c r="I140" t="inlineStr">
        <is>
          <t>1</t>
        </is>
      </c>
      <c r="J140" t="inlineStr">
        <is>
          <t>No</t>
        </is>
      </c>
      <c r="K140" t="inlineStr">
        <is>
          <t>Yes</t>
        </is>
      </c>
      <c r="L140" t="inlineStr">
        <is>
          <t>0</t>
        </is>
      </c>
      <c r="M140" t="inlineStr">
        <is>
          <t>Kearney-Nunnery, Rose.</t>
        </is>
      </c>
      <c r="N140" t="inlineStr">
        <is>
          <t>Philadelphia : F.A. Davis Co., c2001.</t>
        </is>
      </c>
      <c r="O140" t="inlineStr">
        <is>
          <t>2001</t>
        </is>
      </c>
      <c r="P140" t="inlineStr">
        <is>
          <t>2nd ed.</t>
        </is>
      </c>
      <c r="Q140" t="inlineStr">
        <is>
          <t>eng</t>
        </is>
      </c>
      <c r="R140" t="inlineStr">
        <is>
          <t>pau</t>
        </is>
      </c>
      <c r="T140" t="inlineStr">
        <is>
          <t xml:space="preserve">WY </t>
        </is>
      </c>
      <c r="U140" t="n">
        <v>2</v>
      </c>
      <c r="V140" t="n">
        <v>2</v>
      </c>
      <c r="W140" t="inlineStr">
        <is>
          <t>2001-09-12</t>
        </is>
      </c>
      <c r="X140" t="inlineStr">
        <is>
          <t>2001-09-12</t>
        </is>
      </c>
      <c r="Y140" t="inlineStr">
        <is>
          <t>2001-08-27</t>
        </is>
      </c>
      <c r="Z140" t="inlineStr">
        <is>
          <t>2001-08-27</t>
        </is>
      </c>
      <c r="AA140" t="n">
        <v>137</v>
      </c>
      <c r="AB140" t="n">
        <v>114</v>
      </c>
      <c r="AC140" t="n">
        <v>1456</v>
      </c>
      <c r="AD140" t="n">
        <v>1</v>
      </c>
      <c r="AE140" t="n">
        <v>34</v>
      </c>
      <c r="AF140" t="n">
        <v>6</v>
      </c>
      <c r="AG140" t="n">
        <v>42</v>
      </c>
      <c r="AH140" t="n">
        <v>2</v>
      </c>
      <c r="AI140" t="n">
        <v>11</v>
      </c>
      <c r="AJ140" t="n">
        <v>1</v>
      </c>
      <c r="AK140" t="n">
        <v>5</v>
      </c>
      <c r="AL140" t="n">
        <v>4</v>
      </c>
      <c r="AM140" t="n">
        <v>13</v>
      </c>
      <c r="AN140" t="n">
        <v>0</v>
      </c>
      <c r="AO140" t="n">
        <v>17</v>
      </c>
      <c r="AP140" t="n">
        <v>0</v>
      </c>
      <c r="AQ140" t="n">
        <v>0</v>
      </c>
      <c r="AR140" t="inlineStr">
        <is>
          <t>No</t>
        </is>
      </c>
      <c r="AS140" t="inlineStr">
        <is>
          <t>No</t>
        </is>
      </c>
      <c r="AU140">
        <f>HYPERLINK("https://creighton-primo.hosted.exlibrisgroup.com/primo-explore/search?tab=default_tab&amp;search_scope=EVERYTHING&amp;vid=01CRU&amp;lang=en_US&amp;offset=0&amp;query=any,contains,991001706369702656","Catalog Record")</f>
        <v/>
      </c>
      <c r="AV140">
        <f>HYPERLINK("http://www.worldcat.org/oclc/46359662","WorldCat Record")</f>
        <v/>
      </c>
      <c r="AW140" t="inlineStr">
        <is>
          <t>794993882:eng</t>
        </is>
      </c>
      <c r="AX140" t="inlineStr">
        <is>
          <t>46359662</t>
        </is>
      </c>
      <c r="AY140" t="inlineStr">
        <is>
          <t>991001706369702656</t>
        </is>
      </c>
      <c r="AZ140" t="inlineStr">
        <is>
          <t>991001706369702656</t>
        </is>
      </c>
      <c r="BA140" t="inlineStr">
        <is>
          <t>2261248840002656</t>
        </is>
      </c>
      <c r="BB140" t="inlineStr">
        <is>
          <t>BOOK</t>
        </is>
      </c>
      <c r="BD140" t="inlineStr">
        <is>
          <t>9780803608078</t>
        </is>
      </c>
      <c r="BE140" t="inlineStr">
        <is>
          <t>30001004234961</t>
        </is>
      </c>
      <c r="BF140" t="inlineStr">
        <is>
          <t>893268693</t>
        </is>
      </c>
    </row>
    <row r="141">
      <c r="A141" t="inlineStr">
        <is>
          <t>No</t>
        </is>
      </c>
      <c r="B141" t="inlineStr">
        <is>
          <t>CUHSL</t>
        </is>
      </c>
      <c r="C141" t="inlineStr">
        <is>
          <t>SHELVES</t>
        </is>
      </c>
      <c r="D141" t="inlineStr">
        <is>
          <t>WY 16 N974 1982</t>
        </is>
      </c>
      <c r="E141" t="inlineStr">
        <is>
          <t>0                      WY 0016000N  974         1982</t>
        </is>
      </c>
      <c r="F141" t="inlineStr">
        <is>
          <t>Nursing in the 1980s : crises, opportunities, challenges / edited by Linda H. Aiken ; Susan R. Gortner, associate editor.</t>
        </is>
      </c>
      <c r="H141" t="inlineStr">
        <is>
          <t>No</t>
        </is>
      </c>
      <c r="I141" t="inlineStr">
        <is>
          <t>1</t>
        </is>
      </c>
      <c r="J141" t="inlineStr">
        <is>
          <t>No</t>
        </is>
      </c>
      <c r="K141" t="inlineStr">
        <is>
          <t>No</t>
        </is>
      </c>
      <c r="L141" t="inlineStr">
        <is>
          <t>0</t>
        </is>
      </c>
      <c r="N141" t="inlineStr">
        <is>
          <t>Philadelphia : Lippincott, c1982.</t>
        </is>
      </c>
      <c r="O141" t="inlineStr">
        <is>
          <t>1982</t>
        </is>
      </c>
      <c r="Q141" t="inlineStr">
        <is>
          <t>eng</t>
        </is>
      </c>
      <c r="R141" t="inlineStr">
        <is>
          <t>xxu</t>
        </is>
      </c>
      <c r="T141" t="inlineStr">
        <is>
          <t xml:space="preserve">WY </t>
        </is>
      </c>
      <c r="U141" t="n">
        <v>15</v>
      </c>
      <c r="V141" t="n">
        <v>15</v>
      </c>
      <c r="W141" t="inlineStr">
        <is>
          <t>1990-04-26</t>
        </is>
      </c>
      <c r="X141" t="inlineStr">
        <is>
          <t>1990-04-26</t>
        </is>
      </c>
      <c r="Y141" t="inlineStr">
        <is>
          <t>1987-10-19</t>
        </is>
      </c>
      <c r="Z141" t="inlineStr">
        <is>
          <t>1987-10-19</t>
        </is>
      </c>
      <c r="AA141" t="n">
        <v>397</v>
      </c>
      <c r="AB141" t="n">
        <v>348</v>
      </c>
      <c r="AC141" t="n">
        <v>350</v>
      </c>
      <c r="AD141" t="n">
        <v>2</v>
      </c>
      <c r="AE141" t="n">
        <v>2</v>
      </c>
      <c r="AF141" t="n">
        <v>19</v>
      </c>
      <c r="AG141" t="n">
        <v>19</v>
      </c>
      <c r="AH141" t="n">
        <v>10</v>
      </c>
      <c r="AI141" t="n">
        <v>10</v>
      </c>
      <c r="AJ141" t="n">
        <v>2</v>
      </c>
      <c r="AK141" t="n">
        <v>2</v>
      </c>
      <c r="AL141" t="n">
        <v>11</v>
      </c>
      <c r="AM141" t="n">
        <v>11</v>
      </c>
      <c r="AN141" t="n">
        <v>0</v>
      </c>
      <c r="AO141" t="n">
        <v>0</v>
      </c>
      <c r="AP141" t="n">
        <v>0</v>
      </c>
      <c r="AQ141" t="n">
        <v>0</v>
      </c>
      <c r="AR141" t="inlineStr">
        <is>
          <t>No</t>
        </is>
      </c>
      <c r="AS141" t="inlineStr">
        <is>
          <t>Yes</t>
        </is>
      </c>
      <c r="AT141">
        <f>HYPERLINK("http://catalog.hathitrust.org/Record/000144902","HathiTrust Record")</f>
        <v/>
      </c>
      <c r="AU141">
        <f>HYPERLINK("https://creighton-primo.hosted.exlibrisgroup.com/primo-explore/search?tab=default_tab&amp;search_scope=EVERYTHING&amp;vid=01CRU&amp;lang=en_US&amp;offset=0&amp;query=any,contains,991000741009702656","Catalog Record")</f>
        <v/>
      </c>
      <c r="AV141">
        <f>HYPERLINK("http://www.worldcat.org/oclc/8034603","WorldCat Record")</f>
        <v/>
      </c>
      <c r="AW141" t="inlineStr">
        <is>
          <t>689365347:eng</t>
        </is>
      </c>
      <c r="AX141" t="inlineStr">
        <is>
          <t>8034603</t>
        </is>
      </c>
      <c r="AY141" t="inlineStr">
        <is>
          <t>991000741009702656</t>
        </is>
      </c>
      <c r="AZ141" t="inlineStr">
        <is>
          <t>991000741009702656</t>
        </is>
      </c>
      <c r="BA141" t="inlineStr">
        <is>
          <t>2256688740002656</t>
        </is>
      </c>
      <c r="BB141" t="inlineStr">
        <is>
          <t>BOOK</t>
        </is>
      </c>
      <c r="BD141" t="inlineStr">
        <is>
          <t>9780397544066</t>
        </is>
      </c>
      <c r="BE141" t="inlineStr">
        <is>
          <t>30001000043382</t>
        </is>
      </c>
      <c r="BF141" t="inlineStr">
        <is>
          <t>893120100</t>
        </is>
      </c>
    </row>
    <row r="142">
      <c r="A142" t="inlineStr">
        <is>
          <t>No</t>
        </is>
      </c>
      <c r="B142" t="inlineStr">
        <is>
          <t>CUHSL</t>
        </is>
      </c>
      <c r="C142" t="inlineStr">
        <is>
          <t>SHELVES</t>
        </is>
      </c>
      <c r="D142" t="inlineStr">
        <is>
          <t>WY 16 N974 1993</t>
        </is>
      </c>
      <c r="E142" t="inlineStr">
        <is>
          <t>0                      WY 0016000N  974         1993</t>
        </is>
      </c>
      <c r="F142" t="inlineStr">
        <is>
          <t>Nursing : its hidden agendas / edited by Moya Jolley and Gosia Brykczyńska.</t>
        </is>
      </c>
      <c r="H142" t="inlineStr">
        <is>
          <t>No</t>
        </is>
      </c>
      <c r="I142" t="inlineStr">
        <is>
          <t>1</t>
        </is>
      </c>
      <c r="J142" t="inlineStr">
        <is>
          <t>No</t>
        </is>
      </c>
      <c r="K142" t="inlineStr">
        <is>
          <t>No</t>
        </is>
      </c>
      <c r="L142" t="inlineStr">
        <is>
          <t>0</t>
        </is>
      </c>
      <c r="N142" t="inlineStr">
        <is>
          <t>London : Edward Arnold, c1993.</t>
        </is>
      </c>
      <c r="O142" t="inlineStr">
        <is>
          <t>1993</t>
        </is>
      </c>
      <c r="Q142" t="inlineStr">
        <is>
          <t>eng</t>
        </is>
      </c>
      <c r="R142" t="inlineStr">
        <is>
          <t>enk</t>
        </is>
      </c>
      <c r="T142" t="inlineStr">
        <is>
          <t xml:space="preserve">WY </t>
        </is>
      </c>
      <c r="U142" t="n">
        <v>7</v>
      </c>
      <c r="V142" t="n">
        <v>7</v>
      </c>
      <c r="W142" t="inlineStr">
        <is>
          <t>1993-11-01</t>
        </is>
      </c>
      <c r="X142" t="inlineStr">
        <is>
          <t>1993-11-01</t>
        </is>
      </c>
      <c r="Y142" t="inlineStr">
        <is>
          <t>1993-10-22</t>
        </is>
      </c>
      <c r="Z142" t="inlineStr">
        <is>
          <t>1993-10-22</t>
        </is>
      </c>
      <c r="AA142" t="n">
        <v>172</v>
      </c>
      <c r="AB142" t="n">
        <v>70</v>
      </c>
      <c r="AC142" t="n">
        <v>92</v>
      </c>
      <c r="AD142" t="n">
        <v>1</v>
      </c>
      <c r="AE142" t="n">
        <v>1</v>
      </c>
      <c r="AF142" t="n">
        <v>3</v>
      </c>
      <c r="AG142" t="n">
        <v>3</v>
      </c>
      <c r="AH142" t="n">
        <v>0</v>
      </c>
      <c r="AI142" t="n">
        <v>0</v>
      </c>
      <c r="AJ142" t="n">
        <v>1</v>
      </c>
      <c r="AK142" t="n">
        <v>1</v>
      </c>
      <c r="AL142" t="n">
        <v>2</v>
      </c>
      <c r="AM142" t="n">
        <v>2</v>
      </c>
      <c r="AN142" t="n">
        <v>0</v>
      </c>
      <c r="AO142" t="n">
        <v>0</v>
      </c>
      <c r="AP142" t="n">
        <v>0</v>
      </c>
      <c r="AQ142" t="n">
        <v>0</v>
      </c>
      <c r="AR142" t="inlineStr">
        <is>
          <t>No</t>
        </is>
      </c>
      <c r="AS142" t="inlineStr">
        <is>
          <t>No</t>
        </is>
      </c>
      <c r="AU142">
        <f>HYPERLINK("https://creighton-primo.hosted.exlibrisgroup.com/primo-explore/search?tab=default_tab&amp;search_scope=EVERYTHING&amp;vid=01CRU&amp;lang=en_US&amp;offset=0&amp;query=any,contains,991001488259702656","Catalog Record")</f>
        <v/>
      </c>
      <c r="AV142">
        <f>HYPERLINK("http://www.worldcat.org/oclc/31174069","WorldCat Record")</f>
        <v/>
      </c>
      <c r="AW142" t="inlineStr">
        <is>
          <t>115586233:eng</t>
        </is>
      </c>
      <c r="AX142" t="inlineStr">
        <is>
          <t>31174069</t>
        </is>
      </c>
      <c r="AY142" t="inlineStr">
        <is>
          <t>991001488259702656</t>
        </is>
      </c>
      <c r="AZ142" t="inlineStr">
        <is>
          <t>991001488259702656</t>
        </is>
      </c>
      <c r="BA142" t="inlineStr">
        <is>
          <t>2263473270002656</t>
        </is>
      </c>
      <c r="BB142" t="inlineStr">
        <is>
          <t>BOOK</t>
        </is>
      </c>
      <c r="BD142" t="inlineStr">
        <is>
          <t>9780340557266</t>
        </is>
      </c>
      <c r="BE142" t="inlineStr">
        <is>
          <t>30001002579847</t>
        </is>
      </c>
      <c r="BF142" t="inlineStr">
        <is>
          <t>893558017</t>
        </is>
      </c>
    </row>
    <row r="143">
      <c r="A143" t="inlineStr">
        <is>
          <t>No</t>
        </is>
      </c>
      <c r="B143" t="inlineStr">
        <is>
          <t>CUHSL</t>
        </is>
      </c>
      <c r="C143" t="inlineStr">
        <is>
          <t>SHELVES</t>
        </is>
      </c>
      <c r="D143" t="inlineStr">
        <is>
          <t>WY 16 N97418 1990</t>
        </is>
      </c>
      <c r="E143" t="inlineStr">
        <is>
          <t>0                      WY 0016000N  97418       1990</t>
        </is>
      </c>
      <c r="F143" t="inlineStr">
        <is>
          <t>The Nursing profession : turning points / edited by Norma L. Chaska.</t>
        </is>
      </c>
      <c r="H143" t="inlineStr">
        <is>
          <t>No</t>
        </is>
      </c>
      <c r="I143" t="inlineStr">
        <is>
          <t>1</t>
        </is>
      </c>
      <c r="J143" t="inlineStr">
        <is>
          <t>No</t>
        </is>
      </c>
      <c r="K143" t="inlineStr">
        <is>
          <t>No</t>
        </is>
      </c>
      <c r="L143" t="inlineStr">
        <is>
          <t>0</t>
        </is>
      </c>
      <c r="N143" t="inlineStr">
        <is>
          <t>St. Louis : Mosby, c1990.</t>
        </is>
      </c>
      <c r="O143" t="inlineStr">
        <is>
          <t>1990</t>
        </is>
      </c>
      <c r="Q143" t="inlineStr">
        <is>
          <t>eng</t>
        </is>
      </c>
      <c r="R143" t="inlineStr">
        <is>
          <t>xxu</t>
        </is>
      </c>
      <c r="T143" t="inlineStr">
        <is>
          <t xml:space="preserve">WY </t>
        </is>
      </c>
      <c r="U143" t="n">
        <v>13</v>
      </c>
      <c r="V143" t="n">
        <v>13</v>
      </c>
      <c r="W143" t="inlineStr">
        <is>
          <t>2000-09-11</t>
        </is>
      </c>
      <c r="X143" t="inlineStr">
        <is>
          <t>2000-09-11</t>
        </is>
      </c>
      <c r="Y143" t="inlineStr">
        <is>
          <t>1991-02-16</t>
        </is>
      </c>
      <c r="Z143" t="inlineStr">
        <is>
          <t>1991-02-16</t>
        </is>
      </c>
      <c r="AA143" t="n">
        <v>385</v>
      </c>
      <c r="AB143" t="n">
        <v>287</v>
      </c>
      <c r="AC143" t="n">
        <v>294</v>
      </c>
      <c r="AD143" t="n">
        <v>1</v>
      </c>
      <c r="AE143" t="n">
        <v>1</v>
      </c>
      <c r="AF143" t="n">
        <v>13</v>
      </c>
      <c r="AG143" t="n">
        <v>13</v>
      </c>
      <c r="AH143" t="n">
        <v>5</v>
      </c>
      <c r="AI143" t="n">
        <v>5</v>
      </c>
      <c r="AJ143" t="n">
        <v>2</v>
      </c>
      <c r="AK143" t="n">
        <v>2</v>
      </c>
      <c r="AL143" t="n">
        <v>10</v>
      </c>
      <c r="AM143" t="n">
        <v>10</v>
      </c>
      <c r="AN143" t="n">
        <v>0</v>
      </c>
      <c r="AO143" t="n">
        <v>0</v>
      </c>
      <c r="AP143" t="n">
        <v>0</v>
      </c>
      <c r="AQ143" t="n">
        <v>0</v>
      </c>
      <c r="AR143" t="inlineStr">
        <is>
          <t>No</t>
        </is>
      </c>
      <c r="AS143" t="inlineStr">
        <is>
          <t>Yes</t>
        </is>
      </c>
      <c r="AT143">
        <f>HYPERLINK("http://catalog.hathitrust.org/Record/002168317","HathiTrust Record")</f>
        <v/>
      </c>
      <c r="AU143">
        <f>HYPERLINK("https://creighton-primo.hosted.exlibrisgroup.com/primo-explore/search?tab=default_tab&amp;search_scope=EVERYTHING&amp;vid=01CRU&amp;lang=en_US&amp;offset=0&amp;query=any,contains,991000820989702656","Catalog Record")</f>
        <v/>
      </c>
      <c r="AV143">
        <f>HYPERLINK("http://www.worldcat.org/oclc/20265677","WorldCat Record")</f>
        <v/>
      </c>
      <c r="AW143" t="inlineStr">
        <is>
          <t>22161662:eng</t>
        </is>
      </c>
      <c r="AX143" t="inlineStr">
        <is>
          <t>20265677</t>
        </is>
      </c>
      <c r="AY143" t="inlineStr">
        <is>
          <t>991000820989702656</t>
        </is>
      </c>
      <c r="AZ143" t="inlineStr">
        <is>
          <t>991000820989702656</t>
        </is>
      </c>
      <c r="BA143" t="inlineStr">
        <is>
          <t>2265149970002656</t>
        </is>
      </c>
      <c r="BB143" t="inlineStr">
        <is>
          <t>BOOK</t>
        </is>
      </c>
      <c r="BD143" t="inlineStr">
        <is>
          <t>9780801660672</t>
        </is>
      </c>
      <c r="BE143" t="inlineStr">
        <is>
          <t>30001002087528</t>
        </is>
      </c>
      <c r="BF143" t="inlineStr">
        <is>
          <t>893743503</t>
        </is>
      </c>
    </row>
    <row r="144">
      <c r="A144" t="inlineStr">
        <is>
          <t>No</t>
        </is>
      </c>
      <c r="B144" t="inlineStr">
        <is>
          <t>CUHSL</t>
        </is>
      </c>
      <c r="C144" t="inlineStr">
        <is>
          <t>SHELVES</t>
        </is>
      </c>
      <c r="D144" t="inlineStr">
        <is>
          <t>WY 16 N9744 1983</t>
        </is>
      </c>
      <c r="E144" t="inlineStr">
        <is>
          <t>0                      WY 0016000N  9744        1983</t>
        </is>
      </c>
      <c r="F144" t="inlineStr">
        <is>
          <t>Nursing in transition / [edited by] T. Audean Duespohl.</t>
        </is>
      </c>
      <c r="H144" t="inlineStr">
        <is>
          <t>No</t>
        </is>
      </c>
      <c r="I144" t="inlineStr">
        <is>
          <t>1</t>
        </is>
      </c>
      <c r="J144" t="inlineStr">
        <is>
          <t>No</t>
        </is>
      </c>
      <c r="K144" t="inlineStr">
        <is>
          <t>No</t>
        </is>
      </c>
      <c r="L144" t="inlineStr">
        <is>
          <t>0</t>
        </is>
      </c>
      <c r="N144" t="inlineStr">
        <is>
          <t>Rockville, Md. : Aspen Systems Corp., c1983.</t>
        </is>
      </c>
      <c r="O144" t="inlineStr">
        <is>
          <t>1983</t>
        </is>
      </c>
      <c r="Q144" t="inlineStr">
        <is>
          <t>eng</t>
        </is>
      </c>
      <c r="R144" t="inlineStr">
        <is>
          <t>xxu</t>
        </is>
      </c>
      <c r="T144" t="inlineStr">
        <is>
          <t xml:space="preserve">WY </t>
        </is>
      </c>
      <c r="U144" t="n">
        <v>3</v>
      </c>
      <c r="V144" t="n">
        <v>3</v>
      </c>
      <c r="W144" t="inlineStr">
        <is>
          <t>1993-07-13</t>
        </is>
      </c>
      <c r="X144" t="inlineStr">
        <is>
          <t>1993-07-13</t>
        </is>
      </c>
      <c r="Y144" t="inlineStr">
        <is>
          <t>1987-12-22</t>
        </is>
      </c>
      <c r="Z144" t="inlineStr">
        <is>
          <t>1987-12-22</t>
        </is>
      </c>
      <c r="AA144" t="n">
        <v>188</v>
      </c>
      <c r="AB144" t="n">
        <v>169</v>
      </c>
      <c r="AC144" t="n">
        <v>171</v>
      </c>
      <c r="AD144" t="n">
        <v>3</v>
      </c>
      <c r="AE144" t="n">
        <v>3</v>
      </c>
      <c r="AF144" t="n">
        <v>8</v>
      </c>
      <c r="AG144" t="n">
        <v>8</v>
      </c>
      <c r="AH144" t="n">
        <v>1</v>
      </c>
      <c r="AI144" t="n">
        <v>1</v>
      </c>
      <c r="AJ144" t="n">
        <v>2</v>
      </c>
      <c r="AK144" t="n">
        <v>2</v>
      </c>
      <c r="AL144" t="n">
        <v>5</v>
      </c>
      <c r="AM144" t="n">
        <v>5</v>
      </c>
      <c r="AN144" t="n">
        <v>2</v>
      </c>
      <c r="AO144" t="n">
        <v>2</v>
      </c>
      <c r="AP144" t="n">
        <v>0</v>
      </c>
      <c r="AQ144" t="n">
        <v>0</v>
      </c>
      <c r="AR144" t="inlineStr">
        <is>
          <t>No</t>
        </is>
      </c>
      <c r="AS144" t="inlineStr">
        <is>
          <t>Yes</t>
        </is>
      </c>
      <c r="AT144">
        <f>HYPERLINK("http://catalog.hathitrust.org/Record/000203614","HathiTrust Record")</f>
        <v/>
      </c>
      <c r="AU144">
        <f>HYPERLINK("https://creighton-primo.hosted.exlibrisgroup.com/primo-explore/search?tab=default_tab&amp;search_scope=EVERYTHING&amp;vid=01CRU&amp;lang=en_US&amp;offset=0&amp;query=any,contains,991001034159702656","Catalog Record")</f>
        <v/>
      </c>
      <c r="AV144">
        <f>HYPERLINK("http://www.worldcat.org/oclc/8709032","WorldCat Record")</f>
        <v/>
      </c>
      <c r="AW144" t="inlineStr">
        <is>
          <t>428884743:eng</t>
        </is>
      </c>
      <c r="AX144" t="inlineStr">
        <is>
          <t>8709032</t>
        </is>
      </c>
      <c r="AY144" t="inlineStr">
        <is>
          <t>991001034159702656</t>
        </is>
      </c>
      <c r="AZ144" t="inlineStr">
        <is>
          <t>991001034159702656</t>
        </is>
      </c>
      <c r="BA144" t="inlineStr">
        <is>
          <t>2272560870002656</t>
        </is>
      </c>
      <c r="BB144" t="inlineStr">
        <is>
          <t>BOOK</t>
        </is>
      </c>
      <c r="BD144" t="inlineStr">
        <is>
          <t>9780894438370</t>
        </is>
      </c>
      <c r="BE144" t="inlineStr">
        <is>
          <t>30001000240426</t>
        </is>
      </c>
      <c r="BF144" t="inlineStr">
        <is>
          <t>893557526</t>
        </is>
      </c>
    </row>
    <row r="145">
      <c r="A145" t="inlineStr">
        <is>
          <t>No</t>
        </is>
      </c>
      <c r="B145" t="inlineStr">
        <is>
          <t>CUHSL</t>
        </is>
      </c>
      <c r="C145" t="inlineStr">
        <is>
          <t>SHELVES</t>
        </is>
      </c>
      <c r="D145" t="inlineStr">
        <is>
          <t>WY 16 N9746 1983</t>
        </is>
      </c>
      <c r="E145" t="inlineStr">
        <is>
          <t>0                      WY 0016000N  9746        1983</t>
        </is>
      </c>
      <c r="F145" t="inlineStr">
        <is>
          <t>Nursing issues and nursing strategies for the eighties / Bonnie Bullough, Vern Bullough, Mary Claire Soukup, editors.</t>
        </is>
      </c>
      <c r="H145" t="inlineStr">
        <is>
          <t>No</t>
        </is>
      </c>
      <c r="I145" t="inlineStr">
        <is>
          <t>1</t>
        </is>
      </c>
      <c r="J145" t="inlineStr">
        <is>
          <t>No</t>
        </is>
      </c>
      <c r="K145" t="inlineStr">
        <is>
          <t>No</t>
        </is>
      </c>
      <c r="L145" t="inlineStr">
        <is>
          <t>0</t>
        </is>
      </c>
      <c r="N145" t="inlineStr">
        <is>
          <t>New York : Springer Pub. Co., c1983.</t>
        </is>
      </c>
      <c r="O145" t="inlineStr">
        <is>
          <t>1983</t>
        </is>
      </c>
      <c r="Q145" t="inlineStr">
        <is>
          <t>eng</t>
        </is>
      </c>
      <c r="R145" t="inlineStr">
        <is>
          <t>xxu</t>
        </is>
      </c>
      <c r="S145" t="inlineStr">
        <is>
          <t>Issues in nursing</t>
        </is>
      </c>
      <c r="T145" t="inlineStr">
        <is>
          <t xml:space="preserve">WY </t>
        </is>
      </c>
      <c r="U145" t="n">
        <v>3</v>
      </c>
      <c r="V145" t="n">
        <v>3</v>
      </c>
      <c r="W145" t="inlineStr">
        <is>
          <t>1994-06-27</t>
        </is>
      </c>
      <c r="X145" t="inlineStr">
        <is>
          <t>1994-06-27</t>
        </is>
      </c>
      <c r="Y145" t="inlineStr">
        <is>
          <t>1997-02-11</t>
        </is>
      </c>
      <c r="Z145" t="inlineStr">
        <is>
          <t>1997-02-11</t>
        </is>
      </c>
      <c r="AA145" t="n">
        <v>220</v>
      </c>
      <c r="AB145" t="n">
        <v>185</v>
      </c>
      <c r="AC145" t="n">
        <v>187</v>
      </c>
      <c r="AD145" t="n">
        <v>1</v>
      </c>
      <c r="AE145" t="n">
        <v>1</v>
      </c>
      <c r="AF145" t="n">
        <v>7</v>
      </c>
      <c r="AG145" t="n">
        <v>7</v>
      </c>
      <c r="AH145" t="n">
        <v>3</v>
      </c>
      <c r="AI145" t="n">
        <v>3</v>
      </c>
      <c r="AJ145" t="n">
        <v>0</v>
      </c>
      <c r="AK145" t="n">
        <v>0</v>
      </c>
      <c r="AL145" t="n">
        <v>4</v>
      </c>
      <c r="AM145" t="n">
        <v>4</v>
      </c>
      <c r="AN145" t="n">
        <v>0</v>
      </c>
      <c r="AO145" t="n">
        <v>0</v>
      </c>
      <c r="AP145" t="n">
        <v>1</v>
      </c>
      <c r="AQ145" t="n">
        <v>1</v>
      </c>
      <c r="AR145" t="inlineStr">
        <is>
          <t>No</t>
        </is>
      </c>
      <c r="AS145" t="inlineStr">
        <is>
          <t>Yes</t>
        </is>
      </c>
      <c r="AT145">
        <f>HYPERLINK("http://catalog.hathitrust.org/Record/000156968","HathiTrust Record")</f>
        <v/>
      </c>
      <c r="AU145">
        <f>HYPERLINK("https://creighton-primo.hosted.exlibrisgroup.com/primo-explore/search?tab=default_tab&amp;search_scope=EVERYTHING&amp;vid=01CRU&amp;lang=en_US&amp;offset=0&amp;query=any,contains,991000859459702656","Catalog Record")</f>
        <v/>
      </c>
      <c r="AV145">
        <f>HYPERLINK("http://www.worldcat.org/oclc/9283376","WorldCat Record")</f>
        <v/>
      </c>
      <c r="AW145" t="inlineStr">
        <is>
          <t>427650218:eng</t>
        </is>
      </c>
      <c r="AX145" t="inlineStr">
        <is>
          <t>9283376</t>
        </is>
      </c>
      <c r="AY145" t="inlineStr">
        <is>
          <t>991000859459702656</t>
        </is>
      </c>
      <c r="AZ145" t="inlineStr">
        <is>
          <t>991000859459702656</t>
        </is>
      </c>
      <c r="BA145" t="inlineStr">
        <is>
          <t>2258667980002656</t>
        </is>
      </c>
      <c r="BB145" t="inlineStr">
        <is>
          <t>BOOK</t>
        </is>
      </c>
      <c r="BD145" t="inlineStr">
        <is>
          <t>9780826144416</t>
        </is>
      </c>
      <c r="BE145" t="inlineStr">
        <is>
          <t>30001003477488</t>
        </is>
      </c>
      <c r="BF145" t="inlineStr">
        <is>
          <t>893460052</t>
        </is>
      </c>
    </row>
    <row r="146">
      <c r="A146" t="inlineStr">
        <is>
          <t>No</t>
        </is>
      </c>
      <c r="B146" t="inlineStr">
        <is>
          <t>CUHSL</t>
        </is>
      </c>
      <c r="C146" t="inlineStr">
        <is>
          <t>SHELVES</t>
        </is>
      </c>
      <c r="D146" t="inlineStr">
        <is>
          <t>WY 16 N975 1989</t>
        </is>
      </c>
      <c r="E146" t="inlineStr">
        <is>
          <t>0                      WY 0016000N  975         1989</t>
        </is>
      </c>
      <c r="F146" t="inlineStr">
        <is>
          <t>Nursing's vital signs : shaping the profession for the 1990's / [National Commission on Nursing Implementation Project]</t>
        </is>
      </c>
      <c r="H146" t="inlineStr">
        <is>
          <t>No</t>
        </is>
      </c>
      <c r="I146" t="inlineStr">
        <is>
          <t>1</t>
        </is>
      </c>
      <c r="J146" t="inlineStr">
        <is>
          <t>No</t>
        </is>
      </c>
      <c r="K146" t="inlineStr">
        <is>
          <t>No</t>
        </is>
      </c>
      <c r="L146" t="inlineStr">
        <is>
          <t>0</t>
        </is>
      </c>
      <c r="N146" t="inlineStr">
        <is>
          <t>Battle Creek, MI : Published by the W.K. Kellogg Foundation, 1989.</t>
        </is>
      </c>
      <c r="O146" t="inlineStr">
        <is>
          <t>1989</t>
        </is>
      </c>
      <c r="P146" t="inlineStr">
        <is>
          <t>[1st ed.]</t>
        </is>
      </c>
      <c r="Q146" t="inlineStr">
        <is>
          <t>eng</t>
        </is>
      </c>
      <c r="R146" t="inlineStr">
        <is>
          <t>miu</t>
        </is>
      </c>
      <c r="T146" t="inlineStr">
        <is>
          <t xml:space="preserve">WY </t>
        </is>
      </c>
      <c r="U146" t="n">
        <v>3</v>
      </c>
      <c r="V146" t="n">
        <v>3</v>
      </c>
      <c r="W146" t="inlineStr">
        <is>
          <t>1992-04-01</t>
        </is>
      </c>
      <c r="X146" t="inlineStr">
        <is>
          <t>1992-04-01</t>
        </is>
      </c>
      <c r="Y146" t="inlineStr">
        <is>
          <t>1989-12-05</t>
        </is>
      </c>
      <c r="Z146" t="inlineStr">
        <is>
          <t>1989-12-05</t>
        </is>
      </c>
      <c r="AA146" t="n">
        <v>310</v>
      </c>
      <c r="AB146" t="n">
        <v>307</v>
      </c>
      <c r="AC146" t="n">
        <v>313</v>
      </c>
      <c r="AD146" t="n">
        <v>4</v>
      </c>
      <c r="AE146" t="n">
        <v>4</v>
      </c>
      <c r="AF146" t="n">
        <v>11</v>
      </c>
      <c r="AG146" t="n">
        <v>11</v>
      </c>
      <c r="AH146" t="n">
        <v>4</v>
      </c>
      <c r="AI146" t="n">
        <v>4</v>
      </c>
      <c r="AJ146" t="n">
        <v>3</v>
      </c>
      <c r="AK146" t="n">
        <v>3</v>
      </c>
      <c r="AL146" t="n">
        <v>4</v>
      </c>
      <c r="AM146" t="n">
        <v>4</v>
      </c>
      <c r="AN146" t="n">
        <v>2</v>
      </c>
      <c r="AO146" t="n">
        <v>2</v>
      </c>
      <c r="AP146" t="n">
        <v>0</v>
      </c>
      <c r="AQ146" t="n">
        <v>0</v>
      </c>
      <c r="AR146" t="inlineStr">
        <is>
          <t>No</t>
        </is>
      </c>
      <c r="AS146" t="inlineStr">
        <is>
          <t>Yes</t>
        </is>
      </c>
      <c r="AT146">
        <f>HYPERLINK("http://catalog.hathitrust.org/Record/002651968","HathiTrust Record")</f>
        <v/>
      </c>
      <c r="AU146">
        <f>HYPERLINK("https://creighton-primo.hosted.exlibrisgroup.com/primo-explore/search?tab=default_tab&amp;search_scope=EVERYTHING&amp;vid=01CRU&amp;lang=en_US&amp;offset=0&amp;query=any,contains,991001363589702656","Catalog Record")</f>
        <v/>
      </c>
      <c r="AV146">
        <f>HYPERLINK("http://www.worldcat.org/oclc/20544271","WorldCat Record")</f>
        <v/>
      </c>
      <c r="AW146" t="inlineStr">
        <is>
          <t>55266456:eng</t>
        </is>
      </c>
      <c r="AX146" t="inlineStr">
        <is>
          <t>20544271</t>
        </is>
      </c>
      <c r="AY146" t="inlineStr">
        <is>
          <t>991001363589702656</t>
        </is>
      </c>
      <c r="AZ146" t="inlineStr">
        <is>
          <t>991001363589702656</t>
        </is>
      </c>
      <c r="BA146" t="inlineStr">
        <is>
          <t>2272312430002656</t>
        </is>
      </c>
      <c r="BB146" t="inlineStr">
        <is>
          <t>BOOK</t>
        </is>
      </c>
      <c r="BE146" t="inlineStr">
        <is>
          <t>30001001797085</t>
        </is>
      </c>
      <c r="BF146" t="inlineStr">
        <is>
          <t>893149123</t>
        </is>
      </c>
    </row>
    <row r="147">
      <c r="A147" t="inlineStr">
        <is>
          <t>No</t>
        </is>
      </c>
      <c r="B147" t="inlineStr">
        <is>
          <t>CUHSL</t>
        </is>
      </c>
      <c r="C147" t="inlineStr">
        <is>
          <t>SHELVES</t>
        </is>
      </c>
      <c r="D147" t="inlineStr">
        <is>
          <t>WY 16 N97874 1997</t>
        </is>
      </c>
      <c r="E147" t="inlineStr">
        <is>
          <t>0                      WY 0016000N  97874       1997</t>
        </is>
      </c>
      <c r="F147" t="inlineStr">
        <is>
          <t>Nursing today : transition and trends / [edited by] JoAnn Zerwekh, Jo Carol Claborn.</t>
        </is>
      </c>
      <c r="H147" t="inlineStr">
        <is>
          <t>No</t>
        </is>
      </c>
      <c r="I147" t="inlineStr">
        <is>
          <t>1</t>
        </is>
      </c>
      <c r="J147" t="inlineStr">
        <is>
          <t>No</t>
        </is>
      </c>
      <c r="K147" t="inlineStr">
        <is>
          <t>Yes</t>
        </is>
      </c>
      <c r="L147" t="inlineStr">
        <is>
          <t>0</t>
        </is>
      </c>
      <c r="N147" t="inlineStr">
        <is>
          <t>Philadelphia : Saunders, c1997.</t>
        </is>
      </c>
      <c r="O147" t="inlineStr">
        <is>
          <t>1997</t>
        </is>
      </c>
      <c r="P147" t="inlineStr">
        <is>
          <t>2nd ed.</t>
        </is>
      </c>
      <c r="Q147" t="inlineStr">
        <is>
          <t>eng</t>
        </is>
      </c>
      <c r="R147" t="inlineStr">
        <is>
          <t>pau</t>
        </is>
      </c>
      <c r="T147" t="inlineStr">
        <is>
          <t xml:space="preserve">WY </t>
        </is>
      </c>
      <c r="U147" t="n">
        <v>11</v>
      </c>
      <c r="V147" t="n">
        <v>11</v>
      </c>
      <c r="W147" t="inlineStr">
        <is>
          <t>2000-08-01</t>
        </is>
      </c>
      <c r="X147" t="inlineStr">
        <is>
          <t>2000-08-01</t>
        </is>
      </c>
      <c r="Y147" t="inlineStr">
        <is>
          <t>1997-02-18</t>
        </is>
      </c>
      <c r="Z147" t="inlineStr">
        <is>
          <t>1997-02-18</t>
        </is>
      </c>
      <c r="AA147" t="n">
        <v>236</v>
      </c>
      <c r="AB147" t="n">
        <v>194</v>
      </c>
      <c r="AC147" t="n">
        <v>1085</v>
      </c>
      <c r="AD147" t="n">
        <v>2</v>
      </c>
      <c r="AE147" t="n">
        <v>7</v>
      </c>
      <c r="AF147" t="n">
        <v>6</v>
      </c>
      <c r="AG147" t="n">
        <v>38</v>
      </c>
      <c r="AH147" t="n">
        <v>1</v>
      </c>
      <c r="AI147" t="n">
        <v>16</v>
      </c>
      <c r="AJ147" t="n">
        <v>2</v>
      </c>
      <c r="AK147" t="n">
        <v>7</v>
      </c>
      <c r="AL147" t="n">
        <v>4</v>
      </c>
      <c r="AM147" t="n">
        <v>15</v>
      </c>
      <c r="AN147" t="n">
        <v>0</v>
      </c>
      <c r="AO147" t="n">
        <v>5</v>
      </c>
      <c r="AP147" t="n">
        <v>0</v>
      </c>
      <c r="AQ147" t="n">
        <v>0</v>
      </c>
      <c r="AR147" t="inlineStr">
        <is>
          <t>No</t>
        </is>
      </c>
      <c r="AS147" t="inlineStr">
        <is>
          <t>Yes</t>
        </is>
      </c>
      <c r="AT147">
        <f>HYPERLINK("http://catalog.hathitrust.org/Record/003115187","HathiTrust Record")</f>
        <v/>
      </c>
      <c r="AU147">
        <f>HYPERLINK("https://creighton-primo.hosted.exlibrisgroup.com/primo-explore/search?tab=default_tab&amp;search_scope=EVERYTHING&amp;vid=01CRU&amp;lang=en_US&amp;offset=0&amp;query=any,contains,991000836819702656","Catalog Record")</f>
        <v/>
      </c>
      <c r="AV147">
        <f>HYPERLINK("http://www.worldcat.org/oclc/34513976","WorldCat Record")</f>
        <v/>
      </c>
      <c r="AW147" t="inlineStr">
        <is>
          <t>796453364:eng</t>
        </is>
      </c>
      <c r="AX147" t="inlineStr">
        <is>
          <t>34513976</t>
        </is>
      </c>
      <c r="AY147" t="inlineStr">
        <is>
          <t>991000836819702656</t>
        </is>
      </c>
      <c r="AZ147" t="inlineStr">
        <is>
          <t>991000836819702656</t>
        </is>
      </c>
      <c r="BA147" t="inlineStr">
        <is>
          <t>2255480810002656</t>
        </is>
      </c>
      <c r="BB147" t="inlineStr">
        <is>
          <t>BOOK</t>
        </is>
      </c>
      <c r="BD147" t="inlineStr">
        <is>
          <t>9780721668994</t>
        </is>
      </c>
      <c r="BE147" t="inlineStr">
        <is>
          <t>30001003441989</t>
        </is>
      </c>
      <c r="BF147" t="inlineStr">
        <is>
          <t>893637618</t>
        </is>
      </c>
    </row>
    <row r="148">
      <c r="A148" t="inlineStr">
        <is>
          <t>No</t>
        </is>
      </c>
      <c r="B148" t="inlineStr">
        <is>
          <t>CUHSL</t>
        </is>
      </c>
      <c r="C148" t="inlineStr">
        <is>
          <t>SHELVES</t>
        </is>
      </c>
      <c r="D148" t="inlineStr">
        <is>
          <t>WY 16 N97875 1985</t>
        </is>
      </c>
      <c r="E148" t="inlineStr">
        <is>
          <t>0                      WY 0016000N  97875       1985</t>
        </is>
      </c>
      <c r="F148" t="inlineStr">
        <is>
          <t>Nursing 2020 : a study of the future of hospital based nursing / Myrna Warnick, project director, Toni Sullivan, co-project director ; Deborah Smith, editor.</t>
        </is>
      </c>
      <c r="H148" t="inlineStr">
        <is>
          <t>No</t>
        </is>
      </c>
      <c r="I148" t="inlineStr">
        <is>
          <t>1</t>
        </is>
      </c>
      <c r="J148" t="inlineStr">
        <is>
          <t>No</t>
        </is>
      </c>
      <c r="K148" t="inlineStr">
        <is>
          <t>No</t>
        </is>
      </c>
      <c r="L148" t="inlineStr">
        <is>
          <t>0</t>
        </is>
      </c>
      <c r="N148" t="inlineStr">
        <is>
          <t>New York : National League for Nursing, c1988.</t>
        </is>
      </c>
      <c r="O148" t="inlineStr">
        <is>
          <t>1988</t>
        </is>
      </c>
      <c r="Q148" t="inlineStr">
        <is>
          <t>eng</t>
        </is>
      </c>
      <c r="R148" t="inlineStr">
        <is>
          <t>nyu</t>
        </is>
      </c>
      <c r="S148" t="inlineStr">
        <is>
          <t>NLN pub. no. 14-2217</t>
        </is>
      </c>
      <c r="T148" t="inlineStr">
        <is>
          <t xml:space="preserve">WY </t>
        </is>
      </c>
      <c r="U148" t="n">
        <v>13</v>
      </c>
      <c r="V148" t="n">
        <v>13</v>
      </c>
      <c r="W148" t="inlineStr">
        <is>
          <t>1994-07-08</t>
        </is>
      </c>
      <c r="X148" t="inlineStr">
        <is>
          <t>1994-07-08</t>
        </is>
      </c>
      <c r="Y148" t="inlineStr">
        <is>
          <t>1988-07-08</t>
        </is>
      </c>
      <c r="Z148" t="inlineStr">
        <is>
          <t>1988-07-08</t>
        </is>
      </c>
      <c r="AA148" t="n">
        <v>281</v>
      </c>
      <c r="AB148" t="n">
        <v>253</v>
      </c>
      <c r="AC148" t="n">
        <v>260</v>
      </c>
      <c r="AD148" t="n">
        <v>3</v>
      </c>
      <c r="AE148" t="n">
        <v>3</v>
      </c>
      <c r="AF148" t="n">
        <v>14</v>
      </c>
      <c r="AG148" t="n">
        <v>14</v>
      </c>
      <c r="AH148" t="n">
        <v>7</v>
      </c>
      <c r="AI148" t="n">
        <v>7</v>
      </c>
      <c r="AJ148" t="n">
        <v>2</v>
      </c>
      <c r="AK148" t="n">
        <v>2</v>
      </c>
      <c r="AL148" t="n">
        <v>6</v>
      </c>
      <c r="AM148" t="n">
        <v>6</v>
      </c>
      <c r="AN148" t="n">
        <v>1</v>
      </c>
      <c r="AO148" t="n">
        <v>1</v>
      </c>
      <c r="AP148" t="n">
        <v>0</v>
      </c>
      <c r="AQ148" t="n">
        <v>0</v>
      </c>
      <c r="AR148" t="inlineStr">
        <is>
          <t>No</t>
        </is>
      </c>
      <c r="AS148" t="inlineStr">
        <is>
          <t>Yes</t>
        </is>
      </c>
      <c r="AT148">
        <f>HYPERLINK("http://catalog.hathitrust.org/Record/004443987","HathiTrust Record")</f>
        <v/>
      </c>
      <c r="AU148">
        <f>HYPERLINK("https://creighton-primo.hosted.exlibrisgroup.com/primo-explore/search?tab=default_tab&amp;search_scope=EVERYTHING&amp;vid=01CRU&amp;lang=en_US&amp;offset=0&amp;query=any,contains,991001416599702656","Catalog Record")</f>
        <v/>
      </c>
      <c r="AV148">
        <f>HYPERLINK("http://www.worldcat.org/oclc/19975425","WorldCat Record")</f>
        <v/>
      </c>
      <c r="AW148" t="inlineStr">
        <is>
          <t>1020769676:eng</t>
        </is>
      </c>
      <c r="AX148" t="inlineStr">
        <is>
          <t>19975425</t>
        </is>
      </c>
      <c r="AY148" t="inlineStr">
        <is>
          <t>991001416599702656</t>
        </is>
      </c>
      <c r="AZ148" t="inlineStr">
        <is>
          <t>991001416599702656</t>
        </is>
      </c>
      <c r="BA148" t="inlineStr">
        <is>
          <t>2254940040002656</t>
        </is>
      </c>
      <c r="BB148" t="inlineStr">
        <is>
          <t>BOOK</t>
        </is>
      </c>
      <c r="BD148" t="inlineStr">
        <is>
          <t>9780887373978</t>
        </is>
      </c>
      <c r="BE148" t="inlineStr">
        <is>
          <t>30001001180878</t>
        </is>
      </c>
      <c r="BF148" t="inlineStr">
        <is>
          <t>893134556</t>
        </is>
      </c>
    </row>
    <row r="149">
      <c r="A149" t="inlineStr">
        <is>
          <t>No</t>
        </is>
      </c>
      <c r="B149" t="inlineStr">
        <is>
          <t>CUHSL</t>
        </is>
      </c>
      <c r="C149" t="inlineStr">
        <is>
          <t>SHELVES</t>
        </is>
      </c>
      <c r="D149" t="inlineStr">
        <is>
          <t>WY 16 O74c 1979</t>
        </is>
      </c>
      <c r="E149" t="inlineStr">
        <is>
          <t>0                      WY 0016000O  74c         1979</t>
        </is>
      </c>
      <c r="F149" t="inlineStr">
        <is>
          <t>A coalition for health : bridge between individual accountability and public policy / Maria W. O'Rourke.</t>
        </is>
      </c>
      <c r="H149" t="inlineStr">
        <is>
          <t>No</t>
        </is>
      </c>
      <c r="I149" t="inlineStr">
        <is>
          <t>1</t>
        </is>
      </c>
      <c r="J149" t="inlineStr">
        <is>
          <t>No</t>
        </is>
      </c>
      <c r="K149" t="inlineStr">
        <is>
          <t>No</t>
        </is>
      </c>
      <c r="L149" t="inlineStr">
        <is>
          <t>0</t>
        </is>
      </c>
      <c r="M149" t="inlineStr">
        <is>
          <t>O'Rourke, Maria W.</t>
        </is>
      </c>
      <c r="N149" t="inlineStr">
        <is>
          <t>New York : National League for Nursing, c1979.</t>
        </is>
      </c>
      <c r="O149" t="inlineStr">
        <is>
          <t>1979</t>
        </is>
      </c>
      <c r="Q149" t="inlineStr">
        <is>
          <t>eng</t>
        </is>
      </c>
      <c r="R149" t="inlineStr">
        <is>
          <t>nyu</t>
        </is>
      </c>
      <c r="S149" t="inlineStr">
        <is>
          <t>NLN pub. no. 41-1779</t>
        </is>
      </c>
      <c r="T149" t="inlineStr">
        <is>
          <t xml:space="preserve">WY </t>
        </is>
      </c>
      <c r="U149" t="n">
        <v>1</v>
      </c>
      <c r="V149" t="n">
        <v>1</v>
      </c>
      <c r="W149" t="inlineStr">
        <is>
          <t>1990-07-03</t>
        </is>
      </c>
      <c r="X149" t="inlineStr">
        <is>
          <t>1990-07-03</t>
        </is>
      </c>
      <c r="Y149" t="inlineStr">
        <is>
          <t>1987-11-12</t>
        </is>
      </c>
      <c r="Z149" t="inlineStr">
        <is>
          <t>1987-11-12</t>
        </is>
      </c>
      <c r="AA149" t="n">
        <v>74</v>
      </c>
      <c r="AB149" t="n">
        <v>64</v>
      </c>
      <c r="AC149" t="n">
        <v>65</v>
      </c>
      <c r="AD149" t="n">
        <v>2</v>
      </c>
      <c r="AE149" t="n">
        <v>2</v>
      </c>
      <c r="AF149" t="n">
        <v>6</v>
      </c>
      <c r="AG149" t="n">
        <v>6</v>
      </c>
      <c r="AH149" t="n">
        <v>2</v>
      </c>
      <c r="AI149" t="n">
        <v>2</v>
      </c>
      <c r="AJ149" t="n">
        <v>1</v>
      </c>
      <c r="AK149" t="n">
        <v>1</v>
      </c>
      <c r="AL149" t="n">
        <v>3</v>
      </c>
      <c r="AM149" t="n">
        <v>3</v>
      </c>
      <c r="AN149" t="n">
        <v>1</v>
      </c>
      <c r="AO149" t="n">
        <v>1</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HYPERLINK("https://creighton-primo.hosted.exlibrisgroup.com/primo-explore/search?tab=default_tab&amp;search_scope=EVERYTHING&amp;vid=01CRU&amp;lang=en_US&amp;offset=0&amp;query=any,contains,991001389989702656","Catalog Record")</f>
        <v/>
      </c>
      <c r="AV149">
        <f>HYPERLINK("http://www.worldcat.org/oclc/5619459","WorldCat Record")</f>
        <v/>
      </c>
      <c r="AW149" t="inlineStr">
        <is>
          <t>18643172:eng</t>
        </is>
      </c>
      <c r="AX149" t="inlineStr">
        <is>
          <t>5619459</t>
        </is>
      </c>
      <c r="AY149" t="inlineStr">
        <is>
          <t>991001389989702656</t>
        </is>
      </c>
      <c r="AZ149" t="inlineStr">
        <is>
          <t>991001389989702656</t>
        </is>
      </c>
      <c r="BA149" t="inlineStr">
        <is>
          <t>2269975750002656</t>
        </is>
      </c>
      <c r="BB149" t="inlineStr">
        <is>
          <t>BOOK</t>
        </is>
      </c>
      <c r="BE149" t="inlineStr">
        <is>
          <t>30001000464810</t>
        </is>
      </c>
      <c r="BF149" t="inlineStr">
        <is>
          <t>893731971</t>
        </is>
      </c>
    </row>
    <row r="150">
      <c r="A150" t="inlineStr">
        <is>
          <t>No</t>
        </is>
      </c>
      <c r="B150" t="inlineStr">
        <is>
          <t>CUHSL</t>
        </is>
      </c>
      <c r="C150" t="inlineStr">
        <is>
          <t>SHELVES</t>
        </is>
      </c>
      <c r="D150" t="inlineStr">
        <is>
          <t>WY 16 P419 1976</t>
        </is>
      </c>
      <c r="E150" t="inlineStr">
        <is>
          <t>0                      WY 0016000P  419         1976</t>
        </is>
      </c>
      <c r="F150" t="inlineStr">
        <is>
          <t>People, power, politics for health care.</t>
        </is>
      </c>
      <c r="H150" t="inlineStr">
        <is>
          <t>No</t>
        </is>
      </c>
      <c r="I150" t="inlineStr">
        <is>
          <t>1</t>
        </is>
      </c>
      <c r="J150" t="inlineStr">
        <is>
          <t>No</t>
        </is>
      </c>
      <c r="K150" t="inlineStr">
        <is>
          <t>No</t>
        </is>
      </c>
      <c r="L150" t="inlineStr">
        <is>
          <t>0</t>
        </is>
      </c>
      <c r="N150" t="inlineStr">
        <is>
          <t>New York : National League for Nursing, c1976.</t>
        </is>
      </c>
      <c r="O150" t="inlineStr">
        <is>
          <t>1976</t>
        </is>
      </c>
      <c r="Q150" t="inlineStr">
        <is>
          <t>eng</t>
        </is>
      </c>
      <c r="R150" t="inlineStr">
        <is>
          <t>nyu</t>
        </is>
      </c>
      <c r="S150" t="inlineStr">
        <is>
          <t>NLN pub. no. 52-1647</t>
        </is>
      </c>
      <c r="T150" t="inlineStr">
        <is>
          <t xml:space="preserve">WY </t>
        </is>
      </c>
      <c r="U150" t="n">
        <v>2</v>
      </c>
      <c r="V150" t="n">
        <v>2</v>
      </c>
      <c r="W150" t="inlineStr">
        <is>
          <t>1990-07-02</t>
        </is>
      </c>
      <c r="X150" t="inlineStr">
        <is>
          <t>1990-07-02</t>
        </is>
      </c>
      <c r="Y150" t="inlineStr">
        <is>
          <t>1987-11-18</t>
        </is>
      </c>
      <c r="Z150" t="inlineStr">
        <is>
          <t>1987-11-18</t>
        </is>
      </c>
      <c r="AA150" t="n">
        <v>89</v>
      </c>
      <c r="AB150" t="n">
        <v>86</v>
      </c>
      <c r="AC150" t="n">
        <v>87</v>
      </c>
      <c r="AD150" t="n">
        <v>3</v>
      </c>
      <c r="AE150" t="n">
        <v>3</v>
      </c>
      <c r="AF150" t="n">
        <v>4</v>
      </c>
      <c r="AG150" t="n">
        <v>4</v>
      </c>
      <c r="AH150" t="n">
        <v>0</v>
      </c>
      <c r="AI150" t="n">
        <v>0</v>
      </c>
      <c r="AJ150" t="n">
        <v>1</v>
      </c>
      <c r="AK150" t="n">
        <v>1</v>
      </c>
      <c r="AL150" t="n">
        <v>3</v>
      </c>
      <c r="AM150" t="n">
        <v>3</v>
      </c>
      <c r="AN150" t="n">
        <v>1</v>
      </c>
      <c r="AO150" t="n">
        <v>1</v>
      </c>
      <c r="AP150" t="n">
        <v>0</v>
      </c>
      <c r="AQ150" t="n">
        <v>0</v>
      </c>
      <c r="AR150" t="inlineStr">
        <is>
          <t>No</t>
        </is>
      </c>
      <c r="AS150" t="inlineStr">
        <is>
          <t>Yes</t>
        </is>
      </c>
      <c r="AT150">
        <f>HYPERLINK("http://catalog.hathitrust.org/Record/000171021","HathiTrust Record")</f>
        <v/>
      </c>
      <c r="AU150">
        <f>HYPERLINK("https://creighton-primo.hosted.exlibrisgroup.com/primo-explore/search?tab=default_tab&amp;search_scope=EVERYTHING&amp;vid=01CRU&amp;lang=en_US&amp;offset=0&amp;query=any,contains,991001516399702656","Catalog Record")</f>
        <v/>
      </c>
      <c r="AV150">
        <f>HYPERLINK("http://www.worldcat.org/oclc/2701240","WorldCat Record")</f>
        <v/>
      </c>
      <c r="AW150" t="inlineStr">
        <is>
          <t>1781304792:eng</t>
        </is>
      </c>
      <c r="AX150" t="inlineStr">
        <is>
          <t>2701240</t>
        </is>
      </c>
      <c r="AY150" t="inlineStr">
        <is>
          <t>991001516399702656</t>
        </is>
      </c>
      <c r="AZ150" t="inlineStr">
        <is>
          <t>991001516399702656</t>
        </is>
      </c>
      <c r="BA150" t="inlineStr">
        <is>
          <t>2254728390002656</t>
        </is>
      </c>
      <c r="BB150" t="inlineStr">
        <is>
          <t>BOOK</t>
        </is>
      </c>
      <c r="BE150" t="inlineStr">
        <is>
          <t>30001000600058</t>
        </is>
      </c>
      <c r="BF150" t="inlineStr">
        <is>
          <t>893638404</t>
        </is>
      </c>
    </row>
    <row r="151">
      <c r="A151" t="inlineStr">
        <is>
          <t>No</t>
        </is>
      </c>
      <c r="B151" t="inlineStr">
        <is>
          <t>CUHSL</t>
        </is>
      </c>
      <c r="C151" t="inlineStr">
        <is>
          <t>SHELVES</t>
        </is>
      </c>
      <c r="D151" t="inlineStr">
        <is>
          <t>WY16 P467 1983</t>
        </is>
      </c>
      <c r="E151" t="inlineStr">
        <is>
          <t>0                      WY 0016000P  467         1983</t>
        </is>
      </c>
      <c r="F151" t="inlineStr">
        <is>
          <t>Perspectives in nursing--1983-1985 : based on presentations at the sixteenth NLN biennial convention / National League for Nursing.</t>
        </is>
      </c>
      <c r="H151" t="inlineStr">
        <is>
          <t>No</t>
        </is>
      </c>
      <c r="I151" t="inlineStr">
        <is>
          <t>1</t>
        </is>
      </c>
      <c r="J151" t="inlineStr">
        <is>
          <t>No</t>
        </is>
      </c>
      <c r="K151" t="inlineStr">
        <is>
          <t>No</t>
        </is>
      </c>
      <c r="L151" t="inlineStr">
        <is>
          <t>0</t>
        </is>
      </c>
      <c r="N151" t="inlineStr">
        <is>
          <t>New York, N.Y. : National League for Nursing, c1983.</t>
        </is>
      </c>
      <c r="O151" t="inlineStr">
        <is>
          <t>1983</t>
        </is>
      </c>
      <c r="Q151" t="inlineStr">
        <is>
          <t>eng</t>
        </is>
      </c>
      <c r="R151" t="inlineStr">
        <is>
          <t>nyu</t>
        </is>
      </c>
      <c r="S151" t="inlineStr">
        <is>
          <t>NLN pub. no. 41-1935</t>
        </is>
      </c>
      <c r="T151" t="inlineStr">
        <is>
          <t xml:space="preserve">WY </t>
        </is>
      </c>
      <c r="U151" t="n">
        <v>2</v>
      </c>
      <c r="V151" t="n">
        <v>2</v>
      </c>
      <c r="W151" t="inlineStr">
        <is>
          <t>1998-03-27</t>
        </is>
      </c>
      <c r="X151" t="inlineStr">
        <is>
          <t>1998-03-27</t>
        </is>
      </c>
      <c r="Y151" t="inlineStr">
        <is>
          <t>1989-12-19</t>
        </is>
      </c>
      <c r="Z151" t="inlineStr">
        <is>
          <t>1989-12-19</t>
        </is>
      </c>
      <c r="AA151" t="n">
        <v>107</v>
      </c>
      <c r="AB151" t="n">
        <v>97</v>
      </c>
      <c r="AC151" t="n">
        <v>97</v>
      </c>
      <c r="AD151" t="n">
        <v>2</v>
      </c>
      <c r="AE151" t="n">
        <v>2</v>
      </c>
      <c r="AF151" t="n">
        <v>4</v>
      </c>
      <c r="AG151" t="n">
        <v>4</v>
      </c>
      <c r="AH151" t="n">
        <v>1</v>
      </c>
      <c r="AI151" t="n">
        <v>1</v>
      </c>
      <c r="AJ151" t="n">
        <v>2</v>
      </c>
      <c r="AK151" t="n">
        <v>2</v>
      </c>
      <c r="AL151" t="n">
        <v>2</v>
      </c>
      <c r="AM151" t="n">
        <v>2</v>
      </c>
      <c r="AN151" t="n">
        <v>0</v>
      </c>
      <c r="AO151" t="n">
        <v>0</v>
      </c>
      <c r="AP151" t="n">
        <v>0</v>
      </c>
      <c r="AQ151" t="n">
        <v>0</v>
      </c>
      <c r="AR151" t="inlineStr">
        <is>
          <t>No</t>
        </is>
      </c>
      <c r="AS151" t="inlineStr">
        <is>
          <t>No</t>
        </is>
      </c>
      <c r="AU151">
        <f>HYPERLINK("https://creighton-primo.hosted.exlibrisgroup.com/primo-explore/search?tab=default_tab&amp;search_scope=EVERYTHING&amp;vid=01CRU&amp;lang=en_US&amp;offset=0&amp;query=any,contains,991001414469702656","Catalog Record")</f>
        <v/>
      </c>
      <c r="AV151">
        <f>HYPERLINK("http://www.worldcat.org/oclc/11496424","WorldCat Record")</f>
        <v/>
      </c>
      <c r="AW151" t="inlineStr">
        <is>
          <t>3768474837:eng</t>
        </is>
      </c>
      <c r="AX151" t="inlineStr">
        <is>
          <t>11496424</t>
        </is>
      </c>
      <c r="AY151" t="inlineStr">
        <is>
          <t>991001414469702656</t>
        </is>
      </c>
      <c r="AZ151" t="inlineStr">
        <is>
          <t>991001414469702656</t>
        </is>
      </c>
      <c r="BA151" t="inlineStr">
        <is>
          <t>2269583110002656</t>
        </is>
      </c>
      <c r="BB151" t="inlineStr">
        <is>
          <t>BOOK</t>
        </is>
      </c>
      <c r="BD151" t="inlineStr">
        <is>
          <t>9780887373466</t>
        </is>
      </c>
      <c r="BE151" t="inlineStr">
        <is>
          <t>30001001847054</t>
        </is>
      </c>
      <c r="BF151" t="inlineStr">
        <is>
          <t>893643557</t>
        </is>
      </c>
    </row>
    <row r="152">
      <c r="A152" t="inlineStr">
        <is>
          <t>No</t>
        </is>
      </c>
      <c r="B152" t="inlineStr">
        <is>
          <t>CUHSL</t>
        </is>
      </c>
      <c r="C152" t="inlineStr">
        <is>
          <t>SHELVES</t>
        </is>
      </c>
      <c r="D152" t="inlineStr">
        <is>
          <t>WY16 P467 1985-1987</t>
        </is>
      </c>
      <c r="E152" t="inlineStr">
        <is>
          <t>0                      WY 0016000P  467         1985                                        -1987</t>
        </is>
      </c>
      <c r="F152" t="inlineStr">
        <is>
          <t>Perspectives in nursing, 1985-1987 : based on presentations at the seventeenth NLN biennial convention.</t>
        </is>
      </c>
      <c r="H152" t="inlineStr">
        <is>
          <t>No</t>
        </is>
      </c>
      <c r="I152" t="inlineStr">
        <is>
          <t>1</t>
        </is>
      </c>
      <c r="J152" t="inlineStr">
        <is>
          <t>No</t>
        </is>
      </c>
      <c r="K152" t="inlineStr">
        <is>
          <t>No</t>
        </is>
      </c>
      <c r="L152" t="inlineStr">
        <is>
          <t>0</t>
        </is>
      </c>
      <c r="N152" t="inlineStr">
        <is>
          <t>New York, N.Y. : National League for Nursing, c1985.</t>
        </is>
      </c>
      <c r="O152" t="inlineStr">
        <is>
          <t>1985</t>
        </is>
      </c>
      <c r="Q152" t="inlineStr">
        <is>
          <t>eng</t>
        </is>
      </c>
      <c r="R152" t="inlineStr">
        <is>
          <t>nyu</t>
        </is>
      </c>
      <c r="S152" t="inlineStr">
        <is>
          <t>NLN pub. no. 41-1985</t>
        </is>
      </c>
      <c r="T152" t="inlineStr">
        <is>
          <t xml:space="preserve">WY </t>
        </is>
      </c>
      <c r="U152" t="n">
        <v>7</v>
      </c>
      <c r="V152" t="n">
        <v>7</v>
      </c>
      <c r="W152" t="inlineStr">
        <is>
          <t>1998-03-27</t>
        </is>
      </c>
      <c r="X152" t="inlineStr">
        <is>
          <t>1998-03-27</t>
        </is>
      </c>
      <c r="Y152" t="inlineStr">
        <is>
          <t>1987-12-22</t>
        </is>
      </c>
      <c r="Z152" t="inlineStr">
        <is>
          <t>1987-12-22</t>
        </is>
      </c>
      <c r="AA152" t="n">
        <v>118</v>
      </c>
      <c r="AB152" t="n">
        <v>93</v>
      </c>
      <c r="AC152" t="n">
        <v>93</v>
      </c>
      <c r="AD152" t="n">
        <v>3</v>
      </c>
      <c r="AE152" t="n">
        <v>3</v>
      </c>
      <c r="AF152" t="n">
        <v>4</v>
      </c>
      <c r="AG152" t="n">
        <v>4</v>
      </c>
      <c r="AH152" t="n">
        <v>0</v>
      </c>
      <c r="AI152" t="n">
        <v>0</v>
      </c>
      <c r="AJ152" t="n">
        <v>3</v>
      </c>
      <c r="AK152" t="n">
        <v>3</v>
      </c>
      <c r="AL152" t="n">
        <v>1</v>
      </c>
      <c r="AM152" t="n">
        <v>1</v>
      </c>
      <c r="AN152" t="n">
        <v>1</v>
      </c>
      <c r="AO152" t="n">
        <v>1</v>
      </c>
      <c r="AP152" t="n">
        <v>0</v>
      </c>
      <c r="AQ152" t="n">
        <v>0</v>
      </c>
      <c r="AR152" t="inlineStr">
        <is>
          <t>No</t>
        </is>
      </c>
      <c r="AS152" t="inlineStr">
        <is>
          <t>No</t>
        </is>
      </c>
      <c r="AU152">
        <f>HYPERLINK("https://creighton-primo.hosted.exlibrisgroup.com/primo-explore/search?tab=default_tab&amp;search_scope=EVERYTHING&amp;vid=01CRU&amp;lang=en_US&amp;offset=0&amp;query=any,contains,991001034279702656","Catalog Record")</f>
        <v/>
      </c>
      <c r="AV152">
        <f>HYPERLINK("http://www.worldcat.org/oclc/16867339","WorldCat Record")</f>
        <v/>
      </c>
      <c r="AW152" t="inlineStr">
        <is>
          <t>8907358317:eng</t>
        </is>
      </c>
      <c r="AX152" t="inlineStr">
        <is>
          <t>16867339</t>
        </is>
      </c>
      <c r="AY152" t="inlineStr">
        <is>
          <t>991001034279702656</t>
        </is>
      </c>
      <c r="AZ152" t="inlineStr">
        <is>
          <t>991001034279702656</t>
        </is>
      </c>
      <c r="BA152" t="inlineStr">
        <is>
          <t>2264713620002656</t>
        </is>
      </c>
      <c r="BB152" t="inlineStr">
        <is>
          <t>BOOK</t>
        </is>
      </c>
      <c r="BD152" t="inlineStr">
        <is>
          <t>9780887371691</t>
        </is>
      </c>
      <c r="BE152" t="inlineStr">
        <is>
          <t>30001000240442</t>
        </is>
      </c>
      <c r="BF152" t="inlineStr">
        <is>
          <t>893637953</t>
        </is>
      </c>
    </row>
    <row r="153">
      <c r="A153" t="inlineStr">
        <is>
          <t>No</t>
        </is>
      </c>
      <c r="B153" t="inlineStr">
        <is>
          <t>CUHSL</t>
        </is>
      </c>
      <c r="C153" t="inlineStr">
        <is>
          <t>SHELVES</t>
        </is>
      </c>
      <c r="D153" t="inlineStr">
        <is>
          <t>WY16 P467 1987-1989</t>
        </is>
      </c>
      <c r="E153" t="inlineStr">
        <is>
          <t>0                      WY 0016000P  467         1987                                        -1989</t>
        </is>
      </c>
      <c r="F153" t="inlineStr">
        <is>
          <t>Perspectives in nursing, 1987-1989 : based on presentations at the Eighteenth NLN Biennial Convention.</t>
        </is>
      </c>
      <c r="H153" t="inlineStr">
        <is>
          <t>No</t>
        </is>
      </c>
      <c r="I153" t="inlineStr">
        <is>
          <t>1</t>
        </is>
      </c>
      <c r="J153" t="inlineStr">
        <is>
          <t>No</t>
        </is>
      </c>
      <c r="K153" t="inlineStr">
        <is>
          <t>No</t>
        </is>
      </c>
      <c r="L153" t="inlineStr">
        <is>
          <t>0</t>
        </is>
      </c>
      <c r="M153" t="inlineStr">
        <is>
          <t>NLN Convention (18th : 1987 : San Antonio, Tex.)</t>
        </is>
      </c>
      <c r="N153" t="inlineStr">
        <is>
          <t>New York : National League for Nursing, c1988.</t>
        </is>
      </c>
      <c r="O153" t="inlineStr">
        <is>
          <t>1988</t>
        </is>
      </c>
      <c r="Q153" t="inlineStr">
        <is>
          <t>eng</t>
        </is>
      </c>
      <c r="R153" t="inlineStr">
        <is>
          <t>nyu</t>
        </is>
      </c>
      <c r="S153" t="inlineStr">
        <is>
          <t>NLN pub. no. 41-2199</t>
        </is>
      </c>
      <c r="T153" t="inlineStr">
        <is>
          <t xml:space="preserve">WY </t>
        </is>
      </c>
      <c r="U153" t="n">
        <v>10</v>
      </c>
      <c r="V153" t="n">
        <v>10</v>
      </c>
      <c r="W153" t="inlineStr">
        <is>
          <t>1998-03-27</t>
        </is>
      </c>
      <c r="X153" t="inlineStr">
        <is>
          <t>1998-03-27</t>
        </is>
      </c>
      <c r="Y153" t="inlineStr">
        <is>
          <t>1989-05-16</t>
        </is>
      </c>
      <c r="Z153" t="inlineStr">
        <is>
          <t>1989-05-16</t>
        </is>
      </c>
      <c r="AA153" t="n">
        <v>96</v>
      </c>
      <c r="AB153" t="n">
        <v>80</v>
      </c>
      <c r="AC153" t="n">
        <v>80</v>
      </c>
      <c r="AD153" t="n">
        <v>1</v>
      </c>
      <c r="AE153" t="n">
        <v>1</v>
      </c>
      <c r="AF153" t="n">
        <v>1</v>
      </c>
      <c r="AG153" t="n">
        <v>1</v>
      </c>
      <c r="AH153" t="n">
        <v>0</v>
      </c>
      <c r="AI153" t="n">
        <v>0</v>
      </c>
      <c r="AJ153" t="n">
        <v>0</v>
      </c>
      <c r="AK153" t="n">
        <v>0</v>
      </c>
      <c r="AL153" t="n">
        <v>1</v>
      </c>
      <c r="AM153" t="n">
        <v>1</v>
      </c>
      <c r="AN153" t="n">
        <v>0</v>
      </c>
      <c r="AO153" t="n">
        <v>0</v>
      </c>
      <c r="AP153" t="n">
        <v>0</v>
      </c>
      <c r="AQ153" t="n">
        <v>0</v>
      </c>
      <c r="AR153" t="inlineStr">
        <is>
          <t>No</t>
        </is>
      </c>
      <c r="AS153" t="inlineStr">
        <is>
          <t>No</t>
        </is>
      </c>
      <c r="AU153">
        <f>HYPERLINK("https://creighton-primo.hosted.exlibrisgroup.com/primo-explore/search?tab=default_tab&amp;search_scope=EVERYTHING&amp;vid=01CRU&amp;lang=en_US&amp;offset=0&amp;query=any,contains,991001539309702656","Catalog Record")</f>
        <v/>
      </c>
      <c r="AV153">
        <f>HYPERLINK("http://www.worldcat.org/oclc/17372730","WorldCat Record")</f>
        <v/>
      </c>
      <c r="AW153" t="inlineStr">
        <is>
          <t>3768589712:eng</t>
        </is>
      </c>
      <c r="AX153" t="inlineStr">
        <is>
          <t>17372730</t>
        </is>
      </c>
      <c r="AY153" t="inlineStr">
        <is>
          <t>991001539309702656</t>
        </is>
      </c>
      <c r="AZ153" t="inlineStr">
        <is>
          <t>991001539309702656</t>
        </is>
      </c>
      <c r="BA153" t="inlineStr">
        <is>
          <t>2267051790002656</t>
        </is>
      </c>
      <c r="BB153" t="inlineStr">
        <is>
          <t>BOOK</t>
        </is>
      </c>
      <c r="BD153" t="inlineStr">
        <is>
          <t>9780887373848</t>
        </is>
      </c>
      <c r="BE153" t="inlineStr">
        <is>
          <t>30001000624454</t>
        </is>
      </c>
      <c r="BF153" t="inlineStr">
        <is>
          <t>893552617</t>
        </is>
      </c>
    </row>
    <row r="154">
      <c r="A154" t="inlineStr">
        <is>
          <t>No</t>
        </is>
      </c>
      <c r="B154" t="inlineStr">
        <is>
          <t>CUHSL</t>
        </is>
      </c>
      <c r="C154" t="inlineStr">
        <is>
          <t>SHELVES</t>
        </is>
      </c>
      <c r="D154" t="inlineStr">
        <is>
          <t>WY 16 P766 1993</t>
        </is>
      </c>
      <c r="E154" t="inlineStr">
        <is>
          <t>0                      WY 0016000P  766         1993</t>
        </is>
      </c>
      <c r="F154" t="inlineStr">
        <is>
          <t>Policy and politics for nurses : action and change in the workplace, government, organizations, and community / [edited by] Diane J. Mason, Susan W. Talbott, Judith K. Leavitt ; foreword by Patricia Schroeder ; introduction by Geraldine A. Ferraro ; afterword by Barbara Boxer.</t>
        </is>
      </c>
      <c r="H154" t="inlineStr">
        <is>
          <t>No</t>
        </is>
      </c>
      <c r="I154" t="inlineStr">
        <is>
          <t>1</t>
        </is>
      </c>
      <c r="J154" t="inlineStr">
        <is>
          <t>No</t>
        </is>
      </c>
      <c r="K154" t="inlineStr">
        <is>
          <t>No</t>
        </is>
      </c>
      <c r="L154" t="inlineStr">
        <is>
          <t>0</t>
        </is>
      </c>
      <c r="N154" t="inlineStr">
        <is>
          <t>Philadelphia : W.B. Saunders, c1993.</t>
        </is>
      </c>
      <c r="O154" t="inlineStr">
        <is>
          <t>1993</t>
        </is>
      </c>
      <c r="P154" t="inlineStr">
        <is>
          <t>2nd ed.</t>
        </is>
      </c>
      <c r="Q154" t="inlineStr">
        <is>
          <t>eng</t>
        </is>
      </c>
      <c r="R154" t="inlineStr">
        <is>
          <t>pau</t>
        </is>
      </c>
      <c r="T154" t="inlineStr">
        <is>
          <t xml:space="preserve">WY </t>
        </is>
      </c>
      <c r="U154" t="n">
        <v>4</v>
      </c>
      <c r="V154" t="n">
        <v>4</v>
      </c>
      <c r="W154" t="inlineStr">
        <is>
          <t>2005-04-26</t>
        </is>
      </c>
      <c r="X154" t="inlineStr">
        <is>
          <t>2005-04-26</t>
        </is>
      </c>
      <c r="Y154" t="inlineStr">
        <is>
          <t>1998-01-19</t>
        </is>
      </c>
      <c r="Z154" t="inlineStr">
        <is>
          <t>1998-01-19</t>
        </is>
      </c>
      <c r="AA154" t="n">
        <v>299</v>
      </c>
      <c r="AB154" t="n">
        <v>236</v>
      </c>
      <c r="AC154" t="n">
        <v>243</v>
      </c>
      <c r="AD154" t="n">
        <v>4</v>
      </c>
      <c r="AE154" t="n">
        <v>4</v>
      </c>
      <c r="AF154" t="n">
        <v>14</v>
      </c>
      <c r="AG154" t="n">
        <v>14</v>
      </c>
      <c r="AH154" t="n">
        <v>4</v>
      </c>
      <c r="AI154" t="n">
        <v>4</v>
      </c>
      <c r="AJ154" t="n">
        <v>4</v>
      </c>
      <c r="AK154" t="n">
        <v>4</v>
      </c>
      <c r="AL154" t="n">
        <v>6</v>
      </c>
      <c r="AM154" t="n">
        <v>6</v>
      </c>
      <c r="AN154" t="n">
        <v>2</v>
      </c>
      <c r="AO154" t="n">
        <v>2</v>
      </c>
      <c r="AP154" t="n">
        <v>0</v>
      </c>
      <c r="AQ154" t="n">
        <v>0</v>
      </c>
      <c r="AR154" t="inlineStr">
        <is>
          <t>No</t>
        </is>
      </c>
      <c r="AS154" t="inlineStr">
        <is>
          <t>Yes</t>
        </is>
      </c>
      <c r="AT154">
        <f>HYPERLINK("http://catalog.hathitrust.org/Record/002645668","HathiTrust Record")</f>
        <v/>
      </c>
      <c r="AU154">
        <f>HYPERLINK("https://creighton-primo.hosted.exlibrisgroup.com/primo-explore/search?tab=default_tab&amp;search_scope=EVERYTHING&amp;vid=01CRU&amp;lang=en_US&amp;offset=0&amp;query=any,contains,991001564689702656","Catalog Record")</f>
        <v/>
      </c>
      <c r="AV154">
        <f>HYPERLINK("http://www.worldcat.org/oclc/27810396","WorldCat Record")</f>
        <v/>
      </c>
      <c r="AW154" t="inlineStr">
        <is>
          <t>836730189:eng</t>
        </is>
      </c>
      <c r="AX154" t="inlineStr">
        <is>
          <t>27810396</t>
        </is>
      </c>
      <c r="AY154" t="inlineStr">
        <is>
          <t>991001564689702656</t>
        </is>
      </c>
      <c r="AZ154" t="inlineStr">
        <is>
          <t>991001564689702656</t>
        </is>
      </c>
      <c r="BA154" t="inlineStr">
        <is>
          <t>2259381390002656</t>
        </is>
      </c>
      <c r="BB154" t="inlineStr">
        <is>
          <t>BOOK</t>
        </is>
      </c>
      <c r="BD154" t="inlineStr">
        <is>
          <t>9780721646688</t>
        </is>
      </c>
      <c r="BE154" t="inlineStr">
        <is>
          <t>30001003740224</t>
        </is>
      </c>
      <c r="BF154" t="inlineStr">
        <is>
          <t>893451334</t>
        </is>
      </c>
    </row>
    <row r="155">
      <c r="A155" t="inlineStr">
        <is>
          <t>No</t>
        </is>
      </c>
      <c r="B155" t="inlineStr">
        <is>
          <t>CUHSL</t>
        </is>
      </c>
      <c r="C155" t="inlineStr">
        <is>
          <t>SHELVES</t>
        </is>
      </c>
      <c r="D155" t="inlineStr">
        <is>
          <t>WY 16 P7662 1998</t>
        </is>
      </c>
      <c r="E155" t="inlineStr">
        <is>
          <t>0                      WY 0016000P  7662        1998</t>
        </is>
      </c>
      <c r="F155" t="inlineStr">
        <is>
          <t>Policy and politics in nursing and health care / [edited by] Diana J. Mason, Judith K. Leavitt.</t>
        </is>
      </c>
      <c r="H155" t="inlineStr">
        <is>
          <t>No</t>
        </is>
      </c>
      <c r="I155" t="inlineStr">
        <is>
          <t>2</t>
        </is>
      </c>
      <c r="J155" t="inlineStr">
        <is>
          <t>No</t>
        </is>
      </c>
      <c r="K155" t="inlineStr">
        <is>
          <t>Yes</t>
        </is>
      </c>
      <c r="L155" t="inlineStr">
        <is>
          <t>0</t>
        </is>
      </c>
      <c r="N155" t="inlineStr">
        <is>
          <t>Philadelphia : W.B. Saunders, c1998.</t>
        </is>
      </c>
      <c r="O155" t="inlineStr">
        <is>
          <t>1998</t>
        </is>
      </c>
      <c r="P155" t="inlineStr">
        <is>
          <t>3rd ed.</t>
        </is>
      </c>
      <c r="Q155" t="inlineStr">
        <is>
          <t>eng</t>
        </is>
      </c>
      <c r="R155" t="inlineStr">
        <is>
          <t>pau</t>
        </is>
      </c>
      <c r="T155" t="inlineStr">
        <is>
          <t xml:space="preserve">WY </t>
        </is>
      </c>
      <c r="U155" t="n">
        <v>3</v>
      </c>
      <c r="V155" t="n">
        <v>3</v>
      </c>
      <c r="W155" t="inlineStr">
        <is>
          <t>2009-03-02</t>
        </is>
      </c>
      <c r="X155" t="inlineStr">
        <is>
          <t>2009-03-02</t>
        </is>
      </c>
      <c r="Y155" t="inlineStr">
        <is>
          <t>2002-07-02</t>
        </is>
      </c>
      <c r="Z155" t="inlineStr">
        <is>
          <t>2002-07-02</t>
        </is>
      </c>
      <c r="AA155" t="n">
        <v>238</v>
      </c>
      <c r="AB155" t="n">
        <v>198</v>
      </c>
      <c r="AC155" t="n">
        <v>978</v>
      </c>
      <c r="AD155" t="n">
        <v>1</v>
      </c>
      <c r="AE155" t="n">
        <v>7</v>
      </c>
      <c r="AF155" t="n">
        <v>10</v>
      </c>
      <c r="AG155" t="n">
        <v>40</v>
      </c>
      <c r="AH155" t="n">
        <v>3</v>
      </c>
      <c r="AI155" t="n">
        <v>15</v>
      </c>
      <c r="AJ155" t="n">
        <v>3</v>
      </c>
      <c r="AK155" t="n">
        <v>8</v>
      </c>
      <c r="AL155" t="n">
        <v>6</v>
      </c>
      <c r="AM155" t="n">
        <v>17</v>
      </c>
      <c r="AN155" t="n">
        <v>0</v>
      </c>
      <c r="AO155" t="n">
        <v>6</v>
      </c>
      <c r="AP155" t="n">
        <v>0</v>
      </c>
      <c r="AQ155" t="n">
        <v>1</v>
      </c>
      <c r="AR155" t="inlineStr">
        <is>
          <t>No</t>
        </is>
      </c>
      <c r="AS155" t="inlineStr">
        <is>
          <t>Yes</t>
        </is>
      </c>
      <c r="AT155">
        <f>HYPERLINK("http://catalog.hathitrust.org/Record/003996227","HathiTrust Record")</f>
        <v/>
      </c>
      <c r="AU155">
        <f>HYPERLINK("https://creighton-primo.hosted.exlibrisgroup.com/primo-explore/search?tab=default_tab&amp;search_scope=EVERYTHING&amp;vid=01CRU&amp;lang=en_US&amp;offset=0&amp;query=any,contains,991000870099702656","Catalog Record")</f>
        <v/>
      </c>
      <c r="AV155">
        <f>HYPERLINK("http://www.worldcat.org/oclc/39051738","WorldCat Record")</f>
        <v/>
      </c>
      <c r="AW155" t="inlineStr">
        <is>
          <t>367917673:eng</t>
        </is>
      </c>
      <c r="AX155" t="inlineStr">
        <is>
          <t>39051738</t>
        </is>
      </c>
      <c r="AY155" t="inlineStr">
        <is>
          <t>991000870099702656</t>
        </is>
      </c>
      <c r="AZ155" t="inlineStr">
        <is>
          <t>991000870099702656</t>
        </is>
      </c>
      <c r="BA155" t="inlineStr">
        <is>
          <t>2255275800002656</t>
        </is>
      </c>
      <c r="BB155" t="inlineStr">
        <is>
          <t>BOOK</t>
        </is>
      </c>
      <c r="BD155" t="inlineStr">
        <is>
          <t>9780721670386</t>
        </is>
      </c>
      <c r="BE155" t="inlineStr">
        <is>
          <t>30001004445344</t>
        </is>
      </c>
      <c r="BF155" t="inlineStr">
        <is>
          <t>893283977</t>
        </is>
      </c>
    </row>
    <row r="156">
      <c r="A156" t="inlineStr">
        <is>
          <t>No</t>
        </is>
      </c>
      <c r="B156" t="inlineStr">
        <is>
          <t>CUHSL</t>
        </is>
      </c>
      <c r="C156" t="inlineStr">
        <is>
          <t>SHELVES</t>
        </is>
      </c>
      <c r="D156" t="inlineStr">
        <is>
          <t>WY 16 P7685 1985</t>
        </is>
      </c>
      <c r="E156" t="inlineStr">
        <is>
          <t>0                      WY 0016000P  7685        1985</t>
        </is>
      </c>
      <c r="F156" t="inlineStr">
        <is>
          <t>Political action handbook for nurses : changing the workplace, government, organizations, and community / [edited by] Diana J. Mason, Susan W. Talbott ; with contributors ; foreword by Edward M. Kennedy ; introduction by Eunice R. Cole.</t>
        </is>
      </c>
      <c r="H156" t="inlineStr">
        <is>
          <t>No</t>
        </is>
      </c>
      <c r="I156" t="inlineStr">
        <is>
          <t>1</t>
        </is>
      </c>
      <c r="J156" t="inlineStr">
        <is>
          <t>No</t>
        </is>
      </c>
      <c r="K156" t="inlineStr">
        <is>
          <t>No</t>
        </is>
      </c>
      <c r="L156" t="inlineStr">
        <is>
          <t>0</t>
        </is>
      </c>
      <c r="N156" t="inlineStr">
        <is>
          <t>Menlo Park, Calif. : Addison-Wesley, Health Sciences Division, c1985.</t>
        </is>
      </c>
      <c r="O156" t="inlineStr">
        <is>
          <t>1985</t>
        </is>
      </c>
      <c r="Q156" t="inlineStr">
        <is>
          <t>eng</t>
        </is>
      </c>
      <c r="R156" t="inlineStr">
        <is>
          <t>xxu</t>
        </is>
      </c>
      <c r="T156" t="inlineStr">
        <is>
          <t xml:space="preserve">WY </t>
        </is>
      </c>
      <c r="U156" t="n">
        <v>8</v>
      </c>
      <c r="V156" t="n">
        <v>8</v>
      </c>
      <c r="W156" t="inlineStr">
        <is>
          <t>1995-07-14</t>
        </is>
      </c>
      <c r="X156" t="inlineStr">
        <is>
          <t>1995-07-14</t>
        </is>
      </c>
      <c r="Y156" t="inlineStr">
        <is>
          <t>1987-12-22</t>
        </is>
      </c>
      <c r="Z156" t="inlineStr">
        <is>
          <t>1987-12-22</t>
        </is>
      </c>
      <c r="AA156" t="n">
        <v>321</v>
      </c>
      <c r="AB156" t="n">
        <v>264</v>
      </c>
      <c r="AC156" t="n">
        <v>266</v>
      </c>
      <c r="AD156" t="n">
        <v>3</v>
      </c>
      <c r="AE156" t="n">
        <v>3</v>
      </c>
      <c r="AF156" t="n">
        <v>15</v>
      </c>
      <c r="AG156" t="n">
        <v>15</v>
      </c>
      <c r="AH156" t="n">
        <v>5</v>
      </c>
      <c r="AI156" t="n">
        <v>5</v>
      </c>
      <c r="AJ156" t="n">
        <v>3</v>
      </c>
      <c r="AK156" t="n">
        <v>3</v>
      </c>
      <c r="AL156" t="n">
        <v>7</v>
      </c>
      <c r="AM156" t="n">
        <v>7</v>
      </c>
      <c r="AN156" t="n">
        <v>2</v>
      </c>
      <c r="AO156" t="n">
        <v>2</v>
      </c>
      <c r="AP156" t="n">
        <v>0</v>
      </c>
      <c r="AQ156" t="n">
        <v>0</v>
      </c>
      <c r="AR156" t="inlineStr">
        <is>
          <t>No</t>
        </is>
      </c>
      <c r="AS156" t="inlineStr">
        <is>
          <t>Yes</t>
        </is>
      </c>
      <c r="AT156">
        <f>HYPERLINK("http://catalog.hathitrust.org/Record/000420648","HathiTrust Record")</f>
        <v/>
      </c>
      <c r="AU156">
        <f>HYPERLINK("https://creighton-primo.hosted.exlibrisgroup.com/primo-explore/search?tab=default_tab&amp;search_scope=EVERYTHING&amp;vid=01CRU&amp;lang=en_US&amp;offset=0&amp;query=any,contains,991001034439702656","Catalog Record")</f>
        <v/>
      </c>
      <c r="AV156">
        <f>HYPERLINK("http://www.worldcat.org/oclc/12312296","WorldCat Record")</f>
        <v/>
      </c>
      <c r="AW156" t="inlineStr">
        <is>
          <t>894529958:eng</t>
        </is>
      </c>
      <c r="AX156" t="inlineStr">
        <is>
          <t>12312296</t>
        </is>
      </c>
      <c r="AY156" t="inlineStr">
        <is>
          <t>991001034439702656</t>
        </is>
      </c>
      <c r="AZ156" t="inlineStr">
        <is>
          <t>991001034439702656</t>
        </is>
      </c>
      <c r="BA156" t="inlineStr">
        <is>
          <t>2271898480002656</t>
        </is>
      </c>
      <c r="BB156" t="inlineStr">
        <is>
          <t>BOOK</t>
        </is>
      </c>
      <c r="BD156" t="inlineStr">
        <is>
          <t>9780201163681</t>
        </is>
      </c>
      <c r="BE156" t="inlineStr">
        <is>
          <t>30001000240475</t>
        </is>
      </c>
      <c r="BF156" t="inlineStr">
        <is>
          <t>893552072</t>
        </is>
      </c>
    </row>
    <row r="157">
      <c r="A157" t="inlineStr">
        <is>
          <t>No</t>
        </is>
      </c>
      <c r="B157" t="inlineStr">
        <is>
          <t>CUHSL</t>
        </is>
      </c>
      <c r="C157" t="inlineStr">
        <is>
          <t>SHELVES</t>
        </is>
      </c>
      <c r="D157" t="inlineStr">
        <is>
          <t>WY 16 P769p 1978</t>
        </is>
      </c>
      <c r="E157" t="inlineStr">
        <is>
          <t>0                      WY 0016000P  769p        1978</t>
        </is>
      </c>
      <c r="F157" t="inlineStr">
        <is>
          <t>Political, social, and educational forces on nursing : impact of political forces.</t>
        </is>
      </c>
      <c r="H157" t="inlineStr">
        <is>
          <t>No</t>
        </is>
      </c>
      <c r="I157" t="inlineStr">
        <is>
          <t>1</t>
        </is>
      </c>
      <c r="J157" t="inlineStr">
        <is>
          <t>No</t>
        </is>
      </c>
      <c r="K157" t="inlineStr">
        <is>
          <t>No</t>
        </is>
      </c>
      <c r="L157" t="inlineStr">
        <is>
          <t>0</t>
        </is>
      </c>
      <c r="N157" t="inlineStr">
        <is>
          <t>New York : National League for Nursing, c1978.</t>
        </is>
      </c>
      <c r="O157" t="inlineStr">
        <is>
          <t>1978</t>
        </is>
      </c>
      <c r="Q157" t="inlineStr">
        <is>
          <t>eng</t>
        </is>
      </c>
      <c r="R157" t="inlineStr">
        <is>
          <t>nyu</t>
        </is>
      </c>
      <c r="S157" t="inlineStr">
        <is>
          <t>NLN pub. no. 15-1754</t>
        </is>
      </c>
      <c r="T157" t="inlineStr">
        <is>
          <t xml:space="preserve">WY </t>
        </is>
      </c>
      <c r="U157" t="n">
        <v>3</v>
      </c>
      <c r="V157" t="n">
        <v>3</v>
      </c>
      <c r="W157" t="inlineStr">
        <is>
          <t>1990-06-12</t>
        </is>
      </c>
      <c r="X157" t="inlineStr">
        <is>
          <t>1990-06-12</t>
        </is>
      </c>
      <c r="Y157" t="inlineStr">
        <is>
          <t>1987-10-29</t>
        </is>
      </c>
      <c r="Z157" t="inlineStr">
        <is>
          <t>1987-10-29</t>
        </is>
      </c>
      <c r="AA157" t="n">
        <v>99</v>
      </c>
      <c r="AB157" t="n">
        <v>88</v>
      </c>
      <c r="AC157" t="n">
        <v>91</v>
      </c>
      <c r="AD157" t="n">
        <v>1</v>
      </c>
      <c r="AE157" t="n">
        <v>1</v>
      </c>
      <c r="AF157" t="n">
        <v>5</v>
      </c>
      <c r="AG157" t="n">
        <v>5</v>
      </c>
      <c r="AH157" t="n">
        <v>2</v>
      </c>
      <c r="AI157" t="n">
        <v>2</v>
      </c>
      <c r="AJ157" t="n">
        <v>1</v>
      </c>
      <c r="AK157" t="n">
        <v>1</v>
      </c>
      <c r="AL157" t="n">
        <v>4</v>
      </c>
      <c r="AM157" t="n">
        <v>4</v>
      </c>
      <c r="AN157" t="n">
        <v>0</v>
      </c>
      <c r="AO157" t="n">
        <v>0</v>
      </c>
      <c r="AP157" t="n">
        <v>0</v>
      </c>
      <c r="AQ157" t="n">
        <v>0</v>
      </c>
      <c r="AR157" t="inlineStr">
        <is>
          <t>No</t>
        </is>
      </c>
      <c r="AS157" t="inlineStr">
        <is>
          <t>Yes</t>
        </is>
      </c>
      <c r="AT157">
        <f>HYPERLINK("http://catalog.hathitrust.org/Record/000259771","HathiTrust Record")</f>
        <v/>
      </c>
      <c r="AU157">
        <f>HYPERLINK("https://creighton-primo.hosted.exlibrisgroup.com/primo-explore/search?tab=default_tab&amp;search_scope=EVERYTHING&amp;vid=01CRU&amp;lang=en_US&amp;offset=0&amp;query=any,contains,991001371079702656","Catalog Record")</f>
        <v/>
      </c>
      <c r="AV157">
        <f>HYPERLINK("http://www.worldcat.org/oclc/5831344","WorldCat Record")</f>
        <v/>
      </c>
      <c r="AW157" t="inlineStr">
        <is>
          <t>54350345:eng</t>
        </is>
      </c>
      <c r="AX157" t="inlineStr">
        <is>
          <t>5831344</t>
        </is>
      </c>
      <c r="AY157" t="inlineStr">
        <is>
          <t>991001371079702656</t>
        </is>
      </c>
      <c r="AZ157" t="inlineStr">
        <is>
          <t>991001371079702656</t>
        </is>
      </c>
      <c r="BA157" t="inlineStr">
        <is>
          <t>2263219260002656</t>
        </is>
      </c>
      <c r="BB157" t="inlineStr">
        <is>
          <t>BOOK</t>
        </is>
      </c>
      <c r="BE157" t="inlineStr">
        <is>
          <t>30001000461816</t>
        </is>
      </c>
      <c r="BF157" t="inlineStr">
        <is>
          <t>893557909</t>
        </is>
      </c>
    </row>
    <row r="158">
      <c r="A158" t="inlineStr">
        <is>
          <t>No</t>
        </is>
      </c>
      <c r="B158" t="inlineStr">
        <is>
          <t>CUHSL</t>
        </is>
      </c>
      <c r="C158" t="inlineStr">
        <is>
          <t>SHELVES</t>
        </is>
      </c>
      <c r="D158" t="inlineStr">
        <is>
          <t>WY 16 P769s 1978</t>
        </is>
      </c>
      <c r="E158" t="inlineStr">
        <is>
          <t>0                      WY 0016000P  769s        1978</t>
        </is>
      </c>
      <c r="F158" t="inlineStr">
        <is>
          <t>Political, social, and educational forces on nursing : impact of social forces.</t>
        </is>
      </c>
      <c r="H158" t="inlineStr">
        <is>
          <t>No</t>
        </is>
      </c>
      <c r="I158" t="inlineStr">
        <is>
          <t>1</t>
        </is>
      </c>
      <c r="J158" t="inlineStr">
        <is>
          <t>No</t>
        </is>
      </c>
      <c r="K158" t="inlineStr">
        <is>
          <t>No</t>
        </is>
      </c>
      <c r="L158" t="inlineStr">
        <is>
          <t>0</t>
        </is>
      </c>
      <c r="N158" t="inlineStr">
        <is>
          <t>New York : National League for Nursing, c1979.</t>
        </is>
      </c>
      <c r="O158" t="inlineStr">
        <is>
          <t>1978</t>
        </is>
      </c>
      <c r="Q158" t="inlineStr">
        <is>
          <t>eng</t>
        </is>
      </c>
      <c r="R158" t="inlineStr">
        <is>
          <t xml:space="preserve">xx </t>
        </is>
      </c>
      <c r="S158" t="inlineStr">
        <is>
          <t>NLN pub. no. 15-1774</t>
        </is>
      </c>
      <c r="T158" t="inlineStr">
        <is>
          <t xml:space="preserve">WY </t>
        </is>
      </c>
      <c r="U158" t="n">
        <v>2</v>
      </c>
      <c r="V158" t="n">
        <v>2</v>
      </c>
      <c r="W158" t="inlineStr">
        <is>
          <t>1990-06-12</t>
        </is>
      </c>
      <c r="X158" t="inlineStr">
        <is>
          <t>1990-06-12</t>
        </is>
      </c>
      <c r="Y158" t="inlineStr">
        <is>
          <t>1987-10-29</t>
        </is>
      </c>
      <c r="Z158" t="inlineStr">
        <is>
          <t>1987-10-29</t>
        </is>
      </c>
      <c r="AA158" t="n">
        <v>102</v>
      </c>
      <c r="AB158" t="n">
        <v>86</v>
      </c>
      <c r="AC158" t="n">
        <v>86</v>
      </c>
      <c r="AD158" t="n">
        <v>1</v>
      </c>
      <c r="AE158" t="n">
        <v>1</v>
      </c>
      <c r="AF158" t="n">
        <v>5</v>
      </c>
      <c r="AG158" t="n">
        <v>5</v>
      </c>
      <c r="AH158" t="n">
        <v>2</v>
      </c>
      <c r="AI158" t="n">
        <v>2</v>
      </c>
      <c r="AJ158" t="n">
        <v>0</v>
      </c>
      <c r="AK158" t="n">
        <v>0</v>
      </c>
      <c r="AL158" t="n">
        <v>3</v>
      </c>
      <c r="AM158" t="n">
        <v>3</v>
      </c>
      <c r="AN158" t="n">
        <v>0</v>
      </c>
      <c r="AO158" t="n">
        <v>0</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HYPERLINK("https://creighton-primo.hosted.exlibrisgroup.com/primo-explore/search?tab=default_tab&amp;search_scope=EVERYTHING&amp;vid=01CRU&amp;lang=en_US&amp;offset=0&amp;query=any,contains,991001371339702656","Catalog Record")</f>
        <v/>
      </c>
      <c r="AV158">
        <f>HYPERLINK("http://www.worldcat.org/oclc/6040061","WorldCat Record")</f>
        <v/>
      </c>
      <c r="AW158" t="inlineStr">
        <is>
          <t>21000578:eng</t>
        </is>
      </c>
      <c r="AX158" t="inlineStr">
        <is>
          <t>6040061</t>
        </is>
      </c>
      <c r="AY158" t="inlineStr">
        <is>
          <t>991001371339702656</t>
        </is>
      </c>
      <c r="AZ158" t="inlineStr">
        <is>
          <t>991001371339702656</t>
        </is>
      </c>
      <c r="BA158" t="inlineStr">
        <is>
          <t>2269883790002656</t>
        </is>
      </c>
      <c r="BB158" t="inlineStr">
        <is>
          <t>BOOK</t>
        </is>
      </c>
      <c r="BE158" t="inlineStr">
        <is>
          <t>30001000461865</t>
        </is>
      </c>
      <c r="BF158" t="inlineStr">
        <is>
          <t>893279026</t>
        </is>
      </c>
    </row>
    <row r="159">
      <c r="A159" t="inlineStr">
        <is>
          <t>No</t>
        </is>
      </c>
      <c r="B159" t="inlineStr">
        <is>
          <t>CUHSL</t>
        </is>
      </c>
      <c r="C159" t="inlineStr">
        <is>
          <t>SHELVES</t>
        </is>
      </c>
      <c r="D159" t="inlineStr">
        <is>
          <t>WY 16 P855 1993</t>
        </is>
      </c>
      <c r="E159" t="inlineStr">
        <is>
          <t>0                      WY 0016000P  855         1993</t>
        </is>
      </c>
      <c r="F159" t="inlineStr">
        <is>
          <t>Positioned for power : obtaining government appointments for nurses / American Nurses Association.</t>
        </is>
      </c>
      <c r="H159" t="inlineStr">
        <is>
          <t>No</t>
        </is>
      </c>
      <c r="I159" t="inlineStr">
        <is>
          <t>1</t>
        </is>
      </c>
      <c r="J159" t="inlineStr">
        <is>
          <t>No</t>
        </is>
      </c>
      <c r="K159" t="inlineStr">
        <is>
          <t>No</t>
        </is>
      </c>
      <c r="L159" t="inlineStr">
        <is>
          <t>0</t>
        </is>
      </c>
      <c r="N159" t="inlineStr">
        <is>
          <t>Washington, D.C. : American Nurses Publishing, c1993.</t>
        </is>
      </c>
      <c r="O159" t="inlineStr">
        <is>
          <t>1993</t>
        </is>
      </c>
      <c r="Q159" t="inlineStr">
        <is>
          <t>eng</t>
        </is>
      </c>
      <c r="R159" t="inlineStr">
        <is>
          <t>dcu</t>
        </is>
      </c>
      <c r="S159" t="inlineStr">
        <is>
          <t>ANA pub ; GR-7</t>
        </is>
      </c>
      <c r="T159" t="inlineStr">
        <is>
          <t xml:space="preserve">WY </t>
        </is>
      </c>
      <c r="U159" t="n">
        <v>1</v>
      </c>
      <c r="V159" t="n">
        <v>1</v>
      </c>
      <c r="W159" t="inlineStr">
        <is>
          <t>2002-08-16</t>
        </is>
      </c>
      <c r="X159" t="inlineStr">
        <is>
          <t>2002-08-16</t>
        </is>
      </c>
      <c r="Y159" t="inlineStr">
        <is>
          <t>2000-06-15</t>
        </is>
      </c>
      <c r="Z159" t="inlineStr">
        <is>
          <t>2000-06-15</t>
        </is>
      </c>
      <c r="AA159" t="n">
        <v>78</v>
      </c>
      <c r="AB159" t="n">
        <v>77</v>
      </c>
      <c r="AC159" t="n">
        <v>88</v>
      </c>
      <c r="AD159" t="n">
        <v>1</v>
      </c>
      <c r="AE159" t="n">
        <v>1</v>
      </c>
      <c r="AF159" t="n">
        <v>5</v>
      </c>
      <c r="AG159" t="n">
        <v>5</v>
      </c>
      <c r="AH159" t="n">
        <v>1</v>
      </c>
      <c r="AI159" t="n">
        <v>1</v>
      </c>
      <c r="AJ159" t="n">
        <v>1</v>
      </c>
      <c r="AK159" t="n">
        <v>1</v>
      </c>
      <c r="AL159" t="n">
        <v>4</v>
      </c>
      <c r="AM159" t="n">
        <v>4</v>
      </c>
      <c r="AN159" t="n">
        <v>0</v>
      </c>
      <c r="AO159" t="n">
        <v>0</v>
      </c>
      <c r="AP159" t="n">
        <v>0</v>
      </c>
      <c r="AQ159" t="n">
        <v>0</v>
      </c>
      <c r="AR159" t="inlineStr">
        <is>
          <t>No</t>
        </is>
      </c>
      <c r="AS159" t="inlineStr">
        <is>
          <t>Yes</t>
        </is>
      </c>
      <c r="AT159">
        <f>HYPERLINK("http://catalog.hathitrust.org/Record/002808247","HathiTrust Record")</f>
        <v/>
      </c>
      <c r="AU159">
        <f>HYPERLINK("https://creighton-primo.hosted.exlibrisgroup.com/primo-explore/search?tab=default_tab&amp;search_scope=EVERYTHING&amp;vid=01CRU&amp;lang=en_US&amp;offset=0&amp;query=any,contains,991000243079702656","Catalog Record")</f>
        <v/>
      </c>
      <c r="AV159">
        <f>HYPERLINK("http://www.worldcat.org/oclc/28536028","WorldCat Record")</f>
        <v/>
      </c>
      <c r="AW159" t="inlineStr">
        <is>
          <t>930726630:eng</t>
        </is>
      </c>
      <c r="AX159" t="inlineStr">
        <is>
          <t>28536028</t>
        </is>
      </c>
      <c r="AY159" t="inlineStr">
        <is>
          <t>991000243079702656</t>
        </is>
      </c>
      <c r="AZ159" t="inlineStr">
        <is>
          <t>991000243079702656</t>
        </is>
      </c>
      <c r="BA159" t="inlineStr">
        <is>
          <t>2261956280002656</t>
        </is>
      </c>
      <c r="BB159" t="inlineStr">
        <is>
          <t>BOOK</t>
        </is>
      </c>
      <c r="BE159" t="inlineStr">
        <is>
          <t>30001002635615</t>
        </is>
      </c>
      <c r="BF159" t="inlineStr">
        <is>
          <t>893628950</t>
        </is>
      </c>
    </row>
    <row r="160">
      <c r="A160" t="inlineStr">
        <is>
          <t>No</t>
        </is>
      </c>
      <c r="B160" t="inlineStr">
        <is>
          <t>CUHSL</t>
        </is>
      </c>
      <c r="C160" t="inlineStr">
        <is>
          <t>SHELVES</t>
        </is>
      </c>
      <c r="D160" t="inlineStr">
        <is>
          <t>WY 16 P8872 1995</t>
        </is>
      </c>
      <c r="E160" t="inlineStr">
        <is>
          <t>0                      WY 0016000P  8872        1995</t>
        </is>
      </c>
      <c r="F160" t="inlineStr">
        <is>
          <t>Power, politics, and public policy : a matter of caring / edited by Anne Boykin.</t>
        </is>
      </c>
      <c r="H160" t="inlineStr">
        <is>
          <t>No</t>
        </is>
      </c>
      <c r="I160" t="inlineStr">
        <is>
          <t>1</t>
        </is>
      </c>
      <c r="J160" t="inlineStr">
        <is>
          <t>No</t>
        </is>
      </c>
      <c r="K160" t="inlineStr">
        <is>
          <t>No</t>
        </is>
      </c>
      <c r="L160" t="inlineStr">
        <is>
          <t>0</t>
        </is>
      </c>
      <c r="N160" t="inlineStr">
        <is>
          <t>New York : National League for Nursing Press, c1995.</t>
        </is>
      </c>
      <c r="O160" t="inlineStr">
        <is>
          <t>1995</t>
        </is>
      </c>
      <c r="Q160" t="inlineStr">
        <is>
          <t>eng</t>
        </is>
      </c>
      <c r="R160" t="inlineStr">
        <is>
          <t>nyu</t>
        </is>
      </c>
      <c r="S160" t="inlineStr">
        <is>
          <t>NLN pub. no. 14-2684</t>
        </is>
      </c>
      <c r="T160" t="inlineStr">
        <is>
          <t xml:space="preserve">WY </t>
        </is>
      </c>
      <c r="U160" t="n">
        <v>0</v>
      </c>
      <c r="V160" t="n">
        <v>0</v>
      </c>
      <c r="W160" t="inlineStr">
        <is>
          <t>2007-04-16</t>
        </is>
      </c>
      <c r="X160" t="inlineStr">
        <is>
          <t>2007-04-16</t>
        </is>
      </c>
      <c r="Y160" t="inlineStr">
        <is>
          <t>2000-06-15</t>
        </is>
      </c>
      <c r="Z160" t="inlineStr">
        <is>
          <t>2000-06-15</t>
        </is>
      </c>
      <c r="AA160" t="n">
        <v>314</v>
      </c>
      <c r="AB160" t="n">
        <v>278</v>
      </c>
      <c r="AC160" t="n">
        <v>285</v>
      </c>
      <c r="AD160" t="n">
        <v>2</v>
      </c>
      <c r="AE160" t="n">
        <v>2</v>
      </c>
      <c r="AF160" t="n">
        <v>14</v>
      </c>
      <c r="AG160" t="n">
        <v>14</v>
      </c>
      <c r="AH160" t="n">
        <v>4</v>
      </c>
      <c r="AI160" t="n">
        <v>4</v>
      </c>
      <c r="AJ160" t="n">
        <v>5</v>
      </c>
      <c r="AK160" t="n">
        <v>5</v>
      </c>
      <c r="AL160" t="n">
        <v>7</v>
      </c>
      <c r="AM160" t="n">
        <v>7</v>
      </c>
      <c r="AN160" t="n">
        <v>0</v>
      </c>
      <c r="AO160" t="n">
        <v>0</v>
      </c>
      <c r="AP160" t="n">
        <v>0</v>
      </c>
      <c r="AQ160" t="n">
        <v>0</v>
      </c>
      <c r="AR160" t="inlineStr">
        <is>
          <t>No</t>
        </is>
      </c>
      <c r="AS160" t="inlineStr">
        <is>
          <t>Yes</t>
        </is>
      </c>
      <c r="AT160">
        <f>HYPERLINK("http://catalog.hathitrust.org/Record/002994674","HathiTrust Record")</f>
        <v/>
      </c>
      <c r="AU160">
        <f>HYPERLINK("https://creighton-primo.hosted.exlibrisgroup.com/primo-explore/search?tab=default_tab&amp;search_scope=EVERYTHING&amp;vid=01CRU&amp;lang=en_US&amp;offset=0&amp;query=any,contains,991000255159702656","Catalog Record")</f>
        <v/>
      </c>
      <c r="AV160">
        <f>HYPERLINK("http://www.worldcat.org/oclc/32619045","WorldCat Record")</f>
        <v/>
      </c>
      <c r="AW160" t="inlineStr">
        <is>
          <t>476719928:eng</t>
        </is>
      </c>
      <c r="AX160" t="inlineStr">
        <is>
          <t>32619045</t>
        </is>
      </c>
      <c r="AY160" t="inlineStr">
        <is>
          <t>991000255159702656</t>
        </is>
      </c>
      <c r="AZ160" t="inlineStr">
        <is>
          <t>991000255159702656</t>
        </is>
      </c>
      <c r="BA160" t="inlineStr">
        <is>
          <t>2256150480002656</t>
        </is>
      </c>
      <c r="BB160" t="inlineStr">
        <is>
          <t>BOOK</t>
        </is>
      </c>
      <c r="BD160" t="inlineStr">
        <is>
          <t>9780887376443</t>
        </is>
      </c>
      <c r="BE160" t="inlineStr">
        <is>
          <t>30001003117548</t>
        </is>
      </c>
      <c r="BF160" t="inlineStr">
        <is>
          <t>893279861</t>
        </is>
      </c>
    </row>
    <row r="161">
      <c r="A161" t="inlineStr">
        <is>
          <t>No</t>
        </is>
      </c>
      <c r="B161" t="inlineStr">
        <is>
          <t>CUHSL</t>
        </is>
      </c>
      <c r="C161" t="inlineStr">
        <is>
          <t>SHELVES</t>
        </is>
      </c>
      <c r="D161" t="inlineStr">
        <is>
          <t>WY 16 P8875 1982</t>
        </is>
      </c>
      <c r="E161" t="inlineStr">
        <is>
          <t>0                      WY 0016000P  8875        1982</t>
        </is>
      </c>
      <c r="F161" t="inlineStr">
        <is>
          <t>Power, politics, and policy in nursing / Rita Reis Wieczorek, editor.</t>
        </is>
      </c>
      <c r="H161" t="inlineStr">
        <is>
          <t>No</t>
        </is>
      </c>
      <c r="I161" t="inlineStr">
        <is>
          <t>1</t>
        </is>
      </c>
      <c r="J161" t="inlineStr">
        <is>
          <t>No</t>
        </is>
      </c>
      <c r="K161" t="inlineStr">
        <is>
          <t>No</t>
        </is>
      </c>
      <c r="L161" t="inlineStr">
        <is>
          <t>0</t>
        </is>
      </c>
      <c r="N161" t="inlineStr">
        <is>
          <t>New York : Springer Pub. Co., c1985.</t>
        </is>
      </c>
      <c r="O161" t="inlineStr">
        <is>
          <t>1985</t>
        </is>
      </c>
      <c r="Q161" t="inlineStr">
        <is>
          <t>eng</t>
        </is>
      </c>
      <c r="R161" t="inlineStr">
        <is>
          <t xml:space="preserve">aa </t>
        </is>
      </c>
      <c r="T161" t="inlineStr">
        <is>
          <t xml:space="preserve">WY </t>
        </is>
      </c>
      <c r="U161" t="n">
        <v>6</v>
      </c>
      <c r="V161" t="n">
        <v>6</v>
      </c>
      <c r="W161" t="inlineStr">
        <is>
          <t>2005-04-26</t>
        </is>
      </c>
      <c r="X161" t="inlineStr">
        <is>
          <t>2005-04-26</t>
        </is>
      </c>
      <c r="Y161" t="inlineStr">
        <is>
          <t>1987-12-22</t>
        </is>
      </c>
      <c r="Z161" t="inlineStr">
        <is>
          <t>1987-12-22</t>
        </is>
      </c>
      <c r="AA161" t="n">
        <v>291</v>
      </c>
      <c r="AB161" t="n">
        <v>249</v>
      </c>
      <c r="AC161" t="n">
        <v>259</v>
      </c>
      <c r="AD161" t="n">
        <v>2</v>
      </c>
      <c r="AE161" t="n">
        <v>2</v>
      </c>
      <c r="AF161" t="n">
        <v>12</v>
      </c>
      <c r="AG161" t="n">
        <v>12</v>
      </c>
      <c r="AH161" t="n">
        <v>4</v>
      </c>
      <c r="AI161" t="n">
        <v>4</v>
      </c>
      <c r="AJ161" t="n">
        <v>3</v>
      </c>
      <c r="AK161" t="n">
        <v>3</v>
      </c>
      <c r="AL161" t="n">
        <v>7</v>
      </c>
      <c r="AM161" t="n">
        <v>7</v>
      </c>
      <c r="AN161" t="n">
        <v>1</v>
      </c>
      <c r="AO161" t="n">
        <v>1</v>
      </c>
      <c r="AP161" t="n">
        <v>0</v>
      </c>
      <c r="AQ161" t="n">
        <v>0</v>
      </c>
      <c r="AR161" t="inlineStr">
        <is>
          <t>No</t>
        </is>
      </c>
      <c r="AS161" t="inlineStr">
        <is>
          <t>Yes</t>
        </is>
      </c>
      <c r="AT161">
        <f>HYPERLINK("http://catalog.hathitrust.org/Record/000249822","HathiTrust Record")</f>
        <v/>
      </c>
      <c r="AU161">
        <f>HYPERLINK("https://creighton-primo.hosted.exlibrisgroup.com/primo-explore/search?tab=default_tab&amp;search_scope=EVERYTHING&amp;vid=01CRU&amp;lang=en_US&amp;offset=0&amp;query=any,contains,991001034479702656","Catalog Record")</f>
        <v/>
      </c>
      <c r="AV161">
        <f>HYPERLINK("http://www.worldcat.org/oclc/10948669","WorldCat Record")</f>
        <v/>
      </c>
      <c r="AW161" t="inlineStr">
        <is>
          <t>428651583:eng</t>
        </is>
      </c>
      <c r="AX161" t="inlineStr">
        <is>
          <t>10948669</t>
        </is>
      </c>
      <c r="AY161" t="inlineStr">
        <is>
          <t>991001034479702656</t>
        </is>
      </c>
      <c r="AZ161" t="inlineStr">
        <is>
          <t>991001034479702656</t>
        </is>
      </c>
      <c r="BA161" t="inlineStr">
        <is>
          <t>2255806540002656</t>
        </is>
      </c>
      <c r="BB161" t="inlineStr">
        <is>
          <t>BOOK</t>
        </is>
      </c>
      <c r="BD161" t="inlineStr">
        <is>
          <t>9780826146304</t>
        </is>
      </c>
      <c r="BE161" t="inlineStr">
        <is>
          <t>30001000240483</t>
        </is>
      </c>
      <c r="BF161" t="inlineStr">
        <is>
          <t>893826398</t>
        </is>
      </c>
    </row>
    <row r="162">
      <c r="A162" t="inlineStr">
        <is>
          <t>No</t>
        </is>
      </c>
      <c r="B162" t="inlineStr">
        <is>
          <t>CUHSL</t>
        </is>
      </c>
      <c r="C162" t="inlineStr">
        <is>
          <t>SHELVES</t>
        </is>
      </c>
      <c r="D162" t="inlineStr">
        <is>
          <t>WY 16 P964 1996</t>
        </is>
      </c>
      <c r="E162" t="inlineStr">
        <is>
          <t>0                      WY 0016000P  964         1996</t>
        </is>
      </c>
      <c r="F162" t="inlineStr">
        <is>
          <t>Profiles of the newly licensed nurse : historical trends and future implications / Delroy Louden, Lynda Crawford, Sherlene Trotman, Division of Research, National League for Nursing.</t>
        </is>
      </c>
      <c r="H162" t="inlineStr">
        <is>
          <t>No</t>
        </is>
      </c>
      <c r="I162" t="inlineStr">
        <is>
          <t>1</t>
        </is>
      </c>
      <c r="J162" t="inlineStr">
        <is>
          <t>No</t>
        </is>
      </c>
      <c r="K162" t="inlineStr">
        <is>
          <t>No</t>
        </is>
      </c>
      <c r="L162" t="inlineStr">
        <is>
          <t>0</t>
        </is>
      </c>
      <c r="N162" t="inlineStr">
        <is>
          <t>New York : National League for Nursing Press, c1996.</t>
        </is>
      </c>
      <c r="O162" t="inlineStr">
        <is>
          <t>1996</t>
        </is>
      </c>
      <c r="P162" t="inlineStr">
        <is>
          <t>3rd ed.</t>
        </is>
      </c>
      <c r="Q162" t="inlineStr">
        <is>
          <t>eng</t>
        </is>
      </c>
      <c r="R162" t="inlineStr">
        <is>
          <t>nyu</t>
        </is>
      </c>
      <c r="T162" t="inlineStr">
        <is>
          <t xml:space="preserve">WY </t>
        </is>
      </c>
      <c r="U162" t="n">
        <v>2</v>
      </c>
      <c r="V162" t="n">
        <v>2</v>
      </c>
      <c r="W162" t="inlineStr">
        <is>
          <t>2002-07-21</t>
        </is>
      </c>
      <c r="X162" t="inlineStr">
        <is>
          <t>2002-07-21</t>
        </is>
      </c>
      <c r="Y162" t="inlineStr">
        <is>
          <t>2000-06-15</t>
        </is>
      </c>
      <c r="Z162" t="inlineStr">
        <is>
          <t>2000-06-15</t>
        </is>
      </c>
      <c r="AA162" t="n">
        <v>195</v>
      </c>
      <c r="AB162" t="n">
        <v>178</v>
      </c>
      <c r="AC162" t="n">
        <v>180</v>
      </c>
      <c r="AD162" t="n">
        <v>1</v>
      </c>
      <c r="AE162" t="n">
        <v>1</v>
      </c>
      <c r="AF162" t="n">
        <v>13</v>
      </c>
      <c r="AG162" t="n">
        <v>13</v>
      </c>
      <c r="AH162" t="n">
        <v>7</v>
      </c>
      <c r="AI162" t="n">
        <v>7</v>
      </c>
      <c r="AJ162" t="n">
        <v>3</v>
      </c>
      <c r="AK162" t="n">
        <v>3</v>
      </c>
      <c r="AL162" t="n">
        <v>5</v>
      </c>
      <c r="AM162" t="n">
        <v>5</v>
      </c>
      <c r="AN162" t="n">
        <v>0</v>
      </c>
      <c r="AO162" t="n">
        <v>0</v>
      </c>
      <c r="AP162" t="n">
        <v>0</v>
      </c>
      <c r="AQ162" t="n">
        <v>0</v>
      </c>
      <c r="AR162" t="inlineStr">
        <is>
          <t>No</t>
        </is>
      </c>
      <c r="AS162" t="inlineStr">
        <is>
          <t>Yes</t>
        </is>
      </c>
      <c r="AT162">
        <f>HYPERLINK("http://catalog.hathitrust.org/Record/003078236","HathiTrust Record")</f>
        <v/>
      </c>
      <c r="AU162">
        <f>HYPERLINK("https://creighton-primo.hosted.exlibrisgroup.com/primo-explore/search?tab=default_tab&amp;search_scope=EVERYTHING&amp;vid=01CRU&amp;lang=en_US&amp;offset=0&amp;query=any,contains,991000262709702656","Catalog Record")</f>
        <v/>
      </c>
      <c r="AV162">
        <f>HYPERLINK("http://www.worldcat.org/oclc/35158156","WorldCat Record")</f>
        <v/>
      </c>
      <c r="AW162" t="inlineStr">
        <is>
          <t>289996715:eng</t>
        </is>
      </c>
      <c r="AX162" t="inlineStr">
        <is>
          <t>35158156</t>
        </is>
      </c>
      <c r="AY162" t="inlineStr">
        <is>
          <t>991000262709702656</t>
        </is>
      </c>
      <c r="AZ162" t="inlineStr">
        <is>
          <t>991000262709702656</t>
        </is>
      </c>
      <c r="BA162" t="inlineStr">
        <is>
          <t>2263054480002656</t>
        </is>
      </c>
      <c r="BB162" t="inlineStr">
        <is>
          <t>BOOK</t>
        </is>
      </c>
      <c r="BD162" t="inlineStr">
        <is>
          <t>9780887376603</t>
        </is>
      </c>
      <c r="BE162" t="inlineStr">
        <is>
          <t>30001003446178</t>
        </is>
      </c>
      <c r="BF162" t="inlineStr">
        <is>
          <t>893274934</t>
        </is>
      </c>
    </row>
    <row r="163">
      <c r="A163" t="inlineStr">
        <is>
          <t>No</t>
        </is>
      </c>
      <c r="B163" t="inlineStr">
        <is>
          <t>CUHSL</t>
        </is>
      </c>
      <c r="C163" t="inlineStr">
        <is>
          <t>SHELVES</t>
        </is>
      </c>
      <c r="D163" t="inlineStr">
        <is>
          <t>WY16 P9644 2001</t>
        </is>
      </c>
      <c r="E163" t="inlineStr">
        <is>
          <t>0                      WY 0016000P  9644        2001</t>
        </is>
      </c>
      <c r="F163" t="inlineStr">
        <is>
          <t>Professional nursing : concepts &amp; challenges / Kay Kittrell Chitty.</t>
        </is>
      </c>
      <c r="H163" t="inlineStr">
        <is>
          <t>No</t>
        </is>
      </c>
      <c r="I163" t="inlineStr">
        <is>
          <t>1</t>
        </is>
      </c>
      <c r="J163" t="inlineStr">
        <is>
          <t>No</t>
        </is>
      </c>
      <c r="K163" t="inlineStr">
        <is>
          <t>Yes</t>
        </is>
      </c>
      <c r="L163" t="inlineStr">
        <is>
          <t>0</t>
        </is>
      </c>
      <c r="N163" t="inlineStr">
        <is>
          <t>Philadelphia : W.B. Saunders, c2001.</t>
        </is>
      </c>
      <c r="O163" t="inlineStr">
        <is>
          <t>2001</t>
        </is>
      </c>
      <c r="P163" t="inlineStr">
        <is>
          <t>3rd ed.</t>
        </is>
      </c>
      <c r="Q163" t="inlineStr">
        <is>
          <t>eng</t>
        </is>
      </c>
      <c r="R163" t="inlineStr">
        <is>
          <t>pau</t>
        </is>
      </c>
      <c r="T163" t="inlineStr">
        <is>
          <t xml:space="preserve">WY </t>
        </is>
      </c>
      <c r="U163" t="n">
        <v>8</v>
      </c>
      <c r="V163" t="n">
        <v>8</v>
      </c>
      <c r="W163" t="inlineStr">
        <is>
          <t>2004-02-03</t>
        </is>
      </c>
      <c r="X163" t="inlineStr">
        <is>
          <t>2004-02-03</t>
        </is>
      </c>
      <c r="Y163" t="inlineStr">
        <is>
          <t>2002-06-28</t>
        </is>
      </c>
      <c r="Z163" t="inlineStr">
        <is>
          <t>2002-06-28</t>
        </is>
      </c>
      <c r="AA163" t="n">
        <v>224</v>
      </c>
      <c r="AB163" t="n">
        <v>168</v>
      </c>
      <c r="AC163" t="n">
        <v>709</v>
      </c>
      <c r="AD163" t="n">
        <v>1</v>
      </c>
      <c r="AE163" t="n">
        <v>6</v>
      </c>
      <c r="AF163" t="n">
        <v>5</v>
      </c>
      <c r="AG163" t="n">
        <v>22</v>
      </c>
      <c r="AH163" t="n">
        <v>2</v>
      </c>
      <c r="AI163" t="n">
        <v>9</v>
      </c>
      <c r="AJ163" t="n">
        <v>0</v>
      </c>
      <c r="AK163" t="n">
        <v>4</v>
      </c>
      <c r="AL163" t="n">
        <v>4</v>
      </c>
      <c r="AM163" t="n">
        <v>12</v>
      </c>
      <c r="AN163" t="n">
        <v>0</v>
      </c>
      <c r="AO163" t="n">
        <v>4</v>
      </c>
      <c r="AP163" t="n">
        <v>0</v>
      </c>
      <c r="AQ163" t="n">
        <v>0</v>
      </c>
      <c r="AR163" t="inlineStr">
        <is>
          <t>No</t>
        </is>
      </c>
      <c r="AS163" t="inlineStr">
        <is>
          <t>Yes</t>
        </is>
      </c>
      <c r="AT163">
        <f>HYPERLINK("http://catalog.hathitrust.org/Record/004142574","HathiTrust Record")</f>
        <v/>
      </c>
      <c r="AU163">
        <f>HYPERLINK("https://creighton-primo.hosted.exlibrisgroup.com/primo-explore/search?tab=default_tab&amp;search_scope=EVERYTHING&amp;vid=01CRU&amp;lang=en_US&amp;offset=0&amp;query=any,contains,991000319779702656","Catalog Record")</f>
        <v/>
      </c>
      <c r="AV163">
        <f>HYPERLINK("http://www.worldcat.org/oclc/43483677","WorldCat Record")</f>
        <v/>
      </c>
      <c r="AW163" t="inlineStr">
        <is>
          <t>836777287:eng</t>
        </is>
      </c>
      <c r="AX163" t="inlineStr">
        <is>
          <t>43483677</t>
        </is>
      </c>
      <c r="AY163" t="inlineStr">
        <is>
          <t>991000319779702656</t>
        </is>
      </c>
      <c r="AZ163" t="inlineStr">
        <is>
          <t>991000319779702656</t>
        </is>
      </c>
      <c r="BA163" t="inlineStr">
        <is>
          <t>2260218040002656</t>
        </is>
      </c>
      <c r="BB163" t="inlineStr">
        <is>
          <t>BOOK</t>
        </is>
      </c>
      <c r="BD163" t="inlineStr">
        <is>
          <t>9780721687117</t>
        </is>
      </c>
      <c r="BE163" t="inlineStr">
        <is>
          <t>30001004240000</t>
        </is>
      </c>
      <c r="BF163" t="inlineStr">
        <is>
          <t>893452015</t>
        </is>
      </c>
    </row>
    <row r="164">
      <c r="A164" t="inlineStr">
        <is>
          <t>No</t>
        </is>
      </c>
      <c r="B164" t="inlineStr">
        <is>
          <t>CUHSL</t>
        </is>
      </c>
      <c r="C164" t="inlineStr">
        <is>
          <t>SHELVES</t>
        </is>
      </c>
      <c r="D164" t="inlineStr">
        <is>
          <t>WY 16 P96442 2006</t>
        </is>
      </c>
      <c r="E164" t="inlineStr">
        <is>
          <t>0                      WY 0016000P  96442       2006</t>
        </is>
      </c>
      <c r="F164" t="inlineStr">
        <is>
          <t>Professional nursing practice : concepts and perspectives / Kathleen Koernig Blais ... [et al.].</t>
        </is>
      </c>
      <c r="H164" t="inlineStr">
        <is>
          <t>No</t>
        </is>
      </c>
      <c r="I164" t="inlineStr">
        <is>
          <t>1</t>
        </is>
      </c>
      <c r="J164" t="inlineStr">
        <is>
          <t>No</t>
        </is>
      </c>
      <c r="K164" t="inlineStr">
        <is>
          <t>No</t>
        </is>
      </c>
      <c r="L164" t="inlineStr">
        <is>
          <t>0</t>
        </is>
      </c>
      <c r="N164" t="inlineStr">
        <is>
          <t>Upper Saddle River, N.J. : Pearson/Prentice Hall, c2006.</t>
        </is>
      </c>
      <c r="O164" t="inlineStr">
        <is>
          <t>2006</t>
        </is>
      </c>
      <c r="P164" t="inlineStr">
        <is>
          <t>5th ed.</t>
        </is>
      </c>
      <c r="Q164" t="inlineStr">
        <is>
          <t>eng</t>
        </is>
      </c>
      <c r="R164" t="inlineStr">
        <is>
          <t>nju</t>
        </is>
      </c>
      <c r="T164" t="inlineStr">
        <is>
          <t xml:space="preserve">WY </t>
        </is>
      </c>
      <c r="U164" t="n">
        <v>0</v>
      </c>
      <c r="V164" t="n">
        <v>0</v>
      </c>
      <c r="W164" t="inlineStr">
        <is>
          <t>2009-10-01</t>
        </is>
      </c>
      <c r="X164" t="inlineStr">
        <is>
          <t>2009-10-01</t>
        </is>
      </c>
      <c r="Y164" t="inlineStr">
        <is>
          <t>2009-09-29</t>
        </is>
      </c>
      <c r="Z164" t="inlineStr">
        <is>
          <t>2009-09-29</t>
        </is>
      </c>
      <c r="AA164" t="n">
        <v>314</v>
      </c>
      <c r="AB164" t="n">
        <v>209</v>
      </c>
      <c r="AC164" t="n">
        <v>514</v>
      </c>
      <c r="AD164" t="n">
        <v>1</v>
      </c>
      <c r="AE164" t="n">
        <v>2</v>
      </c>
      <c r="AF164" t="n">
        <v>4</v>
      </c>
      <c r="AG164" t="n">
        <v>13</v>
      </c>
      <c r="AH164" t="n">
        <v>2</v>
      </c>
      <c r="AI164" t="n">
        <v>4</v>
      </c>
      <c r="AJ164" t="n">
        <v>1</v>
      </c>
      <c r="AK164" t="n">
        <v>4</v>
      </c>
      <c r="AL164" t="n">
        <v>2</v>
      </c>
      <c r="AM164" t="n">
        <v>7</v>
      </c>
      <c r="AN164" t="n">
        <v>0</v>
      </c>
      <c r="AO164" t="n">
        <v>1</v>
      </c>
      <c r="AP164" t="n">
        <v>0</v>
      </c>
      <c r="AQ164" t="n">
        <v>0</v>
      </c>
      <c r="AR164" t="inlineStr">
        <is>
          <t>No</t>
        </is>
      </c>
      <c r="AS164" t="inlineStr">
        <is>
          <t>Yes</t>
        </is>
      </c>
      <c r="AT164">
        <f>HYPERLINK("http://catalog.hathitrust.org/Record/005032125","HathiTrust Record")</f>
        <v/>
      </c>
      <c r="AU164">
        <f>HYPERLINK("https://creighton-primo.hosted.exlibrisgroup.com/primo-explore/search?tab=default_tab&amp;search_scope=EVERYTHING&amp;vid=01CRU&amp;lang=en_US&amp;offset=0&amp;query=any,contains,991001495479702656","Catalog Record")</f>
        <v/>
      </c>
      <c r="AV164">
        <f>HYPERLINK("http://www.worldcat.org/oclc/57143279","WorldCat Record")</f>
        <v/>
      </c>
      <c r="AW164" t="inlineStr">
        <is>
          <t>796540701:eng</t>
        </is>
      </c>
      <c r="AX164" t="inlineStr">
        <is>
          <t>57143279</t>
        </is>
      </c>
      <c r="AY164" t="inlineStr">
        <is>
          <t>991001495479702656</t>
        </is>
      </c>
      <c r="AZ164" t="inlineStr">
        <is>
          <t>991001495479702656</t>
        </is>
      </c>
      <c r="BA164" t="inlineStr">
        <is>
          <t>2272780820002656</t>
        </is>
      </c>
      <c r="BB164" t="inlineStr">
        <is>
          <t>BOOK</t>
        </is>
      </c>
      <c r="BD164" t="inlineStr">
        <is>
          <t>9780131188198</t>
        </is>
      </c>
      <c r="BE164" t="inlineStr">
        <is>
          <t>30001004919835</t>
        </is>
      </c>
      <c r="BF164" t="inlineStr">
        <is>
          <t>893633137</t>
        </is>
      </c>
    </row>
    <row r="165">
      <c r="A165" t="inlineStr">
        <is>
          <t>No</t>
        </is>
      </c>
      <c r="B165" t="inlineStr">
        <is>
          <t>CUHSL</t>
        </is>
      </c>
      <c r="C165" t="inlineStr">
        <is>
          <t>SHELVES</t>
        </is>
      </c>
      <c r="D165" t="inlineStr">
        <is>
          <t>WY 16 P969 1974</t>
        </is>
      </c>
      <c r="E165" t="inlineStr">
        <is>
          <t>0                      WY 0016000P  969         1974</t>
        </is>
      </c>
      <c r="F165" t="inlineStr">
        <is>
          <t>Providing a climate for the utilization of nursing personnel : papers presented at the joint program of the National League for Nursing and the American Hospital Association, November 1974, New York, N. Y.</t>
        </is>
      </c>
      <c r="H165" t="inlineStr">
        <is>
          <t>No</t>
        </is>
      </c>
      <c r="I165" t="inlineStr">
        <is>
          <t>1</t>
        </is>
      </c>
      <c r="J165" t="inlineStr">
        <is>
          <t>No</t>
        </is>
      </c>
      <c r="K165" t="inlineStr">
        <is>
          <t>No</t>
        </is>
      </c>
      <c r="L165" t="inlineStr">
        <is>
          <t>0</t>
        </is>
      </c>
      <c r="N165" t="inlineStr">
        <is>
          <t>New York : Dept. of Hospital and Related Institutional Nursing Services, National League for Nursing, c1975.</t>
        </is>
      </c>
      <c r="O165" t="inlineStr">
        <is>
          <t>1974</t>
        </is>
      </c>
      <c r="Q165" t="inlineStr">
        <is>
          <t>eng</t>
        </is>
      </c>
      <c r="R165" t="inlineStr">
        <is>
          <t>xxu</t>
        </is>
      </c>
      <c r="S165" t="inlineStr">
        <is>
          <t>NLN pub. no. 20-1566</t>
        </is>
      </c>
      <c r="T165" t="inlineStr">
        <is>
          <t xml:space="preserve">WY </t>
        </is>
      </c>
      <c r="U165" t="n">
        <v>2</v>
      </c>
      <c r="V165" t="n">
        <v>2</v>
      </c>
      <c r="W165" t="inlineStr">
        <is>
          <t>1990-05-04</t>
        </is>
      </c>
      <c r="X165" t="inlineStr">
        <is>
          <t>1990-05-04</t>
        </is>
      </c>
      <c r="Y165" t="inlineStr">
        <is>
          <t>1987-11-04</t>
        </is>
      </c>
      <c r="Z165" t="inlineStr">
        <is>
          <t>1987-11-04</t>
        </is>
      </c>
      <c r="AA165" t="n">
        <v>104</v>
      </c>
      <c r="AB165" t="n">
        <v>91</v>
      </c>
      <c r="AC165" t="n">
        <v>93</v>
      </c>
      <c r="AD165" t="n">
        <v>3</v>
      </c>
      <c r="AE165" t="n">
        <v>3</v>
      </c>
      <c r="AF165" t="n">
        <v>4</v>
      </c>
      <c r="AG165" t="n">
        <v>4</v>
      </c>
      <c r="AH165" t="n">
        <v>1</v>
      </c>
      <c r="AI165" t="n">
        <v>1</v>
      </c>
      <c r="AJ165" t="n">
        <v>0</v>
      </c>
      <c r="AK165" t="n">
        <v>0</v>
      </c>
      <c r="AL165" t="n">
        <v>2</v>
      </c>
      <c r="AM165" t="n">
        <v>2</v>
      </c>
      <c r="AN165" t="n">
        <v>1</v>
      </c>
      <c r="AO165" t="n">
        <v>1</v>
      </c>
      <c r="AP165" t="n">
        <v>0</v>
      </c>
      <c r="AQ165" t="n">
        <v>0</v>
      </c>
      <c r="AR165" t="inlineStr">
        <is>
          <t>No</t>
        </is>
      </c>
      <c r="AS165" t="inlineStr">
        <is>
          <t>Yes</t>
        </is>
      </c>
      <c r="AT165">
        <f>HYPERLINK("http://catalog.hathitrust.org/Record/000704060","HathiTrust Record")</f>
        <v/>
      </c>
      <c r="AU165">
        <f>HYPERLINK("https://creighton-primo.hosted.exlibrisgroup.com/primo-explore/search?tab=default_tab&amp;search_scope=EVERYTHING&amp;vid=01CRU&amp;lang=en_US&amp;offset=0&amp;query=any,contains,991001384699702656","Catalog Record")</f>
        <v/>
      </c>
      <c r="AV165">
        <f>HYPERLINK("http://www.worldcat.org/oclc/1818859","WorldCat Record")</f>
        <v/>
      </c>
      <c r="AW165" t="inlineStr">
        <is>
          <t>796602660:eng</t>
        </is>
      </c>
      <c r="AX165" t="inlineStr">
        <is>
          <t>1818859</t>
        </is>
      </c>
      <c r="AY165" t="inlineStr">
        <is>
          <t>991001384699702656</t>
        </is>
      </c>
      <c r="AZ165" t="inlineStr">
        <is>
          <t>991001384699702656</t>
        </is>
      </c>
      <c r="BA165" t="inlineStr">
        <is>
          <t>2268198860002656</t>
        </is>
      </c>
      <c r="BB165" t="inlineStr">
        <is>
          <t>BOOK</t>
        </is>
      </c>
      <c r="BE165" t="inlineStr">
        <is>
          <t>30001000463481</t>
        </is>
      </c>
      <c r="BF165" t="inlineStr">
        <is>
          <t>893832129</t>
        </is>
      </c>
    </row>
    <row r="166">
      <c r="A166" t="inlineStr">
        <is>
          <t>No</t>
        </is>
      </c>
      <c r="B166" t="inlineStr">
        <is>
          <t>CUHSL</t>
        </is>
      </c>
      <c r="C166" t="inlineStr">
        <is>
          <t>SHELVES</t>
        </is>
      </c>
      <c r="D166" t="inlineStr">
        <is>
          <t>WY 16 Q1 1985</t>
        </is>
      </c>
      <c r="E166" t="inlineStr">
        <is>
          <t>0                      WY 0016000Q  1           1985</t>
        </is>
      </c>
      <c r="F166" t="inlineStr">
        <is>
          <t>Quality assurance : a complete guide to effective programs / edited by Claire Gavin Meisenheimer.</t>
        </is>
      </c>
      <c r="H166" t="inlineStr">
        <is>
          <t>No</t>
        </is>
      </c>
      <c r="I166" t="inlineStr">
        <is>
          <t>1</t>
        </is>
      </c>
      <c r="J166" t="inlineStr">
        <is>
          <t>Yes</t>
        </is>
      </c>
      <c r="K166" t="inlineStr">
        <is>
          <t>No</t>
        </is>
      </c>
      <c r="L166" t="inlineStr">
        <is>
          <t>0</t>
        </is>
      </c>
      <c r="N166" t="inlineStr">
        <is>
          <t>Rockville, Md. : Aspen Systems Corp., c1985.</t>
        </is>
      </c>
      <c r="O166" t="inlineStr">
        <is>
          <t>1985</t>
        </is>
      </c>
      <c r="Q166" t="inlineStr">
        <is>
          <t>eng</t>
        </is>
      </c>
      <c r="R166" t="inlineStr">
        <is>
          <t>mdu</t>
        </is>
      </c>
      <c r="T166" t="inlineStr">
        <is>
          <t xml:space="preserve">WY </t>
        </is>
      </c>
      <c r="U166" t="n">
        <v>11</v>
      </c>
      <c r="V166" t="n">
        <v>11</v>
      </c>
      <c r="W166" t="inlineStr">
        <is>
          <t>1994-12-29</t>
        </is>
      </c>
      <c r="X166" t="inlineStr">
        <is>
          <t>1994-12-29</t>
        </is>
      </c>
      <c r="Y166" t="inlineStr">
        <is>
          <t>1987-10-22</t>
        </is>
      </c>
      <c r="Z166" t="inlineStr">
        <is>
          <t>1987-10-22</t>
        </is>
      </c>
      <c r="AA166" t="n">
        <v>304</v>
      </c>
      <c r="AB166" t="n">
        <v>279</v>
      </c>
      <c r="AC166" t="n">
        <v>286</v>
      </c>
      <c r="AD166" t="n">
        <v>4</v>
      </c>
      <c r="AE166" t="n">
        <v>4</v>
      </c>
      <c r="AF166" t="n">
        <v>13</v>
      </c>
      <c r="AG166" t="n">
        <v>13</v>
      </c>
      <c r="AH166" t="n">
        <v>2</v>
      </c>
      <c r="AI166" t="n">
        <v>2</v>
      </c>
      <c r="AJ166" t="n">
        <v>3</v>
      </c>
      <c r="AK166" t="n">
        <v>3</v>
      </c>
      <c r="AL166" t="n">
        <v>6</v>
      </c>
      <c r="AM166" t="n">
        <v>6</v>
      </c>
      <c r="AN166" t="n">
        <v>2</v>
      </c>
      <c r="AO166" t="n">
        <v>2</v>
      </c>
      <c r="AP166" t="n">
        <v>1</v>
      </c>
      <c r="AQ166" t="n">
        <v>1</v>
      </c>
      <c r="AR166" t="inlineStr">
        <is>
          <t>No</t>
        </is>
      </c>
      <c r="AS166" t="inlineStr">
        <is>
          <t>Yes</t>
        </is>
      </c>
      <c r="AT166">
        <f>HYPERLINK("http://catalog.hathitrust.org/Record/000571090","HathiTrust Record")</f>
        <v/>
      </c>
      <c r="AU166">
        <f>HYPERLINK("https://creighton-primo.hosted.exlibrisgroup.com/primo-explore/search?tab=default_tab&amp;search_scope=EVERYTHING&amp;vid=01CRU&amp;lang=en_US&amp;offset=0&amp;query=any,contains,991000741079702656","Catalog Record")</f>
        <v/>
      </c>
      <c r="AV166">
        <f>HYPERLINK("http://www.worldcat.org/oclc/11786179","WorldCat Record")</f>
        <v/>
      </c>
      <c r="AW166" t="inlineStr">
        <is>
          <t>4645212:eng</t>
        </is>
      </c>
      <c r="AX166" t="inlineStr">
        <is>
          <t>11786179</t>
        </is>
      </c>
      <c r="AY166" t="inlineStr">
        <is>
          <t>991000741079702656</t>
        </is>
      </c>
      <c r="AZ166" t="inlineStr">
        <is>
          <t>991000741079702656</t>
        </is>
      </c>
      <c r="BA166" t="inlineStr">
        <is>
          <t>2269269710002656</t>
        </is>
      </c>
      <c r="BB166" t="inlineStr">
        <is>
          <t>BOOK</t>
        </is>
      </c>
      <c r="BD166" t="inlineStr">
        <is>
          <t>9780871890962</t>
        </is>
      </c>
      <c r="BE166" t="inlineStr">
        <is>
          <t>30001000043374</t>
        </is>
      </c>
      <c r="BF166" t="inlineStr">
        <is>
          <t>893133500</t>
        </is>
      </c>
    </row>
    <row r="167">
      <c r="A167" t="inlineStr">
        <is>
          <t>No</t>
        </is>
      </c>
      <c r="B167" t="inlineStr">
        <is>
          <t>CUHSL</t>
        </is>
      </c>
      <c r="C167" t="inlineStr">
        <is>
          <t>SHELVES</t>
        </is>
      </c>
      <c r="D167" t="inlineStr">
        <is>
          <t>WY 16 Q12 1974</t>
        </is>
      </c>
      <c r="E167" t="inlineStr">
        <is>
          <t>0                      WY 0016000Q  12          1974</t>
        </is>
      </c>
      <c r="F167" t="inlineStr">
        <is>
          <t>Quality assessment : programs and process : presentations from the March 1974 and March 1975 Forums for Nursing Service Administrators in the West / sponsored by the Western Regional Assembly of Constituent Leagues.</t>
        </is>
      </c>
      <c r="H167" t="inlineStr">
        <is>
          <t>No</t>
        </is>
      </c>
      <c r="I167" t="inlineStr">
        <is>
          <t>1</t>
        </is>
      </c>
      <c r="J167" t="inlineStr">
        <is>
          <t>No</t>
        </is>
      </c>
      <c r="K167" t="inlineStr">
        <is>
          <t>No</t>
        </is>
      </c>
      <c r="L167" t="inlineStr">
        <is>
          <t>0</t>
        </is>
      </c>
      <c r="N167" t="inlineStr">
        <is>
          <t>New York : Division of Community Planning, National League for Nursing, c1975.</t>
        </is>
      </c>
      <c r="O167" t="inlineStr">
        <is>
          <t>1974</t>
        </is>
      </c>
      <c r="Q167" t="inlineStr">
        <is>
          <t>eng</t>
        </is>
      </c>
      <c r="R167" t="inlineStr">
        <is>
          <t>nyu</t>
        </is>
      </c>
      <c r="S167" t="inlineStr">
        <is>
          <t>NLN pub. no. 52-1598</t>
        </is>
      </c>
      <c r="T167" t="inlineStr">
        <is>
          <t xml:space="preserve">WY </t>
        </is>
      </c>
      <c r="U167" t="n">
        <v>1</v>
      </c>
      <c r="V167" t="n">
        <v>1</v>
      </c>
      <c r="W167" t="inlineStr">
        <is>
          <t>1990-08-03</t>
        </is>
      </c>
      <c r="X167" t="inlineStr">
        <is>
          <t>1990-08-03</t>
        </is>
      </c>
      <c r="Y167" t="inlineStr">
        <is>
          <t>1987-11-18</t>
        </is>
      </c>
      <c r="Z167" t="inlineStr">
        <is>
          <t>1987-11-18</t>
        </is>
      </c>
      <c r="AA167" t="n">
        <v>71</v>
      </c>
      <c r="AB167" t="n">
        <v>63</v>
      </c>
      <c r="AC167" t="n">
        <v>63</v>
      </c>
      <c r="AD167" t="n">
        <v>2</v>
      </c>
      <c r="AE167" t="n">
        <v>2</v>
      </c>
      <c r="AF167" t="n">
        <v>4</v>
      </c>
      <c r="AG167" t="n">
        <v>4</v>
      </c>
      <c r="AH167" t="n">
        <v>0</v>
      </c>
      <c r="AI167" t="n">
        <v>0</v>
      </c>
      <c r="AJ167" t="n">
        <v>1</v>
      </c>
      <c r="AK167" t="n">
        <v>1</v>
      </c>
      <c r="AL167" t="n">
        <v>2</v>
      </c>
      <c r="AM167" t="n">
        <v>2</v>
      </c>
      <c r="AN167" t="n">
        <v>1</v>
      </c>
      <c r="AO167" t="n">
        <v>1</v>
      </c>
      <c r="AP167" t="n">
        <v>0</v>
      </c>
      <c r="AQ167" t="n">
        <v>0</v>
      </c>
      <c r="AR167" t="inlineStr">
        <is>
          <t>No</t>
        </is>
      </c>
      <c r="AS167" t="inlineStr">
        <is>
          <t>No</t>
        </is>
      </c>
      <c r="AU167">
        <f>HYPERLINK("https://creighton-primo.hosted.exlibrisgroup.com/primo-explore/search?tab=default_tab&amp;search_scope=EVERYTHING&amp;vid=01CRU&amp;lang=en_US&amp;offset=0&amp;query=any,contains,991001516239702656","Catalog Record")</f>
        <v/>
      </c>
      <c r="AV167">
        <f>HYPERLINK("http://www.worldcat.org/oclc/2091760","WorldCat Record")</f>
        <v/>
      </c>
      <c r="AW167" t="inlineStr">
        <is>
          <t>3901242725:eng</t>
        </is>
      </c>
      <c r="AX167" t="inlineStr">
        <is>
          <t>2091760</t>
        </is>
      </c>
      <c r="AY167" t="inlineStr">
        <is>
          <t>991001516239702656</t>
        </is>
      </c>
      <c r="AZ167" t="inlineStr">
        <is>
          <t>991001516239702656</t>
        </is>
      </c>
      <c r="BA167" t="inlineStr">
        <is>
          <t>2269184660002656</t>
        </is>
      </c>
      <c r="BB167" t="inlineStr">
        <is>
          <t>BOOK</t>
        </is>
      </c>
      <c r="BE167" t="inlineStr">
        <is>
          <t>30001000600041</t>
        </is>
      </c>
      <c r="BF167" t="inlineStr">
        <is>
          <t>893284873</t>
        </is>
      </c>
    </row>
    <row r="168">
      <c r="A168" t="inlineStr">
        <is>
          <t>No</t>
        </is>
      </c>
      <c r="B168" t="inlineStr">
        <is>
          <t>CUHSL</t>
        </is>
      </c>
      <c r="C168" t="inlineStr">
        <is>
          <t>SHELVES</t>
        </is>
      </c>
      <c r="D168" t="inlineStr">
        <is>
          <t>WY 16 R2873 1991</t>
        </is>
      </c>
      <c r="E168" t="inlineStr">
        <is>
          <t>0                      WY 0016000R  2873        1991</t>
        </is>
      </c>
      <c r="F168" t="inlineStr">
        <is>
          <t>Readings in transition : focus on professional nursing / [edited by] Rita Munley Gallagher.</t>
        </is>
      </c>
      <c r="H168" t="inlineStr">
        <is>
          <t>No</t>
        </is>
      </c>
      <c r="I168" t="inlineStr">
        <is>
          <t>1</t>
        </is>
      </c>
      <c r="J168" t="inlineStr">
        <is>
          <t>No</t>
        </is>
      </c>
      <c r="K168" t="inlineStr">
        <is>
          <t>No</t>
        </is>
      </c>
      <c r="L168" t="inlineStr">
        <is>
          <t>0</t>
        </is>
      </c>
      <c r="N168" t="inlineStr">
        <is>
          <t>St. Louis : C.V. Mosby, c1991.</t>
        </is>
      </c>
      <c r="O168" t="inlineStr">
        <is>
          <t>1991</t>
        </is>
      </c>
      <c r="Q168" t="inlineStr">
        <is>
          <t>eng</t>
        </is>
      </c>
      <c r="R168" t="inlineStr">
        <is>
          <t>mou</t>
        </is>
      </c>
      <c r="T168" t="inlineStr">
        <is>
          <t xml:space="preserve">WY </t>
        </is>
      </c>
      <c r="U168" t="n">
        <v>7</v>
      </c>
      <c r="V168" t="n">
        <v>7</v>
      </c>
      <c r="W168" t="inlineStr">
        <is>
          <t>1994-06-28</t>
        </is>
      </c>
      <c r="X168" t="inlineStr">
        <is>
          <t>1994-06-28</t>
        </is>
      </c>
      <c r="Y168" t="inlineStr">
        <is>
          <t>1991-04-25</t>
        </is>
      </c>
      <c r="Z168" t="inlineStr">
        <is>
          <t>1991-04-25</t>
        </is>
      </c>
      <c r="AA168" t="n">
        <v>139</v>
      </c>
      <c r="AB168" t="n">
        <v>111</v>
      </c>
      <c r="AC168" t="n">
        <v>115</v>
      </c>
      <c r="AD168" t="n">
        <v>1</v>
      </c>
      <c r="AE168" t="n">
        <v>1</v>
      </c>
      <c r="AF168" t="n">
        <v>6</v>
      </c>
      <c r="AG168" t="n">
        <v>6</v>
      </c>
      <c r="AH168" t="n">
        <v>4</v>
      </c>
      <c r="AI168" t="n">
        <v>4</v>
      </c>
      <c r="AJ168" t="n">
        <v>1</v>
      </c>
      <c r="AK168" t="n">
        <v>1</v>
      </c>
      <c r="AL168" t="n">
        <v>5</v>
      </c>
      <c r="AM168" t="n">
        <v>5</v>
      </c>
      <c r="AN168" t="n">
        <v>0</v>
      </c>
      <c r="AO168" t="n">
        <v>0</v>
      </c>
      <c r="AP168" t="n">
        <v>0</v>
      </c>
      <c r="AQ168" t="n">
        <v>0</v>
      </c>
      <c r="AR168" t="inlineStr">
        <is>
          <t>No</t>
        </is>
      </c>
      <c r="AS168" t="inlineStr">
        <is>
          <t>No</t>
        </is>
      </c>
      <c r="AU168">
        <f>HYPERLINK("https://creighton-primo.hosted.exlibrisgroup.com/primo-explore/search?tab=default_tab&amp;search_scope=EVERYTHING&amp;vid=01CRU&amp;lang=en_US&amp;offset=0&amp;query=any,contains,991000933849702656","Catalog Record")</f>
        <v/>
      </c>
      <c r="AV168">
        <f>HYPERLINK("http://www.worldcat.org/oclc/21764344","WorldCat Record")</f>
        <v/>
      </c>
      <c r="AW168" t="inlineStr">
        <is>
          <t>836709255:eng</t>
        </is>
      </c>
      <c r="AX168" t="inlineStr">
        <is>
          <t>21764344</t>
        </is>
      </c>
      <c r="AY168" t="inlineStr">
        <is>
          <t>991000933849702656</t>
        </is>
      </c>
      <c r="AZ168" t="inlineStr">
        <is>
          <t>991000933849702656</t>
        </is>
      </c>
      <c r="BA168" t="inlineStr">
        <is>
          <t>2263252280002656</t>
        </is>
      </c>
      <c r="BB168" t="inlineStr">
        <is>
          <t>BOOK</t>
        </is>
      </c>
      <c r="BD168" t="inlineStr">
        <is>
          <t>9780801619526</t>
        </is>
      </c>
      <c r="BE168" t="inlineStr">
        <is>
          <t>30001002190330</t>
        </is>
      </c>
      <c r="BF168" t="inlineStr">
        <is>
          <t>893637845</t>
        </is>
      </c>
    </row>
    <row r="169">
      <c r="A169" t="inlineStr">
        <is>
          <t>No</t>
        </is>
      </c>
      <c r="B169" t="inlineStr">
        <is>
          <t>CUHSL</t>
        </is>
      </c>
      <c r="C169" t="inlineStr">
        <is>
          <t>SHELVES</t>
        </is>
      </c>
      <c r="D169" t="inlineStr">
        <is>
          <t>WY 16 S422 1995</t>
        </is>
      </c>
      <c r="E169" t="inlineStr">
        <is>
          <t>0                      WY 0016000S  422         1995</t>
        </is>
      </c>
      <c r="F169" t="inlineStr">
        <is>
          <t>Scope and standards for nurse administrators / ANA Task Force on Standards for Organized Nursing Services (1994-1995)</t>
        </is>
      </c>
      <c r="H169" t="inlineStr">
        <is>
          <t>No</t>
        </is>
      </c>
      <c r="I169" t="inlineStr">
        <is>
          <t>1</t>
        </is>
      </c>
      <c r="J169" t="inlineStr">
        <is>
          <t>No</t>
        </is>
      </c>
      <c r="K169" t="inlineStr">
        <is>
          <t>Yes</t>
        </is>
      </c>
      <c r="L169" t="inlineStr">
        <is>
          <t>0</t>
        </is>
      </c>
      <c r="N169" t="inlineStr">
        <is>
          <t>Washington, DC : American Nurses Publishing, c1995</t>
        </is>
      </c>
      <c r="O169" t="inlineStr">
        <is>
          <t>1995</t>
        </is>
      </c>
      <c r="Q169" t="inlineStr">
        <is>
          <t>eng</t>
        </is>
      </c>
      <c r="R169" t="inlineStr">
        <is>
          <t>dcu</t>
        </is>
      </c>
      <c r="S169" t="inlineStr">
        <is>
          <t>ANA pub ; no. NS-35</t>
        </is>
      </c>
      <c r="T169" t="inlineStr">
        <is>
          <t xml:space="preserve">WY </t>
        </is>
      </c>
      <c r="U169" t="n">
        <v>1</v>
      </c>
      <c r="V169" t="n">
        <v>1</v>
      </c>
      <c r="W169" t="inlineStr">
        <is>
          <t>2008-01-08</t>
        </is>
      </c>
      <c r="X169" t="inlineStr">
        <is>
          <t>2008-01-08</t>
        </is>
      </c>
      <c r="Y169" t="inlineStr">
        <is>
          <t>2000-06-15</t>
        </is>
      </c>
      <c r="Z169" t="inlineStr">
        <is>
          <t>2000-06-15</t>
        </is>
      </c>
      <c r="AA169" t="n">
        <v>183</v>
      </c>
      <c r="AB169" t="n">
        <v>172</v>
      </c>
      <c r="AC169" t="n">
        <v>388</v>
      </c>
      <c r="AD169" t="n">
        <v>2</v>
      </c>
      <c r="AE169" t="n">
        <v>4</v>
      </c>
      <c r="AF169" t="n">
        <v>8</v>
      </c>
      <c r="AG169" t="n">
        <v>20</v>
      </c>
      <c r="AH169" t="n">
        <v>3</v>
      </c>
      <c r="AI169" t="n">
        <v>8</v>
      </c>
      <c r="AJ169" t="n">
        <v>2</v>
      </c>
      <c r="AK169" t="n">
        <v>4</v>
      </c>
      <c r="AL169" t="n">
        <v>5</v>
      </c>
      <c r="AM169" t="n">
        <v>10</v>
      </c>
      <c r="AN169" t="n">
        <v>0</v>
      </c>
      <c r="AO169" t="n">
        <v>2</v>
      </c>
      <c r="AP169" t="n">
        <v>0</v>
      </c>
      <c r="AQ169" t="n">
        <v>0</v>
      </c>
      <c r="AR169" t="inlineStr">
        <is>
          <t>No</t>
        </is>
      </c>
      <c r="AS169" t="inlineStr">
        <is>
          <t>Yes</t>
        </is>
      </c>
      <c r="AT169">
        <f>HYPERLINK("http://catalog.hathitrust.org/Record/003052948","HathiTrust Record")</f>
        <v/>
      </c>
      <c r="AU169">
        <f>HYPERLINK("https://creighton-primo.hosted.exlibrisgroup.com/primo-explore/search?tab=default_tab&amp;search_scope=EVERYTHING&amp;vid=01CRU&amp;lang=en_US&amp;offset=0&amp;query=any,contains,991000260139702656","Catalog Record")</f>
        <v/>
      </c>
      <c r="AV169">
        <f>HYPERLINK("http://www.worldcat.org/oclc/35144050","WorldCat Record")</f>
        <v/>
      </c>
      <c r="AW169" t="inlineStr">
        <is>
          <t>998779:eng</t>
        </is>
      </c>
      <c r="AX169" t="inlineStr">
        <is>
          <t>35144050</t>
        </is>
      </c>
      <c r="AY169" t="inlineStr">
        <is>
          <t>991000260139702656</t>
        </is>
      </c>
      <c r="AZ169" t="inlineStr">
        <is>
          <t>991000260139702656</t>
        </is>
      </c>
      <c r="BA169" t="inlineStr">
        <is>
          <t>2255188560002656</t>
        </is>
      </c>
      <c r="BB169" t="inlineStr">
        <is>
          <t>BOOK</t>
        </is>
      </c>
      <c r="BE169" t="inlineStr">
        <is>
          <t>30001003352533</t>
        </is>
      </c>
      <c r="BF169" t="inlineStr">
        <is>
          <t>893461290</t>
        </is>
      </c>
    </row>
    <row r="170">
      <c r="A170" t="inlineStr">
        <is>
          <t>No</t>
        </is>
      </c>
      <c r="B170" t="inlineStr">
        <is>
          <t>CUHSL</t>
        </is>
      </c>
      <c r="C170" t="inlineStr">
        <is>
          <t>SHELVES</t>
        </is>
      </c>
      <c r="D170" t="inlineStr">
        <is>
          <t>WY 16 S464 1966</t>
        </is>
      </c>
      <c r="E170" t="inlineStr">
        <is>
          <t>0                      WY 0016000S  464         1966</t>
        </is>
      </c>
      <c r="F170" t="inlineStr">
        <is>
          <t>Selection and recruitment of nurses and nursing students : a review of research studies and practices / by Calvin W. Taylor ... [et al.].</t>
        </is>
      </c>
      <c r="H170" t="inlineStr">
        <is>
          <t>No</t>
        </is>
      </c>
      <c r="I170" t="inlineStr">
        <is>
          <t>1</t>
        </is>
      </c>
      <c r="J170" t="inlineStr">
        <is>
          <t>No</t>
        </is>
      </c>
      <c r="K170" t="inlineStr">
        <is>
          <t>No</t>
        </is>
      </c>
      <c r="L170" t="inlineStr">
        <is>
          <t>0</t>
        </is>
      </c>
      <c r="N170" t="inlineStr">
        <is>
          <t>Salt Lake City : University of Utah Press, 1966.</t>
        </is>
      </c>
      <c r="O170" t="inlineStr">
        <is>
          <t>1966</t>
        </is>
      </c>
      <c r="P170" t="inlineStr">
        <is>
          <t>2nd printing, rev.</t>
        </is>
      </c>
      <c r="Q170" t="inlineStr">
        <is>
          <t>eng</t>
        </is>
      </c>
      <c r="R170" t="inlineStr">
        <is>
          <t>nyu</t>
        </is>
      </c>
      <c r="T170" t="inlineStr">
        <is>
          <t xml:space="preserve">WY </t>
        </is>
      </c>
      <c r="U170" t="n">
        <v>1</v>
      </c>
      <c r="V170" t="n">
        <v>1</v>
      </c>
      <c r="W170" t="inlineStr">
        <is>
          <t>1990-09-11</t>
        </is>
      </c>
      <c r="X170" t="inlineStr">
        <is>
          <t>1990-09-11</t>
        </is>
      </c>
      <c r="Y170" t="inlineStr">
        <is>
          <t>1987-11-19</t>
        </is>
      </c>
      <c r="Z170" t="inlineStr">
        <is>
          <t>1987-11-19</t>
        </is>
      </c>
      <c r="AA170" t="n">
        <v>33</v>
      </c>
      <c r="AB170" t="n">
        <v>28</v>
      </c>
      <c r="AC170" t="n">
        <v>67</v>
      </c>
      <c r="AD170" t="n">
        <v>1</v>
      </c>
      <c r="AE170" t="n">
        <v>2</v>
      </c>
      <c r="AF170" t="n">
        <v>2</v>
      </c>
      <c r="AG170" t="n">
        <v>5</v>
      </c>
      <c r="AH170" t="n">
        <v>0</v>
      </c>
      <c r="AI170" t="n">
        <v>1</v>
      </c>
      <c r="AJ170" t="n">
        <v>0</v>
      </c>
      <c r="AK170" t="n">
        <v>0</v>
      </c>
      <c r="AL170" t="n">
        <v>2</v>
      </c>
      <c r="AM170" t="n">
        <v>4</v>
      </c>
      <c r="AN170" t="n">
        <v>0</v>
      </c>
      <c r="AO170" t="n">
        <v>0</v>
      </c>
      <c r="AP170" t="n">
        <v>0</v>
      </c>
      <c r="AQ170" t="n">
        <v>0</v>
      </c>
      <c r="AR170" t="inlineStr">
        <is>
          <t>No</t>
        </is>
      </c>
      <c r="AS170" t="inlineStr">
        <is>
          <t>Yes</t>
        </is>
      </c>
      <c r="AT170">
        <f>HYPERLINK("http://catalog.hathitrust.org/Record/002072363","HathiTrust Record")</f>
        <v/>
      </c>
      <c r="AU170">
        <f>HYPERLINK("https://creighton-primo.hosted.exlibrisgroup.com/primo-explore/search?tab=default_tab&amp;search_scope=EVERYTHING&amp;vid=01CRU&amp;lang=en_US&amp;offset=0&amp;query=any,contains,991001518379702656","Catalog Record")</f>
        <v/>
      </c>
      <c r="AV170">
        <f>HYPERLINK("http://www.worldcat.org/oclc/7738085","WorldCat Record")</f>
        <v/>
      </c>
      <c r="AW170" t="inlineStr">
        <is>
          <t>29753493:eng</t>
        </is>
      </c>
      <c r="AX170" t="inlineStr">
        <is>
          <t>7738085</t>
        </is>
      </c>
      <c r="AY170" t="inlineStr">
        <is>
          <t>991001518379702656</t>
        </is>
      </c>
      <c r="AZ170" t="inlineStr">
        <is>
          <t>991001518379702656</t>
        </is>
      </c>
      <c r="BA170" t="inlineStr">
        <is>
          <t>2257912960002656</t>
        </is>
      </c>
      <c r="BB170" t="inlineStr">
        <is>
          <t>BOOK</t>
        </is>
      </c>
      <c r="BE170" t="inlineStr">
        <is>
          <t>30001000600462</t>
        </is>
      </c>
      <c r="BF170" t="inlineStr">
        <is>
          <t>893369437</t>
        </is>
      </c>
    </row>
    <row r="171">
      <c r="A171" t="inlineStr">
        <is>
          <t>No</t>
        </is>
      </c>
      <c r="B171" t="inlineStr">
        <is>
          <t>CUHSL</t>
        </is>
      </c>
      <c r="C171" t="inlineStr">
        <is>
          <t>SHELVES</t>
        </is>
      </c>
      <c r="D171" t="inlineStr">
        <is>
          <t>WY 16 S664s 1988</t>
        </is>
      </c>
      <c r="E171" t="inlineStr">
        <is>
          <t>0                      WY 0016000S  664s        1988</t>
        </is>
      </c>
      <c r="F171" t="inlineStr">
        <is>
          <t>Setting standards for professional nursing : the Marker Model / by Carolyn G. Smith-Marker.</t>
        </is>
      </c>
      <c r="H171" t="inlineStr">
        <is>
          <t>No</t>
        </is>
      </c>
      <c r="I171" t="inlineStr">
        <is>
          <t>1</t>
        </is>
      </c>
      <c r="J171" t="inlineStr">
        <is>
          <t>No</t>
        </is>
      </c>
      <c r="K171" t="inlineStr">
        <is>
          <t>No</t>
        </is>
      </c>
      <c r="L171" t="inlineStr">
        <is>
          <t>0</t>
        </is>
      </c>
      <c r="M171" t="inlineStr">
        <is>
          <t>Smith-Marker, Carolyn G.</t>
        </is>
      </c>
      <c r="N171" t="inlineStr">
        <is>
          <t>Baltimore, Md. : Mosby, c1988.</t>
        </is>
      </c>
      <c r="O171" t="inlineStr">
        <is>
          <t>1988</t>
        </is>
      </c>
      <c r="Q171" t="inlineStr">
        <is>
          <t>eng</t>
        </is>
      </c>
      <c r="R171" t="inlineStr">
        <is>
          <t>mdu</t>
        </is>
      </c>
      <c r="T171" t="inlineStr">
        <is>
          <t xml:space="preserve">WY </t>
        </is>
      </c>
      <c r="U171" t="n">
        <v>7</v>
      </c>
      <c r="V171" t="n">
        <v>7</v>
      </c>
      <c r="W171" t="inlineStr">
        <is>
          <t>1989-07-11</t>
        </is>
      </c>
      <c r="X171" t="inlineStr">
        <is>
          <t>1989-07-11</t>
        </is>
      </c>
      <c r="Y171" t="inlineStr">
        <is>
          <t>1989-06-30</t>
        </is>
      </c>
      <c r="Z171" t="inlineStr">
        <is>
          <t>1989-06-30</t>
        </is>
      </c>
      <c r="AA171" t="n">
        <v>103</v>
      </c>
      <c r="AB171" t="n">
        <v>96</v>
      </c>
      <c r="AC171" t="n">
        <v>121</v>
      </c>
      <c r="AD171" t="n">
        <v>2</v>
      </c>
      <c r="AE171" t="n">
        <v>2</v>
      </c>
      <c r="AF171" t="n">
        <v>3</v>
      </c>
      <c r="AG171" t="n">
        <v>4</v>
      </c>
      <c r="AH171" t="n">
        <v>2</v>
      </c>
      <c r="AI171" t="n">
        <v>3</v>
      </c>
      <c r="AJ171" t="n">
        <v>0</v>
      </c>
      <c r="AK171" t="n">
        <v>0</v>
      </c>
      <c r="AL171" t="n">
        <v>2</v>
      </c>
      <c r="AM171" t="n">
        <v>2</v>
      </c>
      <c r="AN171" t="n">
        <v>0</v>
      </c>
      <c r="AO171" t="n">
        <v>0</v>
      </c>
      <c r="AP171" t="n">
        <v>0</v>
      </c>
      <c r="AQ171" t="n">
        <v>0</v>
      </c>
      <c r="AR171" t="inlineStr">
        <is>
          <t>No</t>
        </is>
      </c>
      <c r="AS171" t="inlineStr">
        <is>
          <t>No</t>
        </is>
      </c>
      <c r="AU171">
        <f>HYPERLINK("https://creighton-primo.hosted.exlibrisgroup.com/primo-explore/search?tab=default_tab&amp;search_scope=EVERYTHING&amp;vid=01CRU&amp;lang=en_US&amp;offset=0&amp;query=any,contains,991000500479702656","Catalog Record")</f>
        <v/>
      </c>
      <c r="AV171">
        <f>HYPERLINK("http://www.worldcat.org/oclc/18081951","WorldCat Record")</f>
        <v/>
      </c>
      <c r="AW171" t="inlineStr">
        <is>
          <t>16859372:eng</t>
        </is>
      </c>
      <c r="AX171" t="inlineStr">
        <is>
          <t>18081951</t>
        </is>
      </c>
      <c r="AY171" t="inlineStr">
        <is>
          <t>991000500479702656</t>
        </is>
      </c>
      <c r="AZ171" t="inlineStr">
        <is>
          <t>991000500479702656</t>
        </is>
      </c>
      <c r="BA171" t="inlineStr">
        <is>
          <t>2257827460002656</t>
        </is>
      </c>
      <c r="BB171" t="inlineStr">
        <is>
          <t>BOOK</t>
        </is>
      </c>
      <c r="BD171" t="inlineStr">
        <is>
          <t>9780801652615</t>
        </is>
      </c>
      <c r="BE171" t="inlineStr">
        <is>
          <t>30001001679267</t>
        </is>
      </c>
      <c r="BF171" t="inlineStr">
        <is>
          <t>893828047</t>
        </is>
      </c>
    </row>
    <row r="172">
      <c r="A172" t="inlineStr">
        <is>
          <t>No</t>
        </is>
      </c>
      <c r="B172" t="inlineStr">
        <is>
          <t>CUHSL</t>
        </is>
      </c>
      <c r="C172" t="inlineStr">
        <is>
          <t>SHELVES</t>
        </is>
      </c>
      <c r="D172" t="inlineStr">
        <is>
          <t>WY 16 S678 1982</t>
        </is>
      </c>
      <c r="E172" t="inlineStr">
        <is>
          <t>0                      WY 0016000S  678         1982</t>
        </is>
      </c>
      <c r="F172" t="inlineStr">
        <is>
          <t>Socialization, sexism, and stereotyping : women's issues in nursing / edited by Janet Muff.</t>
        </is>
      </c>
      <c r="H172" t="inlineStr">
        <is>
          <t>No</t>
        </is>
      </c>
      <c r="I172" t="inlineStr">
        <is>
          <t>1</t>
        </is>
      </c>
      <c r="J172" t="inlineStr">
        <is>
          <t>No</t>
        </is>
      </c>
      <c r="K172" t="inlineStr">
        <is>
          <t>No</t>
        </is>
      </c>
      <c r="L172" t="inlineStr">
        <is>
          <t>0</t>
        </is>
      </c>
      <c r="N172" t="inlineStr">
        <is>
          <t>St. Louis : Mosby, c1982.</t>
        </is>
      </c>
      <c r="O172" t="inlineStr">
        <is>
          <t>1982</t>
        </is>
      </c>
      <c r="Q172" t="inlineStr">
        <is>
          <t>eng</t>
        </is>
      </c>
      <c r="R172" t="inlineStr">
        <is>
          <t>mou</t>
        </is>
      </c>
      <c r="T172" t="inlineStr">
        <is>
          <t xml:space="preserve">WY </t>
        </is>
      </c>
      <c r="U172" t="n">
        <v>4</v>
      </c>
      <c r="V172" t="n">
        <v>4</v>
      </c>
      <c r="W172" t="inlineStr">
        <is>
          <t>1996-06-11</t>
        </is>
      </c>
      <c r="X172" t="inlineStr">
        <is>
          <t>1996-06-11</t>
        </is>
      </c>
      <c r="Y172" t="inlineStr">
        <is>
          <t>1987-12-22</t>
        </is>
      </c>
      <c r="Z172" t="inlineStr">
        <is>
          <t>1987-12-22</t>
        </is>
      </c>
      <c r="AA172" t="n">
        <v>468</v>
      </c>
      <c r="AB172" t="n">
        <v>381</v>
      </c>
      <c r="AC172" t="n">
        <v>453</v>
      </c>
      <c r="AD172" t="n">
        <v>5</v>
      </c>
      <c r="AE172" t="n">
        <v>5</v>
      </c>
      <c r="AF172" t="n">
        <v>17</v>
      </c>
      <c r="AG172" t="n">
        <v>20</v>
      </c>
      <c r="AH172" t="n">
        <v>5</v>
      </c>
      <c r="AI172" t="n">
        <v>7</v>
      </c>
      <c r="AJ172" t="n">
        <v>3</v>
      </c>
      <c r="AK172" t="n">
        <v>4</v>
      </c>
      <c r="AL172" t="n">
        <v>7</v>
      </c>
      <c r="AM172" t="n">
        <v>9</v>
      </c>
      <c r="AN172" t="n">
        <v>4</v>
      </c>
      <c r="AO172" t="n">
        <v>4</v>
      </c>
      <c r="AP172" t="n">
        <v>0</v>
      </c>
      <c r="AQ172" t="n">
        <v>0</v>
      </c>
      <c r="AR172" t="inlineStr">
        <is>
          <t>No</t>
        </is>
      </c>
      <c r="AS172" t="inlineStr">
        <is>
          <t>Yes</t>
        </is>
      </c>
      <c r="AT172">
        <f>HYPERLINK("http://catalog.hathitrust.org/Record/000308109","HathiTrust Record")</f>
        <v/>
      </c>
      <c r="AU172">
        <f>HYPERLINK("https://creighton-primo.hosted.exlibrisgroup.com/primo-explore/search?tab=default_tab&amp;search_scope=EVERYTHING&amp;vid=01CRU&amp;lang=en_US&amp;offset=0&amp;query=any,contains,991001034619702656","Catalog Record")</f>
        <v/>
      </c>
      <c r="AV172">
        <f>HYPERLINK("http://www.worldcat.org/oclc/7945963","WorldCat Record")</f>
        <v/>
      </c>
      <c r="AW172" t="inlineStr">
        <is>
          <t>894484812:eng</t>
        </is>
      </c>
      <c r="AX172" t="inlineStr">
        <is>
          <t>7945963</t>
        </is>
      </c>
      <c r="AY172" t="inlineStr">
        <is>
          <t>991001034619702656</t>
        </is>
      </c>
      <c r="AZ172" t="inlineStr">
        <is>
          <t>991001034619702656</t>
        </is>
      </c>
      <c r="BA172" t="inlineStr">
        <is>
          <t>2271072830002656</t>
        </is>
      </c>
      <c r="BB172" t="inlineStr">
        <is>
          <t>BOOK</t>
        </is>
      </c>
      <c r="BD172" t="inlineStr">
        <is>
          <t>9780801635816</t>
        </is>
      </c>
      <c r="BE172" t="inlineStr">
        <is>
          <t>30001000240525</t>
        </is>
      </c>
      <c r="BF172" t="inlineStr">
        <is>
          <t>893358154</t>
        </is>
      </c>
    </row>
    <row r="173">
      <c r="A173" t="inlineStr">
        <is>
          <t>No</t>
        </is>
      </c>
      <c r="B173" t="inlineStr">
        <is>
          <t>CUHSL</t>
        </is>
      </c>
      <c r="C173" t="inlineStr">
        <is>
          <t>SHELVES</t>
        </is>
      </c>
      <c r="D173" t="inlineStr">
        <is>
          <t>WY 16 S785p 1979</t>
        </is>
      </c>
      <c r="E173" t="inlineStr">
        <is>
          <t>0                      WY 0016000S  785p        1979</t>
        </is>
      </c>
      <c r="F173" t="inlineStr">
        <is>
          <t>Politics, the nurse and the health care consumer / Marcia Stanhope.</t>
        </is>
      </c>
      <c r="H173" t="inlineStr">
        <is>
          <t>No</t>
        </is>
      </c>
      <c r="I173" t="inlineStr">
        <is>
          <t>1</t>
        </is>
      </c>
      <c r="J173" t="inlineStr">
        <is>
          <t>No</t>
        </is>
      </c>
      <c r="K173" t="inlineStr">
        <is>
          <t>No</t>
        </is>
      </c>
      <c r="L173" t="inlineStr">
        <is>
          <t>0</t>
        </is>
      </c>
      <c r="M173" t="inlineStr">
        <is>
          <t>Stanhope, Marcia.</t>
        </is>
      </c>
      <c r="N173" t="inlineStr">
        <is>
          <t>New York : National League for Nursing, c1979.</t>
        </is>
      </c>
      <c r="O173" t="inlineStr">
        <is>
          <t>1979</t>
        </is>
      </c>
      <c r="Q173" t="inlineStr">
        <is>
          <t>eng</t>
        </is>
      </c>
      <c r="R173" t="inlineStr">
        <is>
          <t xml:space="preserve">xx </t>
        </is>
      </c>
      <c r="S173" t="inlineStr">
        <is>
          <t>NLN pub. no. 41-1778</t>
        </is>
      </c>
      <c r="T173" t="inlineStr">
        <is>
          <t xml:space="preserve">WY </t>
        </is>
      </c>
      <c r="U173" t="n">
        <v>2</v>
      </c>
      <c r="V173" t="n">
        <v>2</v>
      </c>
      <c r="W173" t="inlineStr">
        <is>
          <t>1990-06-15</t>
        </is>
      </c>
      <c r="X173" t="inlineStr">
        <is>
          <t>1990-06-15</t>
        </is>
      </c>
      <c r="Y173" t="inlineStr">
        <is>
          <t>1987-11-12</t>
        </is>
      </c>
      <c r="Z173" t="inlineStr">
        <is>
          <t>1987-11-12</t>
        </is>
      </c>
      <c r="AA173" t="n">
        <v>82</v>
      </c>
      <c r="AB173" t="n">
        <v>68</v>
      </c>
      <c r="AC173" t="n">
        <v>68</v>
      </c>
      <c r="AD173" t="n">
        <v>1</v>
      </c>
      <c r="AE173" t="n">
        <v>1</v>
      </c>
      <c r="AF173" t="n">
        <v>2</v>
      </c>
      <c r="AG173" t="n">
        <v>2</v>
      </c>
      <c r="AH173" t="n">
        <v>1</v>
      </c>
      <c r="AI173" t="n">
        <v>1</v>
      </c>
      <c r="AJ173" t="n">
        <v>0</v>
      </c>
      <c r="AK173" t="n">
        <v>0</v>
      </c>
      <c r="AL173" t="n">
        <v>1</v>
      </c>
      <c r="AM173" t="n">
        <v>1</v>
      </c>
      <c r="AN173" t="n">
        <v>0</v>
      </c>
      <c r="AO173" t="n">
        <v>0</v>
      </c>
      <c r="AP173" t="n">
        <v>0</v>
      </c>
      <c r="AQ173" t="n">
        <v>0</v>
      </c>
      <c r="AR173" t="inlineStr">
        <is>
          <t>No</t>
        </is>
      </c>
      <c r="AS173" t="inlineStr">
        <is>
          <t>No</t>
        </is>
      </c>
      <c r="AU173">
        <f>HYPERLINK("https://creighton-primo.hosted.exlibrisgroup.com/primo-explore/search?tab=default_tab&amp;search_scope=EVERYTHING&amp;vid=01CRU&amp;lang=en_US&amp;offset=0&amp;query=any,contains,991000852439702656","Catalog Record")</f>
        <v/>
      </c>
      <c r="AV173">
        <f>HYPERLINK("http://www.worldcat.org/oclc/5165261","WorldCat Record")</f>
        <v/>
      </c>
      <c r="AW173" t="inlineStr">
        <is>
          <t>16279372:eng</t>
        </is>
      </c>
      <c r="AX173" t="inlineStr">
        <is>
          <t>5165261</t>
        </is>
      </c>
      <c r="AY173" t="inlineStr">
        <is>
          <t>991000852439702656</t>
        </is>
      </c>
      <c r="AZ173" t="inlineStr">
        <is>
          <t>991000852439702656</t>
        </is>
      </c>
      <c r="BA173" t="inlineStr">
        <is>
          <t>2260647280002656</t>
        </is>
      </c>
      <c r="BB173" t="inlineStr">
        <is>
          <t>BOOK</t>
        </is>
      </c>
      <c r="BE173" t="inlineStr">
        <is>
          <t>30001000802100</t>
        </is>
      </c>
      <c r="BF173" t="inlineStr">
        <is>
          <t>893283964</t>
        </is>
      </c>
    </row>
    <row r="174">
      <c r="A174" t="inlineStr">
        <is>
          <t>No</t>
        </is>
      </c>
      <c r="B174" t="inlineStr">
        <is>
          <t>CUHSL</t>
        </is>
      </c>
      <c r="C174" t="inlineStr">
        <is>
          <t>SHELVES</t>
        </is>
      </c>
      <c r="D174" t="inlineStr">
        <is>
          <t>WY 16 S786pa 1980</t>
        </is>
      </c>
      <c r="E174" t="inlineStr">
        <is>
          <t>0                      WY 0016000S  786pa       1980</t>
        </is>
      </c>
      <c r="F174" t="inlineStr">
        <is>
          <t>A political initiative / Marica Stanhope.</t>
        </is>
      </c>
      <c r="H174" t="inlineStr">
        <is>
          <t>No</t>
        </is>
      </c>
      <c r="I174" t="inlineStr">
        <is>
          <t>1</t>
        </is>
      </c>
      <c r="J174" t="inlineStr">
        <is>
          <t>No</t>
        </is>
      </c>
      <c r="K174" t="inlineStr">
        <is>
          <t>No</t>
        </is>
      </c>
      <c r="L174" t="inlineStr">
        <is>
          <t>0</t>
        </is>
      </c>
      <c r="M174" t="inlineStr">
        <is>
          <t>Stanhope, Marcia.</t>
        </is>
      </c>
      <c r="N174" t="inlineStr">
        <is>
          <t>New York : National League for Nursing, c1980.</t>
        </is>
      </c>
      <c r="O174" t="inlineStr">
        <is>
          <t>1980</t>
        </is>
      </c>
      <c r="Q174" t="inlineStr">
        <is>
          <t>eng</t>
        </is>
      </c>
      <c r="R174" t="inlineStr">
        <is>
          <t>xxu</t>
        </is>
      </c>
      <c r="S174" t="inlineStr">
        <is>
          <t>NLN pub. no. 41-1821</t>
        </is>
      </c>
      <c r="T174" t="inlineStr">
        <is>
          <t xml:space="preserve">WY </t>
        </is>
      </c>
      <c r="U174" t="n">
        <v>1</v>
      </c>
      <c r="V174" t="n">
        <v>1</v>
      </c>
      <c r="W174" t="inlineStr">
        <is>
          <t>2008-01-08</t>
        </is>
      </c>
      <c r="X174" t="inlineStr">
        <is>
          <t>2008-01-08</t>
        </is>
      </c>
      <c r="Y174" t="inlineStr">
        <is>
          <t>1987-11-12</t>
        </is>
      </c>
      <c r="Z174" t="inlineStr">
        <is>
          <t>1987-11-12</t>
        </is>
      </c>
      <c r="AA174" t="n">
        <v>84</v>
      </c>
      <c r="AB174" t="n">
        <v>74</v>
      </c>
      <c r="AC174" t="n">
        <v>74</v>
      </c>
      <c r="AD174" t="n">
        <v>1</v>
      </c>
      <c r="AE174" t="n">
        <v>1</v>
      </c>
      <c r="AF174" t="n">
        <v>4</v>
      </c>
      <c r="AG174" t="n">
        <v>4</v>
      </c>
      <c r="AH174" t="n">
        <v>1</v>
      </c>
      <c r="AI174" t="n">
        <v>1</v>
      </c>
      <c r="AJ174" t="n">
        <v>1</v>
      </c>
      <c r="AK174" t="n">
        <v>1</v>
      </c>
      <c r="AL174" t="n">
        <v>3</v>
      </c>
      <c r="AM174" t="n">
        <v>3</v>
      </c>
      <c r="AN174" t="n">
        <v>0</v>
      </c>
      <c r="AO174" t="n">
        <v>0</v>
      </c>
      <c r="AP174" t="n">
        <v>0</v>
      </c>
      <c r="AQ174" t="n">
        <v>0</v>
      </c>
      <c r="AR174" t="inlineStr">
        <is>
          <t>No</t>
        </is>
      </c>
      <c r="AS174" t="inlineStr">
        <is>
          <t>No</t>
        </is>
      </c>
      <c r="AU174">
        <f>HYPERLINK("https://creighton-primo.hosted.exlibrisgroup.com/primo-explore/search?tab=default_tab&amp;search_scope=EVERYTHING&amp;vid=01CRU&amp;lang=en_US&amp;offset=0&amp;query=any,contains,991001517249702656","Catalog Record")</f>
        <v/>
      </c>
      <c r="AV174">
        <f>HYPERLINK("http://www.worldcat.org/oclc/6495055","WorldCat Record")</f>
        <v/>
      </c>
      <c r="AW174" t="inlineStr">
        <is>
          <t>22661713:eng</t>
        </is>
      </c>
      <c r="AX174" t="inlineStr">
        <is>
          <t>6495055</t>
        </is>
      </c>
      <c r="AY174" t="inlineStr">
        <is>
          <t>991001517249702656</t>
        </is>
      </c>
      <c r="AZ174" t="inlineStr">
        <is>
          <t>991001517249702656</t>
        </is>
      </c>
      <c r="BA174" t="inlineStr">
        <is>
          <t>2268431020002656</t>
        </is>
      </c>
      <c r="BB174" t="inlineStr">
        <is>
          <t>BOOK</t>
        </is>
      </c>
      <c r="BE174" t="inlineStr">
        <is>
          <t>30001000600157</t>
        </is>
      </c>
      <c r="BF174" t="inlineStr">
        <is>
          <t>893465601</t>
        </is>
      </c>
    </row>
    <row r="175">
      <c r="A175" t="inlineStr">
        <is>
          <t>No</t>
        </is>
      </c>
      <c r="B175" t="inlineStr">
        <is>
          <t>CUHSL</t>
        </is>
      </c>
      <c r="C175" t="inlineStr">
        <is>
          <t>SHELVES</t>
        </is>
      </c>
      <c r="D175" t="inlineStr">
        <is>
          <t>WY 16 S937o 1982</t>
        </is>
      </c>
      <c r="E175" t="inlineStr">
        <is>
          <t>0                      WY 0016000S  937o        1982</t>
        </is>
      </c>
      <c r="F175" t="inlineStr">
        <is>
          <t>On nursing : toward a new endowment / Margretta M. Styles.</t>
        </is>
      </c>
      <c r="H175" t="inlineStr">
        <is>
          <t>No</t>
        </is>
      </c>
      <c r="I175" t="inlineStr">
        <is>
          <t>1</t>
        </is>
      </c>
      <c r="J175" t="inlineStr">
        <is>
          <t>No</t>
        </is>
      </c>
      <c r="K175" t="inlineStr">
        <is>
          <t>No</t>
        </is>
      </c>
      <c r="L175" t="inlineStr">
        <is>
          <t>0</t>
        </is>
      </c>
      <c r="M175" t="inlineStr">
        <is>
          <t>Styles, Margretta M.</t>
        </is>
      </c>
      <c r="N175" t="inlineStr">
        <is>
          <t>St. Louis : Mosby, c1982.</t>
        </is>
      </c>
      <c r="O175" t="inlineStr">
        <is>
          <t>1982</t>
        </is>
      </c>
      <c r="Q175" t="inlineStr">
        <is>
          <t>eng</t>
        </is>
      </c>
      <c r="R175" t="inlineStr">
        <is>
          <t>mou</t>
        </is>
      </c>
      <c r="T175" t="inlineStr">
        <is>
          <t xml:space="preserve">WY </t>
        </is>
      </c>
      <c r="U175" t="n">
        <v>5</v>
      </c>
      <c r="V175" t="n">
        <v>5</v>
      </c>
      <c r="W175" t="inlineStr">
        <is>
          <t>1989-06-22</t>
        </is>
      </c>
      <c r="X175" t="inlineStr">
        <is>
          <t>1989-06-22</t>
        </is>
      </c>
      <c r="Y175" t="inlineStr">
        <is>
          <t>1987-12-22</t>
        </is>
      </c>
      <c r="Z175" t="inlineStr">
        <is>
          <t>1987-12-22</t>
        </is>
      </c>
      <c r="AA175" t="n">
        <v>353</v>
      </c>
      <c r="AB175" t="n">
        <v>278</v>
      </c>
      <c r="AC175" t="n">
        <v>281</v>
      </c>
      <c r="AD175" t="n">
        <v>4</v>
      </c>
      <c r="AE175" t="n">
        <v>4</v>
      </c>
      <c r="AF175" t="n">
        <v>15</v>
      </c>
      <c r="AG175" t="n">
        <v>15</v>
      </c>
      <c r="AH175" t="n">
        <v>7</v>
      </c>
      <c r="AI175" t="n">
        <v>7</v>
      </c>
      <c r="AJ175" t="n">
        <v>1</v>
      </c>
      <c r="AK175" t="n">
        <v>1</v>
      </c>
      <c r="AL175" t="n">
        <v>8</v>
      </c>
      <c r="AM175" t="n">
        <v>8</v>
      </c>
      <c r="AN175" t="n">
        <v>2</v>
      </c>
      <c r="AO175" t="n">
        <v>2</v>
      </c>
      <c r="AP175" t="n">
        <v>0</v>
      </c>
      <c r="AQ175" t="n">
        <v>0</v>
      </c>
      <c r="AR175" t="inlineStr">
        <is>
          <t>No</t>
        </is>
      </c>
      <c r="AS175" t="inlineStr">
        <is>
          <t>Yes</t>
        </is>
      </c>
      <c r="AT175">
        <f>HYPERLINK("http://catalog.hathitrust.org/Record/000313506","HathiTrust Record")</f>
        <v/>
      </c>
      <c r="AU175">
        <f>HYPERLINK("https://creighton-primo.hosted.exlibrisgroup.com/primo-explore/search?tab=default_tab&amp;search_scope=EVERYTHING&amp;vid=01CRU&amp;lang=en_US&amp;offset=0&amp;query=any,contains,991001034839702656","Catalog Record")</f>
        <v/>
      </c>
      <c r="AV175">
        <f>HYPERLINK("http://www.worldcat.org/oclc/7944793","WorldCat Record")</f>
        <v/>
      </c>
      <c r="AW175" t="inlineStr">
        <is>
          <t>18619528:eng</t>
        </is>
      </c>
      <c r="AX175" t="inlineStr">
        <is>
          <t>7944793</t>
        </is>
      </c>
      <c r="AY175" t="inlineStr">
        <is>
          <t>991001034839702656</t>
        </is>
      </c>
      <c r="AZ175" t="inlineStr">
        <is>
          <t>991001034839702656</t>
        </is>
      </c>
      <c r="BA175" t="inlineStr">
        <is>
          <t>2271721710002656</t>
        </is>
      </c>
      <c r="BB175" t="inlineStr">
        <is>
          <t>BOOK</t>
        </is>
      </c>
      <c r="BD175" t="inlineStr">
        <is>
          <t>9780801648748</t>
        </is>
      </c>
      <c r="BE175" t="inlineStr">
        <is>
          <t>30001000240574</t>
        </is>
      </c>
      <c r="BF175" t="inlineStr">
        <is>
          <t>893727192</t>
        </is>
      </c>
    </row>
    <row r="176">
      <c r="A176" t="inlineStr">
        <is>
          <t>No</t>
        </is>
      </c>
      <c r="B176" t="inlineStr">
        <is>
          <t>CUHSL</t>
        </is>
      </c>
      <c r="C176" t="inlineStr">
        <is>
          <t>SHELVES</t>
        </is>
      </c>
      <c r="D176" t="inlineStr">
        <is>
          <t>WY 16 S963 1994</t>
        </is>
      </c>
      <c r="E176" t="inlineStr">
        <is>
          <t>0                      WY 0016000S  963         1994</t>
        </is>
      </c>
      <c r="F176" t="inlineStr">
        <is>
          <t>Survey of certified nurse practitioners and clinical nurse specialists : December 1992 / prepared by Washington Consulting Group.</t>
        </is>
      </c>
      <c r="H176" t="inlineStr">
        <is>
          <t>No</t>
        </is>
      </c>
      <c r="I176" t="inlineStr">
        <is>
          <t>1</t>
        </is>
      </c>
      <c r="J176" t="inlineStr">
        <is>
          <t>No</t>
        </is>
      </c>
      <c r="K176" t="inlineStr">
        <is>
          <t>No</t>
        </is>
      </c>
      <c r="L176" t="inlineStr">
        <is>
          <t>0</t>
        </is>
      </c>
      <c r="N176" t="inlineStr">
        <is>
          <t>Washington, D.C. : The Group, 1994.</t>
        </is>
      </c>
      <c r="O176" t="inlineStr">
        <is>
          <t>1994</t>
        </is>
      </c>
      <c r="Q176" t="inlineStr">
        <is>
          <t>eng</t>
        </is>
      </c>
      <c r="R176" t="inlineStr">
        <is>
          <t>dcu</t>
        </is>
      </c>
      <c r="T176" t="inlineStr">
        <is>
          <t xml:space="preserve">WY </t>
        </is>
      </c>
      <c r="U176" t="n">
        <v>5</v>
      </c>
      <c r="V176" t="n">
        <v>5</v>
      </c>
      <c r="W176" t="inlineStr">
        <is>
          <t>2001-03-30</t>
        </is>
      </c>
      <c r="X176" t="inlineStr">
        <is>
          <t>2001-03-30</t>
        </is>
      </c>
      <c r="Y176" t="inlineStr">
        <is>
          <t>1994-06-09</t>
        </is>
      </c>
      <c r="Z176" t="inlineStr">
        <is>
          <t>1994-06-09</t>
        </is>
      </c>
      <c r="AA176" t="n">
        <v>11</v>
      </c>
      <c r="AB176" t="n">
        <v>11</v>
      </c>
      <c r="AC176" t="n">
        <v>11</v>
      </c>
      <c r="AD176" t="n">
        <v>1</v>
      </c>
      <c r="AE176" t="n">
        <v>1</v>
      </c>
      <c r="AF176" t="n">
        <v>0</v>
      </c>
      <c r="AG176" t="n">
        <v>0</v>
      </c>
      <c r="AH176" t="n">
        <v>0</v>
      </c>
      <c r="AI176" t="n">
        <v>0</v>
      </c>
      <c r="AJ176" t="n">
        <v>0</v>
      </c>
      <c r="AK176" t="n">
        <v>0</v>
      </c>
      <c r="AL176" t="n">
        <v>0</v>
      </c>
      <c r="AM176" t="n">
        <v>0</v>
      </c>
      <c r="AN176" t="n">
        <v>0</v>
      </c>
      <c r="AO176" t="n">
        <v>0</v>
      </c>
      <c r="AP176" t="n">
        <v>0</v>
      </c>
      <c r="AQ176" t="n">
        <v>0</v>
      </c>
      <c r="AR176" t="inlineStr">
        <is>
          <t>No</t>
        </is>
      </c>
      <c r="AS176" t="inlineStr">
        <is>
          <t>No</t>
        </is>
      </c>
      <c r="AU176">
        <f>HYPERLINK("https://creighton-primo.hosted.exlibrisgroup.com/primo-explore/search?tab=default_tab&amp;search_scope=EVERYTHING&amp;vid=01CRU&amp;lang=en_US&amp;offset=0&amp;query=any,contains,991001193499702656","Catalog Record")</f>
        <v/>
      </c>
      <c r="AV176">
        <f>HYPERLINK("http://www.worldcat.org/oclc/31380776","WorldCat Record")</f>
        <v/>
      </c>
      <c r="AW176" t="inlineStr">
        <is>
          <t>33510343:eng</t>
        </is>
      </c>
      <c r="AX176" t="inlineStr">
        <is>
          <t>31380776</t>
        </is>
      </c>
      <c r="AY176" t="inlineStr">
        <is>
          <t>991001193499702656</t>
        </is>
      </c>
      <c r="AZ176" t="inlineStr">
        <is>
          <t>991001193499702656</t>
        </is>
      </c>
      <c r="BA176" t="inlineStr">
        <is>
          <t>2267096000002656</t>
        </is>
      </c>
      <c r="BB176" t="inlineStr">
        <is>
          <t>BOOK</t>
        </is>
      </c>
      <c r="BE176" t="inlineStr">
        <is>
          <t>30001002983858</t>
        </is>
      </c>
      <c r="BF176" t="inlineStr">
        <is>
          <t>893134332</t>
        </is>
      </c>
    </row>
    <row r="177">
      <c r="A177" t="inlineStr">
        <is>
          <t>No</t>
        </is>
      </c>
      <c r="B177" t="inlineStr">
        <is>
          <t>CUHSL</t>
        </is>
      </c>
      <c r="C177" t="inlineStr">
        <is>
          <t>SHELVES</t>
        </is>
      </c>
      <c r="D177" t="inlineStr">
        <is>
          <t>WY 16 T239f 2001</t>
        </is>
      </c>
      <c r="E177" t="inlineStr">
        <is>
          <t>0                      WY 0016000T  239f        2001</t>
        </is>
      </c>
      <c r="F177" t="inlineStr">
        <is>
          <t>Fundamentals of nursing : the art &amp; science of nursing care / Carol Taylor, Carol Lillis, Priscilla LeMone.</t>
        </is>
      </c>
      <c r="H177" t="inlineStr">
        <is>
          <t>No</t>
        </is>
      </c>
      <c r="I177" t="inlineStr">
        <is>
          <t>1</t>
        </is>
      </c>
      <c r="J177" t="inlineStr">
        <is>
          <t>No</t>
        </is>
      </c>
      <c r="K177" t="inlineStr">
        <is>
          <t>Yes</t>
        </is>
      </c>
      <c r="L177" t="inlineStr">
        <is>
          <t>0</t>
        </is>
      </c>
      <c r="M177" t="inlineStr">
        <is>
          <t>Taylor, Carol (Carol R.)</t>
        </is>
      </c>
      <c r="N177" t="inlineStr">
        <is>
          <t>Philadelphia : Lippincott, c2001.</t>
        </is>
      </c>
      <c r="O177" t="inlineStr">
        <is>
          <t>2001</t>
        </is>
      </c>
      <c r="P177" t="inlineStr">
        <is>
          <t>4th ed.</t>
        </is>
      </c>
      <c r="Q177" t="inlineStr">
        <is>
          <t>eng</t>
        </is>
      </c>
      <c r="R177" t="inlineStr">
        <is>
          <t>pau</t>
        </is>
      </c>
      <c r="T177" t="inlineStr">
        <is>
          <t xml:space="preserve">WY </t>
        </is>
      </c>
      <c r="U177" t="n">
        <v>4</v>
      </c>
      <c r="V177" t="n">
        <v>4</v>
      </c>
      <c r="W177" t="inlineStr">
        <is>
          <t>2009-05-26</t>
        </is>
      </c>
      <c r="X177" t="inlineStr">
        <is>
          <t>2009-05-26</t>
        </is>
      </c>
      <c r="Y177" t="inlineStr">
        <is>
          <t>2002-10-18</t>
        </is>
      </c>
      <c r="Z177" t="inlineStr">
        <is>
          <t>2002-10-18</t>
        </is>
      </c>
      <c r="AA177" t="n">
        <v>284</v>
      </c>
      <c r="AB177" t="n">
        <v>199</v>
      </c>
      <c r="AC177" t="n">
        <v>893</v>
      </c>
      <c r="AD177" t="n">
        <v>1</v>
      </c>
      <c r="AE177" t="n">
        <v>3</v>
      </c>
      <c r="AF177" t="n">
        <v>5</v>
      </c>
      <c r="AG177" t="n">
        <v>17</v>
      </c>
      <c r="AH177" t="n">
        <v>1</v>
      </c>
      <c r="AI177" t="n">
        <v>4</v>
      </c>
      <c r="AJ177" t="n">
        <v>1</v>
      </c>
      <c r="AK177" t="n">
        <v>5</v>
      </c>
      <c r="AL177" t="n">
        <v>4</v>
      </c>
      <c r="AM177" t="n">
        <v>12</v>
      </c>
      <c r="AN177" t="n">
        <v>0</v>
      </c>
      <c r="AO177" t="n">
        <v>1</v>
      </c>
      <c r="AP177" t="n">
        <v>0</v>
      </c>
      <c r="AQ177" t="n">
        <v>0</v>
      </c>
      <c r="AR177" t="inlineStr">
        <is>
          <t>No</t>
        </is>
      </c>
      <c r="AS177" t="inlineStr">
        <is>
          <t>Yes</t>
        </is>
      </c>
      <c r="AT177">
        <f>HYPERLINK("http://catalog.hathitrust.org/Record/004142602","HathiTrust Record")</f>
        <v/>
      </c>
      <c r="AU177">
        <f>HYPERLINK("https://creighton-primo.hosted.exlibrisgroup.com/primo-explore/search?tab=default_tab&amp;search_scope=EVERYTHING&amp;vid=01CRU&amp;lang=en_US&amp;offset=0&amp;query=any,contains,991000331129702656","Catalog Record")</f>
        <v/>
      </c>
      <c r="AV177">
        <f>HYPERLINK("http://www.worldcat.org/oclc/44545226","WorldCat Record")</f>
        <v/>
      </c>
      <c r="AW177" t="inlineStr">
        <is>
          <t>796301440:eng</t>
        </is>
      </c>
      <c r="AX177" t="inlineStr">
        <is>
          <t>44545226</t>
        </is>
      </c>
      <c r="AY177" t="inlineStr">
        <is>
          <t>991000331129702656</t>
        </is>
      </c>
      <c r="AZ177" t="inlineStr">
        <is>
          <t>991000331129702656</t>
        </is>
      </c>
      <c r="BA177" t="inlineStr">
        <is>
          <t>2258628990002656</t>
        </is>
      </c>
      <c r="BB177" t="inlineStr">
        <is>
          <t>BOOK</t>
        </is>
      </c>
      <c r="BD177" t="inlineStr">
        <is>
          <t>9780781722735</t>
        </is>
      </c>
      <c r="BE177" t="inlineStr">
        <is>
          <t>30001004498954</t>
        </is>
      </c>
      <c r="BF177" t="inlineStr">
        <is>
          <t>893456572</t>
        </is>
      </c>
    </row>
    <row r="178">
      <c r="A178" t="inlineStr">
        <is>
          <t>No</t>
        </is>
      </c>
      <c r="B178" t="inlineStr">
        <is>
          <t>CUHSL</t>
        </is>
      </c>
      <c r="C178" t="inlineStr">
        <is>
          <t>SHELVES</t>
        </is>
      </c>
      <c r="D178" t="inlineStr">
        <is>
          <t>WY16 T239f 2005</t>
        </is>
      </c>
      <c r="E178" t="inlineStr">
        <is>
          <t>0                      WY 0016000T  239f        2005</t>
        </is>
      </c>
      <c r="F178" t="inlineStr">
        <is>
          <t>Fundamentals of nursing : the art and science of nursing care / Carol Taylor, Carol Lillis, Priscilla LeMone.</t>
        </is>
      </c>
      <c r="H178" t="inlineStr">
        <is>
          <t>No</t>
        </is>
      </c>
      <c r="I178" t="inlineStr">
        <is>
          <t>1</t>
        </is>
      </c>
      <c r="J178" t="inlineStr">
        <is>
          <t>No</t>
        </is>
      </c>
      <c r="K178" t="inlineStr">
        <is>
          <t>Yes</t>
        </is>
      </c>
      <c r="L178" t="inlineStr">
        <is>
          <t>0</t>
        </is>
      </c>
      <c r="M178" t="inlineStr">
        <is>
          <t>Taylor, Carol (Carol R.)</t>
        </is>
      </c>
      <c r="N178" t="inlineStr">
        <is>
          <t>Philadelphia, PA : Lippincott Williams &amp; Wilkins, c2005.</t>
        </is>
      </c>
      <c r="O178" t="inlineStr">
        <is>
          <t>2005</t>
        </is>
      </c>
      <c r="P178" t="inlineStr">
        <is>
          <t>5th ed.</t>
        </is>
      </c>
      <c r="Q178" t="inlineStr">
        <is>
          <t>eng</t>
        </is>
      </c>
      <c r="R178" t="inlineStr">
        <is>
          <t>pau</t>
        </is>
      </c>
      <c r="T178" t="inlineStr">
        <is>
          <t xml:space="preserve">WY </t>
        </is>
      </c>
      <c r="U178" t="n">
        <v>2</v>
      </c>
      <c r="V178" t="n">
        <v>2</v>
      </c>
      <c r="W178" t="inlineStr">
        <is>
          <t>2008-07-10</t>
        </is>
      </c>
      <c r="X178" t="inlineStr">
        <is>
          <t>2008-07-10</t>
        </is>
      </c>
      <c r="Y178" t="inlineStr">
        <is>
          <t>2004-09-17</t>
        </is>
      </c>
      <c r="Z178" t="inlineStr">
        <is>
          <t>2004-09-17</t>
        </is>
      </c>
      <c r="AA178" t="n">
        <v>286</v>
      </c>
      <c r="AB178" t="n">
        <v>214</v>
      </c>
      <c r="AC178" t="n">
        <v>893</v>
      </c>
      <c r="AD178" t="n">
        <v>2</v>
      </c>
      <c r="AE178" t="n">
        <v>3</v>
      </c>
      <c r="AF178" t="n">
        <v>7</v>
      </c>
      <c r="AG178" t="n">
        <v>17</v>
      </c>
      <c r="AH178" t="n">
        <v>2</v>
      </c>
      <c r="AI178" t="n">
        <v>4</v>
      </c>
      <c r="AJ178" t="n">
        <v>1</v>
      </c>
      <c r="AK178" t="n">
        <v>5</v>
      </c>
      <c r="AL178" t="n">
        <v>5</v>
      </c>
      <c r="AM178" t="n">
        <v>12</v>
      </c>
      <c r="AN178" t="n">
        <v>1</v>
      </c>
      <c r="AO178" t="n">
        <v>1</v>
      </c>
      <c r="AP178" t="n">
        <v>0</v>
      </c>
      <c r="AQ178" t="n">
        <v>0</v>
      </c>
      <c r="AR178" t="inlineStr">
        <is>
          <t>No</t>
        </is>
      </c>
      <c r="AS178" t="inlineStr">
        <is>
          <t>No</t>
        </is>
      </c>
      <c r="AU178">
        <f>HYPERLINK("https://creighton-primo.hosted.exlibrisgroup.com/primo-explore/search?tab=default_tab&amp;search_scope=EVERYTHING&amp;vid=01CRU&amp;lang=en_US&amp;offset=0&amp;query=any,contains,991001729909702656","Catalog Record")</f>
        <v/>
      </c>
      <c r="AV178">
        <f>HYPERLINK("http://www.worldcat.org/oclc/54408079","WorldCat Record")</f>
        <v/>
      </c>
      <c r="AW178" t="inlineStr">
        <is>
          <t>796301440:eng</t>
        </is>
      </c>
      <c r="AX178" t="inlineStr">
        <is>
          <t>54408079</t>
        </is>
      </c>
      <c r="AY178" t="inlineStr">
        <is>
          <t>991001729909702656</t>
        </is>
      </c>
      <c r="AZ178" t="inlineStr">
        <is>
          <t>991001729909702656</t>
        </is>
      </c>
      <c r="BA178" t="inlineStr">
        <is>
          <t>2258361120002656</t>
        </is>
      </c>
      <c r="BB178" t="inlineStr">
        <is>
          <t>BOOK</t>
        </is>
      </c>
      <c r="BD178" t="inlineStr">
        <is>
          <t>9780781744805</t>
        </is>
      </c>
      <c r="BE178" t="inlineStr">
        <is>
          <t>30001004922979</t>
        </is>
      </c>
      <c r="BF178" t="inlineStr">
        <is>
          <t>893826941</t>
        </is>
      </c>
    </row>
    <row r="179">
      <c r="A179" t="inlineStr">
        <is>
          <t>No</t>
        </is>
      </c>
      <c r="B179" t="inlineStr">
        <is>
          <t>CUHSL</t>
        </is>
      </c>
      <c r="C179" t="inlineStr">
        <is>
          <t>SHELVES</t>
        </is>
      </c>
      <c r="D179" t="inlineStr">
        <is>
          <t>WY 16 W331c 1987</t>
        </is>
      </c>
      <c r="E179" t="inlineStr">
        <is>
          <t>0                      WY 0016000W  331c        1987</t>
        </is>
      </c>
      <c r="F179" t="inlineStr">
        <is>
          <t>Competencies of the associate degree nurse : valid definers of entry-level nursing practice / Verle Waters and Sharlene Limon.</t>
        </is>
      </c>
      <c r="H179" t="inlineStr">
        <is>
          <t>No</t>
        </is>
      </c>
      <c r="I179" t="inlineStr">
        <is>
          <t>1</t>
        </is>
      </c>
      <c r="J179" t="inlineStr">
        <is>
          <t>No</t>
        </is>
      </c>
      <c r="K179" t="inlineStr">
        <is>
          <t>No</t>
        </is>
      </c>
      <c r="L179" t="inlineStr">
        <is>
          <t>0</t>
        </is>
      </c>
      <c r="M179" t="inlineStr">
        <is>
          <t>Waters, Verle H.</t>
        </is>
      </c>
      <c r="N179" t="inlineStr">
        <is>
          <t>New York : National League for Nursing, c1987.</t>
        </is>
      </c>
      <c r="O179" t="inlineStr">
        <is>
          <t>1987</t>
        </is>
      </c>
      <c r="Q179" t="inlineStr">
        <is>
          <t>eng</t>
        </is>
      </c>
      <c r="R179" t="inlineStr">
        <is>
          <t>nyu</t>
        </is>
      </c>
      <c r="S179" t="inlineStr">
        <is>
          <t>NLN pub. no. 23-2172.</t>
        </is>
      </c>
      <c r="T179" t="inlineStr">
        <is>
          <t xml:space="preserve">WY </t>
        </is>
      </c>
      <c r="U179" t="n">
        <v>3</v>
      </c>
      <c r="V179" t="n">
        <v>3</v>
      </c>
      <c r="W179" t="inlineStr">
        <is>
          <t>1989-10-30</t>
        </is>
      </c>
      <c r="X179" t="inlineStr">
        <is>
          <t>1989-10-30</t>
        </is>
      </c>
      <c r="Y179" t="inlineStr">
        <is>
          <t>1987-11-09</t>
        </is>
      </c>
      <c r="Z179" t="inlineStr">
        <is>
          <t>1987-11-09</t>
        </is>
      </c>
      <c r="AA179" t="n">
        <v>138</v>
      </c>
      <c r="AB179" t="n">
        <v>126</v>
      </c>
      <c r="AC179" t="n">
        <v>128</v>
      </c>
      <c r="AD179" t="n">
        <v>1</v>
      </c>
      <c r="AE179" t="n">
        <v>1</v>
      </c>
      <c r="AF179" t="n">
        <v>6</v>
      </c>
      <c r="AG179" t="n">
        <v>6</v>
      </c>
      <c r="AH179" t="n">
        <v>1</v>
      </c>
      <c r="AI179" t="n">
        <v>1</v>
      </c>
      <c r="AJ179" t="n">
        <v>1</v>
      </c>
      <c r="AK179" t="n">
        <v>1</v>
      </c>
      <c r="AL179" t="n">
        <v>5</v>
      </c>
      <c r="AM179" t="n">
        <v>5</v>
      </c>
      <c r="AN179" t="n">
        <v>0</v>
      </c>
      <c r="AO179" t="n">
        <v>0</v>
      </c>
      <c r="AP179" t="n">
        <v>0</v>
      </c>
      <c r="AQ179" t="n">
        <v>0</v>
      </c>
      <c r="AR179" t="inlineStr">
        <is>
          <t>No</t>
        </is>
      </c>
      <c r="AS179" t="inlineStr">
        <is>
          <t>Yes</t>
        </is>
      </c>
      <c r="AT179">
        <f>HYPERLINK("http://catalog.hathitrust.org/Record/002506681","HathiTrust Record")</f>
        <v/>
      </c>
      <c r="AU179">
        <f>HYPERLINK("https://creighton-primo.hosted.exlibrisgroup.com/primo-explore/search?tab=default_tab&amp;search_scope=EVERYTHING&amp;vid=01CRU&amp;lang=en_US&amp;offset=0&amp;query=any,contains,991001389339702656","Catalog Record")</f>
        <v/>
      </c>
      <c r="AV179">
        <f>HYPERLINK("http://www.worldcat.org/oclc/15116789","WorldCat Record")</f>
        <v/>
      </c>
      <c r="AW179" t="inlineStr">
        <is>
          <t>312569355:eng</t>
        </is>
      </c>
      <c r="AX179" t="inlineStr">
        <is>
          <t>15116789</t>
        </is>
      </c>
      <c r="AY179" t="inlineStr">
        <is>
          <t>991001389339702656</t>
        </is>
      </c>
      <c r="AZ179" t="inlineStr">
        <is>
          <t>991001389339702656</t>
        </is>
      </c>
      <c r="BA179" t="inlineStr">
        <is>
          <t>2262865510002656</t>
        </is>
      </c>
      <c r="BB179" t="inlineStr">
        <is>
          <t>BOOK</t>
        </is>
      </c>
      <c r="BD179" t="inlineStr">
        <is>
          <t>9780887373428</t>
        </is>
      </c>
      <c r="BE179" t="inlineStr">
        <is>
          <t>30001000464570</t>
        </is>
      </c>
      <c r="BF179" t="inlineStr">
        <is>
          <t>893364050</t>
        </is>
      </c>
    </row>
    <row r="180">
      <c r="A180" t="inlineStr">
        <is>
          <t>No</t>
        </is>
      </c>
      <c r="B180" t="inlineStr">
        <is>
          <t>CUHSL</t>
        </is>
      </c>
      <c r="C180" t="inlineStr">
        <is>
          <t>SHELVES</t>
        </is>
      </c>
      <c r="D180" t="inlineStr">
        <is>
          <t>WY 16 W6273 1993</t>
        </is>
      </c>
      <c r="E180" t="inlineStr">
        <is>
          <t>0                      WY 0016000W  6273        1993</t>
        </is>
      </c>
      <c r="F180" t="inlineStr">
        <is>
          <t>Who gets health care? : an arena for nursing action / Barbara Kos-Munson, editor.</t>
        </is>
      </c>
      <c r="H180" t="inlineStr">
        <is>
          <t>No</t>
        </is>
      </c>
      <c r="I180" t="inlineStr">
        <is>
          <t>1</t>
        </is>
      </c>
      <c r="J180" t="inlineStr">
        <is>
          <t>No</t>
        </is>
      </c>
      <c r="K180" t="inlineStr">
        <is>
          <t>No</t>
        </is>
      </c>
      <c r="L180" t="inlineStr">
        <is>
          <t>0</t>
        </is>
      </c>
      <c r="N180" t="inlineStr">
        <is>
          <t>New York : Springer Pub. Co., c1993.</t>
        </is>
      </c>
      <c r="O180" t="inlineStr">
        <is>
          <t>1993</t>
        </is>
      </c>
      <c r="Q180" t="inlineStr">
        <is>
          <t>eng</t>
        </is>
      </c>
      <c r="R180" t="inlineStr">
        <is>
          <t>nyu</t>
        </is>
      </c>
      <c r="T180" t="inlineStr">
        <is>
          <t xml:space="preserve">WY </t>
        </is>
      </c>
      <c r="U180" t="n">
        <v>5</v>
      </c>
      <c r="V180" t="n">
        <v>5</v>
      </c>
      <c r="W180" t="inlineStr">
        <is>
          <t>1999-03-30</t>
        </is>
      </c>
      <c r="X180" t="inlineStr">
        <is>
          <t>1999-03-30</t>
        </is>
      </c>
      <c r="Y180" t="inlineStr">
        <is>
          <t>1995-05-12</t>
        </is>
      </c>
      <c r="Z180" t="inlineStr">
        <is>
          <t>1995-05-12</t>
        </is>
      </c>
      <c r="AA180" t="n">
        <v>226</v>
      </c>
      <c r="AB180" t="n">
        <v>196</v>
      </c>
      <c r="AC180" t="n">
        <v>198</v>
      </c>
      <c r="AD180" t="n">
        <v>1</v>
      </c>
      <c r="AE180" t="n">
        <v>1</v>
      </c>
      <c r="AF180" t="n">
        <v>12</v>
      </c>
      <c r="AG180" t="n">
        <v>12</v>
      </c>
      <c r="AH180" t="n">
        <v>5</v>
      </c>
      <c r="AI180" t="n">
        <v>5</v>
      </c>
      <c r="AJ180" t="n">
        <v>2</v>
      </c>
      <c r="AK180" t="n">
        <v>2</v>
      </c>
      <c r="AL180" t="n">
        <v>9</v>
      </c>
      <c r="AM180" t="n">
        <v>9</v>
      </c>
      <c r="AN180" t="n">
        <v>0</v>
      </c>
      <c r="AO180" t="n">
        <v>0</v>
      </c>
      <c r="AP180" t="n">
        <v>0</v>
      </c>
      <c r="AQ180" t="n">
        <v>0</v>
      </c>
      <c r="AR180" t="inlineStr">
        <is>
          <t>No</t>
        </is>
      </c>
      <c r="AS180" t="inlineStr">
        <is>
          <t>Yes</t>
        </is>
      </c>
      <c r="AT180">
        <f>HYPERLINK("http://catalog.hathitrust.org/Record/002620117","HathiTrust Record")</f>
        <v/>
      </c>
      <c r="AU180">
        <f>HYPERLINK("https://creighton-primo.hosted.exlibrisgroup.com/primo-explore/search?tab=default_tab&amp;search_scope=EVERYTHING&amp;vid=01CRU&amp;lang=en_US&amp;offset=0&amp;query=any,contains,991001400399702656","Catalog Record")</f>
        <v/>
      </c>
      <c r="AV180">
        <f>HYPERLINK("http://www.worldcat.org/oclc/26935139","WorldCat Record")</f>
        <v/>
      </c>
      <c r="AW180" t="inlineStr">
        <is>
          <t>793979035:eng</t>
        </is>
      </c>
      <c r="AX180" t="inlineStr">
        <is>
          <t>26935139</t>
        </is>
      </c>
      <c r="AY180" t="inlineStr">
        <is>
          <t>991001400399702656</t>
        </is>
      </c>
      <c r="AZ180" t="inlineStr">
        <is>
          <t>991001400399702656</t>
        </is>
      </c>
      <c r="BA180" t="inlineStr">
        <is>
          <t>2262489290002656</t>
        </is>
      </c>
      <c r="BB180" t="inlineStr">
        <is>
          <t>BOOK</t>
        </is>
      </c>
      <c r="BD180" t="inlineStr">
        <is>
          <t>9780826182401</t>
        </is>
      </c>
      <c r="BE180" t="inlineStr">
        <is>
          <t>30001003147792</t>
        </is>
      </c>
      <c r="BF180" t="inlineStr">
        <is>
          <t>893364054</t>
        </is>
      </c>
    </row>
    <row r="181">
      <c r="A181" t="inlineStr">
        <is>
          <t>No</t>
        </is>
      </c>
      <c r="B181" t="inlineStr">
        <is>
          <t>CUHSL</t>
        </is>
      </c>
      <c r="C181" t="inlineStr">
        <is>
          <t>SHELVES</t>
        </is>
      </c>
      <c r="D181" t="inlineStr">
        <is>
          <t>WY16 W872 2003</t>
        </is>
      </c>
      <c r="E181" t="inlineStr">
        <is>
          <t>0                      WY 0016000W  872         2003</t>
        </is>
      </c>
      <c r="F181" t="inlineStr">
        <is>
          <t>Women in nursing in Islamic societies / edited by Nancy H. Bryant.</t>
        </is>
      </c>
      <c r="H181" t="inlineStr">
        <is>
          <t>No</t>
        </is>
      </c>
      <c r="I181" t="inlineStr">
        <is>
          <t>1</t>
        </is>
      </c>
      <c r="J181" t="inlineStr">
        <is>
          <t>No</t>
        </is>
      </c>
      <c r="K181" t="inlineStr">
        <is>
          <t>No</t>
        </is>
      </c>
      <c r="L181" t="inlineStr">
        <is>
          <t>0</t>
        </is>
      </c>
      <c r="N181" t="inlineStr">
        <is>
          <t>Karachi ; New York : Oxford University Press, 2003.</t>
        </is>
      </c>
      <c r="O181" t="inlineStr">
        <is>
          <t>2003</t>
        </is>
      </c>
      <c r="Q181" t="inlineStr">
        <is>
          <t>eng</t>
        </is>
      </c>
      <c r="R181" t="inlineStr">
        <is>
          <t xml:space="preserve">pk </t>
        </is>
      </c>
      <c r="T181" t="inlineStr">
        <is>
          <t xml:space="preserve">WY </t>
        </is>
      </c>
      <c r="U181" t="n">
        <v>0</v>
      </c>
      <c r="V181" t="n">
        <v>0</v>
      </c>
      <c r="W181" t="inlineStr">
        <is>
          <t>2007-05-08</t>
        </is>
      </c>
      <c r="X181" t="inlineStr">
        <is>
          <t>2007-05-08</t>
        </is>
      </c>
      <c r="Y181" t="inlineStr">
        <is>
          <t>2007-01-29</t>
        </is>
      </c>
      <c r="Z181" t="inlineStr">
        <is>
          <t>2007-01-29</t>
        </is>
      </c>
      <c r="AA181" t="n">
        <v>80</v>
      </c>
      <c r="AB181" t="n">
        <v>55</v>
      </c>
      <c r="AC181" t="n">
        <v>150</v>
      </c>
      <c r="AD181" t="n">
        <v>1</v>
      </c>
      <c r="AE181" t="n">
        <v>3</v>
      </c>
      <c r="AF181" t="n">
        <v>0</v>
      </c>
      <c r="AG181" t="n">
        <v>8</v>
      </c>
      <c r="AH181" t="n">
        <v>0</v>
      </c>
      <c r="AI181" t="n">
        <v>0</v>
      </c>
      <c r="AJ181" t="n">
        <v>0</v>
      </c>
      <c r="AK181" t="n">
        <v>3</v>
      </c>
      <c r="AL181" t="n">
        <v>0</v>
      </c>
      <c r="AM181" t="n">
        <v>4</v>
      </c>
      <c r="AN181" t="n">
        <v>0</v>
      </c>
      <c r="AO181" t="n">
        <v>1</v>
      </c>
      <c r="AP181" t="n">
        <v>0</v>
      </c>
      <c r="AQ181" t="n">
        <v>0</v>
      </c>
      <c r="AR181" t="inlineStr">
        <is>
          <t>No</t>
        </is>
      </c>
      <c r="AS181" t="inlineStr">
        <is>
          <t>No</t>
        </is>
      </c>
      <c r="AU181">
        <f>HYPERLINK("https://creighton-primo.hosted.exlibrisgroup.com/primo-explore/search?tab=default_tab&amp;search_scope=EVERYTHING&amp;vid=01CRU&amp;lang=en_US&amp;offset=0&amp;query=any,contains,991000588669702656","Catalog Record")</f>
        <v/>
      </c>
      <c r="AV181">
        <f>HYPERLINK("http://www.worldcat.org/oclc/52901759","WorldCat Record")</f>
        <v/>
      </c>
      <c r="AW181" t="inlineStr">
        <is>
          <t>437905400:eng</t>
        </is>
      </c>
      <c r="AX181" t="inlineStr">
        <is>
          <t>52901759</t>
        </is>
      </c>
      <c r="AY181" t="inlineStr">
        <is>
          <t>991000588669702656</t>
        </is>
      </c>
      <c r="AZ181" t="inlineStr">
        <is>
          <t>991000588669702656</t>
        </is>
      </c>
      <c r="BA181" t="inlineStr">
        <is>
          <t>2260794250002656</t>
        </is>
      </c>
      <c r="BB181" t="inlineStr">
        <is>
          <t>BOOK</t>
        </is>
      </c>
      <c r="BD181" t="inlineStr">
        <is>
          <t>9780195798883</t>
        </is>
      </c>
      <c r="BE181" t="inlineStr">
        <is>
          <t>30001005175965</t>
        </is>
      </c>
      <c r="BF181" t="inlineStr">
        <is>
          <t>893282770</t>
        </is>
      </c>
    </row>
    <row r="182">
      <c r="A182" t="inlineStr">
        <is>
          <t>No</t>
        </is>
      </c>
      <c r="B182" t="inlineStr">
        <is>
          <t>CUHSL</t>
        </is>
      </c>
      <c r="C182" t="inlineStr">
        <is>
          <t>SHELVES</t>
        </is>
      </c>
      <c r="D182" t="inlineStr">
        <is>
          <t>WY 16 Y82 1976</t>
        </is>
      </c>
      <c r="E182" t="inlineStr">
        <is>
          <t>0                      WY 0016000Y  82          1976</t>
        </is>
      </c>
      <c r="F182" t="inlineStr">
        <is>
          <t>Your career in nursing.</t>
        </is>
      </c>
      <c r="H182" t="inlineStr">
        <is>
          <t>No</t>
        </is>
      </c>
      <c r="I182" t="inlineStr">
        <is>
          <t>1</t>
        </is>
      </c>
      <c r="J182" t="inlineStr">
        <is>
          <t>No</t>
        </is>
      </c>
      <c r="K182" t="inlineStr">
        <is>
          <t>No</t>
        </is>
      </c>
      <c r="L182" t="inlineStr">
        <is>
          <t>0</t>
        </is>
      </c>
      <c r="N182" t="inlineStr">
        <is>
          <t>New York : National League for Nursing, c1976.</t>
        </is>
      </c>
      <c r="O182" t="inlineStr">
        <is>
          <t>1976</t>
        </is>
      </c>
      <c r="Q182" t="inlineStr">
        <is>
          <t>eng</t>
        </is>
      </c>
      <c r="R182" t="inlineStr">
        <is>
          <t>nyu</t>
        </is>
      </c>
      <c r="S182" t="inlineStr">
        <is>
          <t>NLN pub. no. 41-1562</t>
        </is>
      </c>
      <c r="T182" t="inlineStr">
        <is>
          <t xml:space="preserve">WY </t>
        </is>
      </c>
      <c r="U182" t="n">
        <v>2</v>
      </c>
      <c r="V182" t="n">
        <v>2</v>
      </c>
      <c r="W182" t="inlineStr">
        <is>
          <t>1990-06-25</t>
        </is>
      </c>
      <c r="X182" t="inlineStr">
        <is>
          <t>1990-06-25</t>
        </is>
      </c>
      <c r="Y182" t="inlineStr">
        <is>
          <t>1987-11-12</t>
        </is>
      </c>
      <c r="Z182" t="inlineStr">
        <is>
          <t>1987-11-12</t>
        </is>
      </c>
      <c r="AA182" t="n">
        <v>33</v>
      </c>
      <c r="AB182" t="n">
        <v>31</v>
      </c>
      <c r="AC182" t="n">
        <v>31</v>
      </c>
      <c r="AD182" t="n">
        <v>1</v>
      </c>
      <c r="AE182" t="n">
        <v>1</v>
      </c>
      <c r="AF182" t="n">
        <v>2</v>
      </c>
      <c r="AG182" t="n">
        <v>2</v>
      </c>
      <c r="AH182" t="n">
        <v>0</v>
      </c>
      <c r="AI182" t="n">
        <v>0</v>
      </c>
      <c r="AJ182" t="n">
        <v>0</v>
      </c>
      <c r="AK182" t="n">
        <v>0</v>
      </c>
      <c r="AL182" t="n">
        <v>2</v>
      </c>
      <c r="AM182" t="n">
        <v>2</v>
      </c>
      <c r="AN182" t="n">
        <v>0</v>
      </c>
      <c r="AO182" t="n">
        <v>0</v>
      </c>
      <c r="AP182" t="n">
        <v>0</v>
      </c>
      <c r="AQ182" t="n">
        <v>0</v>
      </c>
      <c r="AR182" t="inlineStr">
        <is>
          <t>No</t>
        </is>
      </c>
      <c r="AS182" t="inlineStr">
        <is>
          <t>No</t>
        </is>
      </c>
      <c r="AU182">
        <f>HYPERLINK("https://creighton-primo.hosted.exlibrisgroup.com/primo-explore/search?tab=default_tab&amp;search_scope=EVERYTHING&amp;vid=01CRU&amp;lang=en_US&amp;offset=0&amp;query=any,contains,991001389839702656","Catalog Record")</f>
        <v/>
      </c>
      <c r="AV182">
        <f>HYPERLINK("http://www.worldcat.org/oclc/2307994","WorldCat Record")</f>
        <v/>
      </c>
      <c r="AW182" t="inlineStr">
        <is>
          <t>4510267:eng</t>
        </is>
      </c>
      <c r="AX182" t="inlineStr">
        <is>
          <t>2307994</t>
        </is>
      </c>
      <c r="AY182" t="inlineStr">
        <is>
          <t>991001389839702656</t>
        </is>
      </c>
      <c r="AZ182" t="inlineStr">
        <is>
          <t>991001389839702656</t>
        </is>
      </c>
      <c r="BA182" t="inlineStr">
        <is>
          <t>2264521620002656</t>
        </is>
      </c>
      <c r="BB182" t="inlineStr">
        <is>
          <t>BOOK</t>
        </is>
      </c>
      <c r="BE182" t="inlineStr">
        <is>
          <t>30001000464760</t>
        </is>
      </c>
      <c r="BF182" t="inlineStr">
        <is>
          <t>893649153</t>
        </is>
      </c>
    </row>
    <row r="183">
      <c r="A183" t="inlineStr">
        <is>
          <t>No</t>
        </is>
      </c>
      <c r="B183" t="inlineStr">
        <is>
          <t>CUHSL</t>
        </is>
      </c>
      <c r="C183" t="inlineStr">
        <is>
          <t>SHELVES</t>
        </is>
      </c>
      <c r="D183" t="inlineStr">
        <is>
          <t>WY 17 A227 1984</t>
        </is>
      </c>
      <c r="E183" t="inlineStr">
        <is>
          <t>0                      WY 0017000A  227         1984</t>
        </is>
      </c>
      <c r="F183" t="inlineStr">
        <is>
          <t>The Addison-Wesley photoatlas of nursing procedures / Pamela Swearingen, special projects editor, in association with Indiana University School of Nursing ... [et al.].</t>
        </is>
      </c>
      <c r="H183" t="inlineStr">
        <is>
          <t>No</t>
        </is>
      </c>
      <c r="I183" t="inlineStr">
        <is>
          <t>1</t>
        </is>
      </c>
      <c r="J183" t="inlineStr">
        <is>
          <t>No</t>
        </is>
      </c>
      <c r="K183" t="inlineStr">
        <is>
          <t>No</t>
        </is>
      </c>
      <c r="L183" t="inlineStr">
        <is>
          <t>0</t>
        </is>
      </c>
      <c r="N183" t="inlineStr">
        <is>
          <t>Menlo Park, Calif. : Addison-Wesley, Nursing Division, c1984.</t>
        </is>
      </c>
      <c r="O183" t="inlineStr">
        <is>
          <t>1984</t>
        </is>
      </c>
      <c r="Q183" t="inlineStr">
        <is>
          <t>eng</t>
        </is>
      </c>
      <c r="R183" t="inlineStr">
        <is>
          <t xml:space="preserve">xx </t>
        </is>
      </c>
      <c r="T183" t="inlineStr">
        <is>
          <t xml:space="preserve">WY </t>
        </is>
      </c>
      <c r="U183" t="n">
        <v>19</v>
      </c>
      <c r="V183" t="n">
        <v>19</v>
      </c>
      <c r="W183" t="inlineStr">
        <is>
          <t>2008-07-10</t>
        </is>
      </c>
      <c r="X183" t="inlineStr">
        <is>
          <t>2008-07-10</t>
        </is>
      </c>
      <c r="Y183" t="inlineStr">
        <is>
          <t>1987-10-22</t>
        </is>
      </c>
      <c r="Z183" t="inlineStr">
        <is>
          <t>1987-10-22</t>
        </is>
      </c>
      <c r="AA183" t="n">
        <v>281</v>
      </c>
      <c r="AB183" t="n">
        <v>245</v>
      </c>
      <c r="AC183" t="n">
        <v>252</v>
      </c>
      <c r="AD183" t="n">
        <v>2</v>
      </c>
      <c r="AE183" t="n">
        <v>2</v>
      </c>
      <c r="AF183" t="n">
        <v>7</v>
      </c>
      <c r="AG183" t="n">
        <v>7</v>
      </c>
      <c r="AH183" t="n">
        <v>2</v>
      </c>
      <c r="AI183" t="n">
        <v>2</v>
      </c>
      <c r="AJ183" t="n">
        <v>1</v>
      </c>
      <c r="AK183" t="n">
        <v>1</v>
      </c>
      <c r="AL183" t="n">
        <v>3</v>
      </c>
      <c r="AM183" t="n">
        <v>3</v>
      </c>
      <c r="AN183" t="n">
        <v>1</v>
      </c>
      <c r="AO183" t="n">
        <v>1</v>
      </c>
      <c r="AP183" t="n">
        <v>1</v>
      </c>
      <c r="AQ183" t="n">
        <v>1</v>
      </c>
      <c r="AR183" t="inlineStr">
        <is>
          <t>No</t>
        </is>
      </c>
      <c r="AS183" t="inlineStr">
        <is>
          <t>Yes</t>
        </is>
      </c>
      <c r="AT183">
        <f>HYPERLINK("http://catalog.hathitrust.org/Record/000168006","HathiTrust Record")</f>
        <v/>
      </c>
      <c r="AU183">
        <f>HYPERLINK("https://creighton-primo.hosted.exlibrisgroup.com/primo-explore/search?tab=default_tab&amp;search_scope=EVERYTHING&amp;vid=01CRU&amp;lang=en_US&amp;offset=0&amp;query=any,contains,991000740959702656","Catalog Record")</f>
        <v/>
      </c>
      <c r="AV183">
        <f>HYPERLINK("http://www.worldcat.org/oclc/10711274","WorldCat Record")</f>
        <v/>
      </c>
      <c r="AW183" t="inlineStr">
        <is>
          <t>3372110728:eng</t>
        </is>
      </c>
      <c r="AX183" t="inlineStr">
        <is>
          <t>10711274</t>
        </is>
      </c>
      <c r="AY183" t="inlineStr">
        <is>
          <t>991000740959702656</t>
        </is>
      </c>
      <c r="AZ183" t="inlineStr">
        <is>
          <t>991000740959702656</t>
        </is>
      </c>
      <c r="BA183" t="inlineStr">
        <is>
          <t>2258925710002656</t>
        </is>
      </c>
      <c r="BB183" t="inlineStr">
        <is>
          <t>BOOK</t>
        </is>
      </c>
      <c r="BD183" t="inlineStr">
        <is>
          <t>9780201078688</t>
        </is>
      </c>
      <c r="BE183" t="inlineStr">
        <is>
          <t>30001000043366</t>
        </is>
      </c>
      <c r="BF183" t="inlineStr">
        <is>
          <t>893368396</t>
        </is>
      </c>
    </row>
    <row r="184">
      <c r="A184" t="inlineStr">
        <is>
          <t>No</t>
        </is>
      </c>
      <c r="B184" t="inlineStr">
        <is>
          <t>CUHSL</t>
        </is>
      </c>
      <c r="C184" t="inlineStr">
        <is>
          <t>SHELVES</t>
        </is>
      </c>
      <c r="D184" t="inlineStr">
        <is>
          <t>WY 17 R213L 1981</t>
        </is>
      </c>
      <c r="E184" t="inlineStr">
        <is>
          <t>0                      WY 0017000R  213L        1981</t>
        </is>
      </c>
      <c r="F184" t="inlineStr">
        <is>
          <t>Lifting, moving, and transferring patients : a manual / Marilyn Fresen Rantz, Donald Courtial.</t>
        </is>
      </c>
      <c r="H184" t="inlineStr">
        <is>
          <t>No</t>
        </is>
      </c>
      <c r="I184" t="inlineStr">
        <is>
          <t>1</t>
        </is>
      </c>
      <c r="J184" t="inlineStr">
        <is>
          <t>No</t>
        </is>
      </c>
      <c r="K184" t="inlineStr">
        <is>
          <t>No</t>
        </is>
      </c>
      <c r="L184" t="inlineStr">
        <is>
          <t>0</t>
        </is>
      </c>
      <c r="M184" t="inlineStr">
        <is>
          <t>Rantz, Marilyn J.</t>
        </is>
      </c>
      <c r="N184" t="inlineStr">
        <is>
          <t>St. Louis : Mosby, 1981.</t>
        </is>
      </c>
      <c r="O184" t="inlineStr">
        <is>
          <t>1981</t>
        </is>
      </c>
      <c r="P184" t="inlineStr">
        <is>
          <t>2d ed.</t>
        </is>
      </c>
      <c r="Q184" t="inlineStr">
        <is>
          <t>eng</t>
        </is>
      </c>
      <c r="R184" t="inlineStr">
        <is>
          <t>xxu</t>
        </is>
      </c>
      <c r="T184" t="inlineStr">
        <is>
          <t xml:space="preserve">WY </t>
        </is>
      </c>
      <c r="U184" t="n">
        <v>4</v>
      </c>
      <c r="V184" t="n">
        <v>4</v>
      </c>
      <c r="W184" t="inlineStr">
        <is>
          <t>1997-06-27</t>
        </is>
      </c>
      <c r="X184" t="inlineStr">
        <is>
          <t>1997-06-27</t>
        </is>
      </c>
      <c r="Y184" t="inlineStr">
        <is>
          <t>1987-12-22</t>
        </is>
      </c>
      <c r="Z184" t="inlineStr">
        <is>
          <t>1987-12-22</t>
        </is>
      </c>
      <c r="AA184" t="n">
        <v>77</v>
      </c>
      <c r="AB184" t="n">
        <v>60</v>
      </c>
      <c r="AC184" t="n">
        <v>242</v>
      </c>
      <c r="AD184" t="n">
        <v>1</v>
      </c>
      <c r="AE184" t="n">
        <v>3</v>
      </c>
      <c r="AF184" t="n">
        <v>0</v>
      </c>
      <c r="AG184" t="n">
        <v>5</v>
      </c>
      <c r="AH184" t="n">
        <v>0</v>
      </c>
      <c r="AI184" t="n">
        <v>1</v>
      </c>
      <c r="AJ184" t="n">
        <v>0</v>
      </c>
      <c r="AK184" t="n">
        <v>0</v>
      </c>
      <c r="AL184" t="n">
        <v>0</v>
      </c>
      <c r="AM184" t="n">
        <v>3</v>
      </c>
      <c r="AN184" t="n">
        <v>0</v>
      </c>
      <c r="AO184" t="n">
        <v>1</v>
      </c>
      <c r="AP184" t="n">
        <v>0</v>
      </c>
      <c r="AQ184" t="n">
        <v>0</v>
      </c>
      <c r="AR184" t="inlineStr">
        <is>
          <t>No</t>
        </is>
      </c>
      <c r="AS184" t="inlineStr">
        <is>
          <t>No</t>
        </is>
      </c>
      <c r="AU184">
        <f>HYPERLINK("https://creighton-primo.hosted.exlibrisgroup.com/primo-explore/search?tab=default_tab&amp;search_scope=EVERYTHING&amp;vid=01CRU&amp;lang=en_US&amp;offset=0&amp;query=any,contains,991001032329702656","Catalog Record")</f>
        <v/>
      </c>
      <c r="AV184">
        <f>HYPERLINK("http://www.worldcat.org/oclc/6942089","WorldCat Record")</f>
        <v/>
      </c>
      <c r="AW184" t="inlineStr">
        <is>
          <t>4160472771:eng</t>
        </is>
      </c>
      <c r="AX184" t="inlineStr">
        <is>
          <t>6942089</t>
        </is>
      </c>
      <c r="AY184" t="inlineStr">
        <is>
          <t>991001032329702656</t>
        </is>
      </c>
      <c r="AZ184" t="inlineStr">
        <is>
          <t>991001032329702656</t>
        </is>
      </c>
      <c r="BA184" t="inlineStr">
        <is>
          <t>2257253080002656</t>
        </is>
      </c>
      <c r="BB184" t="inlineStr">
        <is>
          <t>BOOK</t>
        </is>
      </c>
      <c r="BD184" t="inlineStr">
        <is>
          <t>9780801640872</t>
        </is>
      </c>
      <c r="BE184" t="inlineStr">
        <is>
          <t>30001000240103</t>
        </is>
      </c>
      <c r="BF184" t="inlineStr">
        <is>
          <t>893148816</t>
        </is>
      </c>
    </row>
    <row r="185">
      <c r="A185" t="inlineStr">
        <is>
          <t>No</t>
        </is>
      </c>
      <c r="B185" t="inlineStr">
        <is>
          <t>CUHSL</t>
        </is>
      </c>
      <c r="C185" t="inlineStr">
        <is>
          <t>SHELVES</t>
        </is>
      </c>
      <c r="D185" t="inlineStr">
        <is>
          <t>WY 17 S974a 1996</t>
        </is>
      </c>
      <c r="E185" t="inlineStr">
        <is>
          <t>0                      WY 0017000S  974a        1996</t>
        </is>
      </c>
      <c r="F185" t="inlineStr">
        <is>
          <t>Photo atlas of nursing procedures / Pamela L. Swearingen, Cheri A. Howard ; in association with Indiana University School of Nursing [and the] Department of Nursing Services, Indiana University Medical Center and the Physical Therapy Program, Respiratory Therapy Department, Division of Allied Health Sciences, Indiana University School of Medicine, Indianapolis, Indiana.</t>
        </is>
      </c>
      <c r="H185" t="inlineStr">
        <is>
          <t>No</t>
        </is>
      </c>
      <c r="I185" t="inlineStr">
        <is>
          <t>1</t>
        </is>
      </c>
      <c r="J185" t="inlineStr">
        <is>
          <t>No</t>
        </is>
      </c>
      <c r="K185" t="inlineStr">
        <is>
          <t>No</t>
        </is>
      </c>
      <c r="L185" t="inlineStr">
        <is>
          <t>0</t>
        </is>
      </c>
      <c r="M185" t="inlineStr">
        <is>
          <t>Swearingen, Pamela L.</t>
        </is>
      </c>
      <c r="N185" t="inlineStr">
        <is>
          <t>Menlo Park, Calif. : Addison-Wesley Nursing, c1996.</t>
        </is>
      </c>
      <c r="O185" t="inlineStr">
        <is>
          <t>1996</t>
        </is>
      </c>
      <c r="P185" t="inlineStr">
        <is>
          <t>3rd ed.</t>
        </is>
      </c>
      <c r="Q185" t="inlineStr">
        <is>
          <t>eng</t>
        </is>
      </c>
      <c r="R185" t="inlineStr">
        <is>
          <t>cau</t>
        </is>
      </c>
      <c r="T185" t="inlineStr">
        <is>
          <t xml:space="preserve">WY </t>
        </is>
      </c>
      <c r="U185" t="n">
        <v>12</v>
      </c>
      <c r="V185" t="n">
        <v>12</v>
      </c>
      <c r="W185" t="inlineStr">
        <is>
          <t>2007-04-11</t>
        </is>
      </c>
      <c r="X185" t="inlineStr">
        <is>
          <t>2007-04-11</t>
        </is>
      </c>
      <c r="Y185" t="inlineStr">
        <is>
          <t>1996-12-03</t>
        </is>
      </c>
      <c r="Z185" t="inlineStr">
        <is>
          <t>1996-12-03</t>
        </is>
      </c>
      <c r="AA185" t="n">
        <v>283</v>
      </c>
      <c r="AB185" t="n">
        <v>229</v>
      </c>
      <c r="AC185" t="n">
        <v>391</v>
      </c>
      <c r="AD185" t="n">
        <v>1</v>
      </c>
      <c r="AE185" t="n">
        <v>1</v>
      </c>
      <c r="AF185" t="n">
        <v>9</v>
      </c>
      <c r="AG185" t="n">
        <v>13</v>
      </c>
      <c r="AH185" t="n">
        <v>3</v>
      </c>
      <c r="AI185" t="n">
        <v>6</v>
      </c>
      <c r="AJ185" t="n">
        <v>1</v>
      </c>
      <c r="AK185" t="n">
        <v>2</v>
      </c>
      <c r="AL185" t="n">
        <v>5</v>
      </c>
      <c r="AM185" t="n">
        <v>8</v>
      </c>
      <c r="AN185" t="n">
        <v>0</v>
      </c>
      <c r="AO185" t="n">
        <v>0</v>
      </c>
      <c r="AP185" t="n">
        <v>0</v>
      </c>
      <c r="AQ185" t="n">
        <v>0</v>
      </c>
      <c r="AR185" t="inlineStr">
        <is>
          <t>No</t>
        </is>
      </c>
      <c r="AS185" t="inlineStr">
        <is>
          <t>Yes</t>
        </is>
      </c>
      <c r="AT185">
        <f>HYPERLINK("http://catalog.hathitrust.org/Record/003031111","HathiTrust Record")</f>
        <v/>
      </c>
      <c r="AU185">
        <f>HYPERLINK("https://creighton-primo.hosted.exlibrisgroup.com/primo-explore/search?tab=default_tab&amp;search_scope=EVERYTHING&amp;vid=01CRU&amp;lang=en_US&amp;offset=0&amp;query=any,contains,991000849769702656","Catalog Record")</f>
        <v/>
      </c>
      <c r="AV185">
        <f>HYPERLINK("http://www.worldcat.org/oclc/33167849","WorldCat Record")</f>
        <v/>
      </c>
      <c r="AW185" t="inlineStr">
        <is>
          <t>24410680:eng</t>
        </is>
      </c>
      <c r="AX185" t="inlineStr">
        <is>
          <t>33167849</t>
        </is>
      </c>
      <c r="AY185" t="inlineStr">
        <is>
          <t>991000849769702656</t>
        </is>
      </c>
      <c r="AZ185" t="inlineStr">
        <is>
          <t>991000849769702656</t>
        </is>
      </c>
      <c r="BA185" t="inlineStr">
        <is>
          <t>2258680250002656</t>
        </is>
      </c>
      <c r="BB185" t="inlineStr">
        <is>
          <t>BOOK</t>
        </is>
      </c>
      <c r="BD185" t="inlineStr">
        <is>
          <t>9780805387896</t>
        </is>
      </c>
      <c r="BE185" t="inlineStr">
        <is>
          <t>30001003473289</t>
        </is>
      </c>
      <c r="BF185" t="inlineStr">
        <is>
          <t>893815791</t>
        </is>
      </c>
    </row>
    <row r="186">
      <c r="A186" t="inlineStr">
        <is>
          <t>No</t>
        </is>
      </c>
      <c r="B186" t="inlineStr">
        <is>
          <t>CUHSL</t>
        </is>
      </c>
      <c r="C186" t="inlineStr">
        <is>
          <t>SHELVES</t>
        </is>
      </c>
      <c r="D186" t="inlineStr">
        <is>
          <t>WY 18 A169 1976</t>
        </is>
      </c>
      <c r="E186" t="inlineStr">
        <is>
          <t>0                      WY 0018000A  169         1976</t>
        </is>
      </c>
      <c r="F186" t="inlineStr">
        <is>
          <t>Accountability and the open curriculum in baccalaureate nursing education.</t>
        </is>
      </c>
      <c r="H186" t="inlineStr">
        <is>
          <t>No</t>
        </is>
      </c>
      <c r="I186" t="inlineStr">
        <is>
          <t>1</t>
        </is>
      </c>
      <c r="J186" t="inlineStr">
        <is>
          <t>No</t>
        </is>
      </c>
      <c r="K186" t="inlineStr">
        <is>
          <t>No</t>
        </is>
      </c>
      <c r="L186" t="inlineStr">
        <is>
          <t>0</t>
        </is>
      </c>
      <c r="N186" t="inlineStr">
        <is>
          <t>New York : National League for Nursing, c1976.</t>
        </is>
      </c>
      <c r="O186" t="inlineStr">
        <is>
          <t>1976</t>
        </is>
      </c>
      <c r="Q186" t="inlineStr">
        <is>
          <t>eng</t>
        </is>
      </c>
      <c r="R186" t="inlineStr">
        <is>
          <t>nyu</t>
        </is>
      </c>
      <c r="S186" t="inlineStr">
        <is>
          <t>NLN pub. no. 15-1628</t>
        </is>
      </c>
      <c r="T186" t="inlineStr">
        <is>
          <t xml:space="preserve">WY </t>
        </is>
      </c>
      <c r="U186" t="n">
        <v>3</v>
      </c>
      <c r="V186" t="n">
        <v>3</v>
      </c>
      <c r="W186" t="inlineStr">
        <is>
          <t>1991-06-15</t>
        </is>
      </c>
      <c r="X186" t="inlineStr">
        <is>
          <t>1991-06-15</t>
        </is>
      </c>
      <c r="Y186" t="inlineStr">
        <is>
          <t>1987-10-26</t>
        </is>
      </c>
      <c r="Z186" t="inlineStr">
        <is>
          <t>1987-10-26</t>
        </is>
      </c>
      <c r="AA186" t="n">
        <v>97</v>
      </c>
      <c r="AB186" t="n">
        <v>86</v>
      </c>
      <c r="AC186" t="n">
        <v>88</v>
      </c>
      <c r="AD186" t="n">
        <v>3</v>
      </c>
      <c r="AE186" t="n">
        <v>3</v>
      </c>
      <c r="AF186" t="n">
        <v>4</v>
      </c>
      <c r="AG186" t="n">
        <v>4</v>
      </c>
      <c r="AH186" t="n">
        <v>0</v>
      </c>
      <c r="AI186" t="n">
        <v>0</v>
      </c>
      <c r="AJ186" t="n">
        <v>0</v>
      </c>
      <c r="AK186" t="n">
        <v>0</v>
      </c>
      <c r="AL186" t="n">
        <v>3</v>
      </c>
      <c r="AM186" t="n">
        <v>3</v>
      </c>
      <c r="AN186" t="n">
        <v>1</v>
      </c>
      <c r="AO186" t="n">
        <v>1</v>
      </c>
      <c r="AP186" t="n">
        <v>0</v>
      </c>
      <c r="AQ186" t="n">
        <v>0</v>
      </c>
      <c r="AR186" t="inlineStr">
        <is>
          <t>No</t>
        </is>
      </c>
      <c r="AS186" t="inlineStr">
        <is>
          <t>Yes</t>
        </is>
      </c>
      <c r="AT186">
        <f>HYPERLINK("http://catalog.hathitrust.org/Record/000742849","HathiTrust Record")</f>
        <v/>
      </c>
      <c r="AU186">
        <f>HYPERLINK("https://creighton-primo.hosted.exlibrisgroup.com/primo-explore/search?tab=default_tab&amp;search_scope=EVERYTHING&amp;vid=01CRU&amp;lang=en_US&amp;offset=0&amp;query=any,contains,991001370109702656","Catalog Record")</f>
        <v/>
      </c>
      <c r="AV186">
        <f>HYPERLINK("http://www.worldcat.org/oclc/2400925","WorldCat Record")</f>
        <v/>
      </c>
      <c r="AW186" t="inlineStr">
        <is>
          <t>4758592:eng</t>
        </is>
      </c>
      <c r="AX186" t="inlineStr">
        <is>
          <t>2400925</t>
        </is>
      </c>
      <c r="AY186" t="inlineStr">
        <is>
          <t>991001370109702656</t>
        </is>
      </c>
      <c r="AZ186" t="inlineStr">
        <is>
          <t>991001370109702656</t>
        </is>
      </c>
      <c r="BA186" t="inlineStr">
        <is>
          <t>2264639300002656</t>
        </is>
      </c>
      <c r="BB186" t="inlineStr">
        <is>
          <t>BOOK</t>
        </is>
      </c>
      <c r="BE186" t="inlineStr">
        <is>
          <t>30001000461667</t>
        </is>
      </c>
      <c r="BF186" t="inlineStr">
        <is>
          <t>893821151</t>
        </is>
      </c>
    </row>
    <row r="187">
      <c r="A187" t="inlineStr">
        <is>
          <t>No</t>
        </is>
      </c>
      <c r="B187" t="inlineStr">
        <is>
          <t>CUHSL</t>
        </is>
      </c>
      <c r="C187" t="inlineStr">
        <is>
          <t>SHELVES</t>
        </is>
      </c>
      <c r="D187" t="inlineStr">
        <is>
          <t>WY 18 A172 1981</t>
        </is>
      </c>
      <c r="E187" t="inlineStr">
        <is>
          <t>0                      WY 0018000A  172         1981</t>
        </is>
      </c>
      <c r="F187" t="inlineStr">
        <is>
          <t>Accreditation and the future of quality nursing education : papers presented at the program meeting of the Council of Baccalaureate and Higher Degree Programs, November 1981, Norfolk, Virginia.</t>
        </is>
      </c>
      <c r="H187" t="inlineStr">
        <is>
          <t>No</t>
        </is>
      </c>
      <c r="I187" t="inlineStr">
        <is>
          <t>1</t>
        </is>
      </c>
      <c r="J187" t="inlineStr">
        <is>
          <t>No</t>
        </is>
      </c>
      <c r="K187" t="inlineStr">
        <is>
          <t>No</t>
        </is>
      </c>
      <c r="L187" t="inlineStr">
        <is>
          <t>0</t>
        </is>
      </c>
      <c r="N187" t="inlineStr">
        <is>
          <t>[New York, N.Y.] : National League for Nursing, c1983.</t>
        </is>
      </c>
      <c r="O187" t="inlineStr">
        <is>
          <t>1983</t>
        </is>
      </c>
      <c r="Q187" t="inlineStr">
        <is>
          <t>eng</t>
        </is>
      </c>
      <c r="R187" t="inlineStr">
        <is>
          <t>nyu</t>
        </is>
      </c>
      <c r="S187" t="inlineStr">
        <is>
          <t>NLN pub. no. 15-1923</t>
        </is>
      </c>
      <c r="T187" t="inlineStr">
        <is>
          <t xml:space="preserve">WY </t>
        </is>
      </c>
      <c r="U187" t="n">
        <v>2</v>
      </c>
      <c r="V187" t="n">
        <v>2</v>
      </c>
      <c r="W187" t="inlineStr">
        <is>
          <t>1991-02-20</t>
        </is>
      </c>
      <c r="X187" t="inlineStr">
        <is>
          <t>1991-02-20</t>
        </is>
      </c>
      <c r="Y187" t="inlineStr">
        <is>
          <t>1987-10-29</t>
        </is>
      </c>
      <c r="Z187" t="inlineStr">
        <is>
          <t>1987-10-29</t>
        </is>
      </c>
      <c r="AA187" t="n">
        <v>91</v>
      </c>
      <c r="AB187" t="n">
        <v>83</v>
      </c>
      <c r="AC187" t="n">
        <v>87</v>
      </c>
      <c r="AD187" t="n">
        <v>1</v>
      </c>
      <c r="AE187" t="n">
        <v>1</v>
      </c>
      <c r="AF187" t="n">
        <v>3</v>
      </c>
      <c r="AG187" t="n">
        <v>3</v>
      </c>
      <c r="AH187" t="n">
        <v>1</v>
      </c>
      <c r="AI187" t="n">
        <v>1</v>
      </c>
      <c r="AJ187" t="n">
        <v>0</v>
      </c>
      <c r="AK187" t="n">
        <v>0</v>
      </c>
      <c r="AL187" t="n">
        <v>3</v>
      </c>
      <c r="AM187" t="n">
        <v>3</v>
      </c>
      <c r="AN187" t="n">
        <v>0</v>
      </c>
      <c r="AO187" t="n">
        <v>0</v>
      </c>
      <c r="AP187" t="n">
        <v>0</v>
      </c>
      <c r="AQ187" t="n">
        <v>0</v>
      </c>
      <c r="AR187" t="inlineStr">
        <is>
          <t>No</t>
        </is>
      </c>
      <c r="AS187" t="inlineStr">
        <is>
          <t>Yes</t>
        </is>
      </c>
      <c r="AT187">
        <f>HYPERLINK("http://catalog.hathitrust.org/Record/000610520","HathiTrust Record")</f>
        <v/>
      </c>
      <c r="AU187">
        <f>HYPERLINK("https://creighton-primo.hosted.exlibrisgroup.com/primo-explore/search?tab=default_tab&amp;search_scope=EVERYTHING&amp;vid=01CRU&amp;lang=en_US&amp;offset=0&amp;query=any,contains,991001373339702656","Catalog Record")</f>
        <v/>
      </c>
      <c r="AV187">
        <f>HYPERLINK("http://www.worldcat.org/oclc/12910921","WorldCat Record")</f>
        <v/>
      </c>
      <c r="AW187" t="inlineStr">
        <is>
          <t>1151057317:eng</t>
        </is>
      </c>
      <c r="AX187" t="inlineStr">
        <is>
          <t>12910921</t>
        </is>
      </c>
      <c r="AY187" t="inlineStr">
        <is>
          <t>991001373339702656</t>
        </is>
      </c>
      <c r="AZ187" t="inlineStr">
        <is>
          <t>991001373339702656</t>
        </is>
      </c>
      <c r="BA187" t="inlineStr">
        <is>
          <t>2264308460002656</t>
        </is>
      </c>
      <c r="BB187" t="inlineStr">
        <is>
          <t>BOOK</t>
        </is>
      </c>
      <c r="BE187" t="inlineStr">
        <is>
          <t>30001000462004</t>
        </is>
      </c>
      <c r="BF187" t="inlineStr">
        <is>
          <t>893149127</t>
        </is>
      </c>
    </row>
    <row r="188">
      <c r="A188" t="inlineStr">
        <is>
          <t>No</t>
        </is>
      </c>
      <c r="B188" t="inlineStr">
        <is>
          <t>CUHSL</t>
        </is>
      </c>
      <c r="C188" t="inlineStr">
        <is>
          <t>SHELVES</t>
        </is>
      </c>
      <c r="D188" t="inlineStr">
        <is>
          <t>WY 18 A191 1978</t>
        </is>
      </c>
      <c r="E188" t="inlineStr">
        <is>
          <t>0                      WY 0018000A  191         1978</t>
        </is>
      </c>
      <c r="F188" t="inlineStr">
        <is>
          <t>The AD graduate : excellence in practice- fantasy or reality?</t>
        </is>
      </c>
      <c r="H188" t="inlineStr">
        <is>
          <t>No</t>
        </is>
      </c>
      <c r="I188" t="inlineStr">
        <is>
          <t>1</t>
        </is>
      </c>
      <c r="J188" t="inlineStr">
        <is>
          <t>No</t>
        </is>
      </c>
      <c r="K188" t="inlineStr">
        <is>
          <t>No</t>
        </is>
      </c>
      <c r="L188" t="inlineStr">
        <is>
          <t>0</t>
        </is>
      </c>
      <c r="N188" t="inlineStr">
        <is>
          <t>New York : National League for Nursing, c1978.</t>
        </is>
      </c>
      <c r="O188" t="inlineStr">
        <is>
          <t>1978</t>
        </is>
      </c>
      <c r="Q188" t="inlineStr">
        <is>
          <t>eng</t>
        </is>
      </c>
      <c r="R188" t="inlineStr">
        <is>
          <t>nyu</t>
        </is>
      </c>
      <c r="S188" t="inlineStr">
        <is>
          <t>NLN pub. no. 23-1737</t>
        </is>
      </c>
      <c r="T188" t="inlineStr">
        <is>
          <t xml:space="preserve">WY </t>
        </is>
      </c>
      <c r="U188" t="n">
        <v>2</v>
      </c>
      <c r="V188" t="n">
        <v>2</v>
      </c>
      <c r="W188" t="inlineStr">
        <is>
          <t>1990-06-25</t>
        </is>
      </c>
      <c r="X188" t="inlineStr">
        <is>
          <t>1990-06-25</t>
        </is>
      </c>
      <c r="Y188" t="inlineStr">
        <is>
          <t>1987-11-09</t>
        </is>
      </c>
      <c r="Z188" t="inlineStr">
        <is>
          <t>1987-11-09</t>
        </is>
      </c>
      <c r="AA188" t="n">
        <v>69</v>
      </c>
      <c r="AB188" t="n">
        <v>62</v>
      </c>
      <c r="AC188" t="n">
        <v>62</v>
      </c>
      <c r="AD188" t="n">
        <v>1</v>
      </c>
      <c r="AE188" t="n">
        <v>1</v>
      </c>
      <c r="AF188" t="n">
        <v>2</v>
      </c>
      <c r="AG188" t="n">
        <v>2</v>
      </c>
      <c r="AH188" t="n">
        <v>0</v>
      </c>
      <c r="AI188" t="n">
        <v>0</v>
      </c>
      <c r="AJ188" t="n">
        <v>0</v>
      </c>
      <c r="AK188" t="n">
        <v>0</v>
      </c>
      <c r="AL188" t="n">
        <v>2</v>
      </c>
      <c r="AM188" t="n">
        <v>2</v>
      </c>
      <c r="AN188" t="n">
        <v>0</v>
      </c>
      <c r="AO188" t="n">
        <v>0</v>
      </c>
      <c r="AP188" t="n">
        <v>0</v>
      </c>
      <c r="AQ188" t="n">
        <v>0</v>
      </c>
      <c r="AR188" t="inlineStr">
        <is>
          <t>No</t>
        </is>
      </c>
      <c r="AS188" t="inlineStr">
        <is>
          <t>No</t>
        </is>
      </c>
      <c r="AU188">
        <f>HYPERLINK("https://creighton-primo.hosted.exlibrisgroup.com/primo-explore/search?tab=default_tab&amp;search_scope=EVERYTHING&amp;vid=01CRU&amp;lang=en_US&amp;offset=0&amp;query=any,contains,991001388459702656","Catalog Record")</f>
        <v/>
      </c>
      <c r="AV188">
        <f>HYPERLINK("http://www.worldcat.org/oclc/4468366","WorldCat Record")</f>
        <v/>
      </c>
      <c r="AW188" t="inlineStr">
        <is>
          <t>5395319252:eng</t>
        </is>
      </c>
      <c r="AX188" t="inlineStr">
        <is>
          <t>4468366</t>
        </is>
      </c>
      <c r="AY188" t="inlineStr">
        <is>
          <t>991001388459702656</t>
        </is>
      </c>
      <c r="AZ188" t="inlineStr">
        <is>
          <t>991001388459702656</t>
        </is>
      </c>
      <c r="BA188" t="inlineStr">
        <is>
          <t>2256980950002656</t>
        </is>
      </c>
      <c r="BB188" t="inlineStr">
        <is>
          <t>BOOK</t>
        </is>
      </c>
      <c r="BE188" t="inlineStr">
        <is>
          <t>30001000464323</t>
        </is>
      </c>
      <c r="BF188" t="inlineStr">
        <is>
          <t>893643539</t>
        </is>
      </c>
    </row>
    <row r="189">
      <c r="A189" t="inlineStr">
        <is>
          <t>No</t>
        </is>
      </c>
      <c r="B189" t="inlineStr">
        <is>
          <t>CUHSL</t>
        </is>
      </c>
      <c r="C189" t="inlineStr">
        <is>
          <t>SHELVES</t>
        </is>
      </c>
      <c r="D189" t="inlineStr">
        <is>
          <t>WY 18 A227 1987</t>
        </is>
      </c>
      <c r="E189" t="inlineStr">
        <is>
          <t>0                      WY 0018000A  227         1987</t>
        </is>
      </c>
      <c r="F189" t="inlineStr">
        <is>
          <t>Addison-Wesley's nursing examination review / Sally L. Lagerquist, editor ; contributing authors, Joea E. Bierchen ... [et al.].</t>
        </is>
      </c>
      <c r="H189" t="inlineStr">
        <is>
          <t>No</t>
        </is>
      </c>
      <c r="I189" t="inlineStr">
        <is>
          <t>1</t>
        </is>
      </c>
      <c r="J189" t="inlineStr">
        <is>
          <t>No</t>
        </is>
      </c>
      <c r="K189" t="inlineStr">
        <is>
          <t>No</t>
        </is>
      </c>
      <c r="L189" t="inlineStr">
        <is>
          <t>0</t>
        </is>
      </c>
      <c r="N189" t="inlineStr">
        <is>
          <t>Reading, Mass. : Addison-Wesley Pub. Co., c1987.</t>
        </is>
      </c>
      <c r="O189" t="inlineStr">
        <is>
          <t>1987</t>
        </is>
      </c>
      <c r="P189" t="inlineStr">
        <is>
          <t>3rd ed.</t>
        </is>
      </c>
      <c r="Q189" t="inlineStr">
        <is>
          <t>eng</t>
        </is>
      </c>
      <c r="R189" t="inlineStr">
        <is>
          <t>xxu</t>
        </is>
      </c>
      <c r="T189" t="inlineStr">
        <is>
          <t xml:space="preserve">WY </t>
        </is>
      </c>
      <c r="U189" t="n">
        <v>7</v>
      </c>
      <c r="V189" t="n">
        <v>7</v>
      </c>
      <c r="W189" t="inlineStr">
        <is>
          <t>1991-04-26</t>
        </is>
      </c>
      <c r="X189" t="inlineStr">
        <is>
          <t>1991-04-26</t>
        </is>
      </c>
      <c r="Y189" t="inlineStr">
        <is>
          <t>1987-10-20</t>
        </is>
      </c>
      <c r="Z189" t="inlineStr">
        <is>
          <t>1987-10-20</t>
        </is>
      </c>
      <c r="AA189" t="n">
        <v>98</v>
      </c>
      <c r="AB189" t="n">
        <v>77</v>
      </c>
      <c r="AC189" t="n">
        <v>241</v>
      </c>
      <c r="AD189" t="n">
        <v>1</v>
      </c>
      <c r="AE189" t="n">
        <v>2</v>
      </c>
      <c r="AF189" t="n">
        <v>1</v>
      </c>
      <c r="AG189" t="n">
        <v>3</v>
      </c>
      <c r="AH189" t="n">
        <v>0</v>
      </c>
      <c r="AI189" t="n">
        <v>0</v>
      </c>
      <c r="AJ189" t="n">
        <v>0</v>
      </c>
      <c r="AK189" t="n">
        <v>0</v>
      </c>
      <c r="AL189" t="n">
        <v>1</v>
      </c>
      <c r="AM189" t="n">
        <v>2</v>
      </c>
      <c r="AN189" t="n">
        <v>0</v>
      </c>
      <c r="AO189" t="n">
        <v>1</v>
      </c>
      <c r="AP189" t="n">
        <v>0</v>
      </c>
      <c r="AQ189" t="n">
        <v>0</v>
      </c>
      <c r="AR189" t="inlineStr">
        <is>
          <t>No</t>
        </is>
      </c>
      <c r="AS189" t="inlineStr">
        <is>
          <t>Yes</t>
        </is>
      </c>
      <c r="AT189">
        <f>HYPERLINK("http://catalog.hathitrust.org/Record/000927623","HathiTrust Record")</f>
        <v/>
      </c>
      <c r="AU189">
        <f>HYPERLINK("https://creighton-primo.hosted.exlibrisgroup.com/primo-explore/search?tab=default_tab&amp;search_scope=EVERYTHING&amp;vid=01CRU&amp;lang=en_US&amp;offset=0&amp;query=any,contains,991001527849702656","Catalog Record")</f>
        <v/>
      </c>
      <c r="AV189">
        <f>HYPERLINK("http://www.worldcat.org/oclc/15109088","WorldCat Record")</f>
        <v/>
      </c>
      <c r="AW189" t="inlineStr">
        <is>
          <t>375583455:eng</t>
        </is>
      </c>
      <c r="AX189" t="inlineStr">
        <is>
          <t>15109088</t>
        </is>
      </c>
      <c r="AY189" t="inlineStr">
        <is>
          <t>991001527849702656</t>
        </is>
      </c>
      <c r="AZ189" t="inlineStr">
        <is>
          <t>991001527849702656</t>
        </is>
      </c>
      <c r="BA189" t="inlineStr">
        <is>
          <t>2254850640002656</t>
        </is>
      </c>
      <c r="BB189" t="inlineStr">
        <is>
          <t>BOOK</t>
        </is>
      </c>
      <c r="BD189" t="inlineStr">
        <is>
          <t>9780201142778</t>
        </is>
      </c>
      <c r="BE189" t="inlineStr">
        <is>
          <t>30001000620387</t>
        </is>
      </c>
      <c r="BF189" t="inlineStr">
        <is>
          <t>893268579</t>
        </is>
      </c>
    </row>
    <row r="190">
      <c r="A190" t="inlineStr">
        <is>
          <t>No</t>
        </is>
      </c>
      <c r="B190" t="inlineStr">
        <is>
          <t>CUHSL</t>
        </is>
      </c>
      <c r="C190" t="inlineStr">
        <is>
          <t>SHELVES</t>
        </is>
      </c>
      <c r="D190" t="inlineStr">
        <is>
          <t>WY 18 A5164 1989</t>
        </is>
      </c>
      <c r="E190" t="inlineStr">
        <is>
          <t>0                      WY 0018000A  5164        1989</t>
        </is>
      </c>
      <c r="F190" t="inlineStr">
        <is>
          <t>American nursing review for NCLEX-RN / Carol J. Bininger ... [et al.].</t>
        </is>
      </c>
      <c r="H190" t="inlineStr">
        <is>
          <t>No</t>
        </is>
      </c>
      <c r="I190" t="inlineStr">
        <is>
          <t>1</t>
        </is>
      </c>
      <c r="J190" t="inlineStr">
        <is>
          <t>No</t>
        </is>
      </c>
      <c r="K190" t="inlineStr">
        <is>
          <t>No</t>
        </is>
      </c>
      <c r="L190" t="inlineStr">
        <is>
          <t>0</t>
        </is>
      </c>
      <c r="N190" t="inlineStr">
        <is>
          <t>Springhouse, Pa. : Springhouse Corp., c1989.</t>
        </is>
      </c>
      <c r="O190" t="inlineStr">
        <is>
          <t>1989</t>
        </is>
      </c>
      <c r="Q190" t="inlineStr">
        <is>
          <t>eng</t>
        </is>
      </c>
      <c r="R190" t="inlineStr">
        <is>
          <t>xxu</t>
        </is>
      </c>
      <c r="T190" t="inlineStr">
        <is>
          <t xml:space="preserve">WY </t>
        </is>
      </c>
      <c r="U190" t="n">
        <v>5</v>
      </c>
      <c r="V190" t="n">
        <v>5</v>
      </c>
      <c r="W190" t="inlineStr">
        <is>
          <t>1994-09-23</t>
        </is>
      </c>
      <c r="X190" t="inlineStr">
        <is>
          <t>1994-09-23</t>
        </is>
      </c>
      <c r="Y190" t="inlineStr">
        <is>
          <t>1989-06-13</t>
        </is>
      </c>
      <c r="Z190" t="inlineStr">
        <is>
          <t>1989-06-13</t>
        </is>
      </c>
      <c r="AA190" t="n">
        <v>73</v>
      </c>
      <c r="AB190" t="n">
        <v>62</v>
      </c>
      <c r="AC190" t="n">
        <v>299</v>
      </c>
      <c r="AD190" t="n">
        <v>1</v>
      </c>
      <c r="AE190" t="n">
        <v>3</v>
      </c>
      <c r="AF190" t="n">
        <v>0</v>
      </c>
      <c r="AG190" t="n">
        <v>5</v>
      </c>
      <c r="AH190" t="n">
        <v>0</v>
      </c>
      <c r="AI190" t="n">
        <v>1</v>
      </c>
      <c r="AJ190" t="n">
        <v>0</v>
      </c>
      <c r="AK190" t="n">
        <v>2</v>
      </c>
      <c r="AL190" t="n">
        <v>0</v>
      </c>
      <c r="AM190" t="n">
        <v>3</v>
      </c>
      <c r="AN190" t="n">
        <v>0</v>
      </c>
      <c r="AO190" t="n">
        <v>1</v>
      </c>
      <c r="AP190" t="n">
        <v>0</v>
      </c>
      <c r="AQ190" t="n">
        <v>0</v>
      </c>
      <c r="AR190" t="inlineStr">
        <is>
          <t>No</t>
        </is>
      </c>
      <c r="AS190" t="inlineStr">
        <is>
          <t>No</t>
        </is>
      </c>
      <c r="AU190">
        <f>HYPERLINK("https://creighton-primo.hosted.exlibrisgroup.com/primo-explore/search?tab=default_tab&amp;search_scope=EVERYTHING&amp;vid=01CRU&amp;lang=en_US&amp;offset=0&amp;query=any,contains,991001250289702656","Catalog Record")</f>
        <v/>
      </c>
      <c r="AV190">
        <f>HYPERLINK("http://www.worldcat.org/oclc/18780785","WorldCat Record")</f>
        <v/>
      </c>
      <c r="AW190" t="inlineStr">
        <is>
          <t>55153364:eng</t>
        </is>
      </c>
      <c r="AX190" t="inlineStr">
        <is>
          <t>18780785</t>
        </is>
      </c>
      <c r="AY190" t="inlineStr">
        <is>
          <t>991001250289702656</t>
        </is>
      </c>
      <c r="AZ190" t="inlineStr">
        <is>
          <t>991001250289702656</t>
        </is>
      </c>
      <c r="BA190" t="inlineStr">
        <is>
          <t>2262257260002656</t>
        </is>
      </c>
      <c r="BB190" t="inlineStr">
        <is>
          <t>BOOK</t>
        </is>
      </c>
      <c r="BD190" t="inlineStr">
        <is>
          <t>9780874341652</t>
        </is>
      </c>
      <c r="BE190" t="inlineStr">
        <is>
          <t>30001001678731</t>
        </is>
      </c>
      <c r="BF190" t="inlineStr">
        <is>
          <t>893149014</t>
        </is>
      </c>
    </row>
    <row r="191">
      <c r="A191" t="inlineStr">
        <is>
          <t>No</t>
        </is>
      </c>
      <c r="B191" t="inlineStr">
        <is>
          <t>CUHSL</t>
        </is>
      </c>
      <c r="C191" t="inlineStr">
        <is>
          <t>SHELVES</t>
        </is>
      </c>
      <c r="D191" t="inlineStr">
        <is>
          <t>WY 18 A773 1973</t>
        </is>
      </c>
      <c r="E191" t="inlineStr">
        <is>
          <t>0                      WY 0018000A  773         1973</t>
        </is>
      </c>
      <c r="F191" t="inlineStr">
        <is>
          <t>Arrangements between an institution of higher education and agencies which provide learning laboratories for nursing education.</t>
        </is>
      </c>
      <c r="H191" t="inlineStr">
        <is>
          <t>No</t>
        </is>
      </c>
      <c r="I191" t="inlineStr">
        <is>
          <t>1</t>
        </is>
      </c>
      <c r="J191" t="inlineStr">
        <is>
          <t>No</t>
        </is>
      </c>
      <c r="K191" t="inlineStr">
        <is>
          <t>No</t>
        </is>
      </c>
      <c r="L191" t="inlineStr">
        <is>
          <t>0</t>
        </is>
      </c>
      <c r="N191" t="inlineStr">
        <is>
          <t>New York : National League for Nursing, c1973.</t>
        </is>
      </c>
      <c r="O191" t="inlineStr">
        <is>
          <t>1973</t>
        </is>
      </c>
      <c r="P191" t="inlineStr">
        <is>
          <t>2d rev. ed.</t>
        </is>
      </c>
      <c r="Q191" t="inlineStr">
        <is>
          <t>eng</t>
        </is>
      </c>
      <c r="R191" t="inlineStr">
        <is>
          <t xml:space="preserve">xx </t>
        </is>
      </c>
      <c r="S191" t="inlineStr">
        <is>
          <t>NLN pub. no. 15-776</t>
        </is>
      </c>
      <c r="T191" t="inlineStr">
        <is>
          <t xml:space="preserve">WY </t>
        </is>
      </c>
      <c r="U191" t="n">
        <v>1</v>
      </c>
      <c r="V191" t="n">
        <v>1</v>
      </c>
      <c r="W191" t="inlineStr">
        <is>
          <t>2008-01-08</t>
        </is>
      </c>
      <c r="X191" t="inlineStr">
        <is>
          <t>2008-01-08</t>
        </is>
      </c>
      <c r="Y191" t="inlineStr">
        <is>
          <t>1987-10-20</t>
        </is>
      </c>
      <c r="Z191" t="inlineStr">
        <is>
          <t>1987-10-20</t>
        </is>
      </c>
      <c r="AA191" t="n">
        <v>30</v>
      </c>
      <c r="AB191" t="n">
        <v>29</v>
      </c>
      <c r="AC191" t="n">
        <v>30</v>
      </c>
      <c r="AD191" t="n">
        <v>1</v>
      </c>
      <c r="AE191" t="n">
        <v>1</v>
      </c>
      <c r="AF191" t="n">
        <v>0</v>
      </c>
      <c r="AG191" t="n">
        <v>0</v>
      </c>
      <c r="AH191" t="n">
        <v>0</v>
      </c>
      <c r="AI191" t="n">
        <v>0</v>
      </c>
      <c r="AJ191" t="n">
        <v>0</v>
      </c>
      <c r="AK191" t="n">
        <v>0</v>
      </c>
      <c r="AL191" t="n">
        <v>0</v>
      </c>
      <c r="AM191" t="n">
        <v>0</v>
      </c>
      <c r="AN191" t="n">
        <v>0</v>
      </c>
      <c r="AO191" t="n">
        <v>0</v>
      </c>
      <c r="AP191" t="n">
        <v>0</v>
      </c>
      <c r="AQ191" t="n">
        <v>0</v>
      </c>
      <c r="AR191" t="inlineStr">
        <is>
          <t>No</t>
        </is>
      </c>
      <c r="AS191" t="inlineStr">
        <is>
          <t>No</t>
        </is>
      </c>
      <c r="AU191">
        <f>HYPERLINK("https://creighton-primo.hosted.exlibrisgroup.com/primo-explore/search?tab=default_tab&amp;search_scope=EVERYTHING&amp;vid=01CRU&amp;lang=en_US&amp;offset=0&amp;query=any,contains,991001364739702656","Catalog Record")</f>
        <v/>
      </c>
      <c r="AV191">
        <f>HYPERLINK("http://www.worldcat.org/oclc/754066","WorldCat Record")</f>
        <v/>
      </c>
      <c r="AW191" t="inlineStr">
        <is>
          <t>1788953824:eng</t>
        </is>
      </c>
      <c r="AX191" t="inlineStr">
        <is>
          <t>754066</t>
        </is>
      </c>
      <c r="AY191" t="inlineStr">
        <is>
          <t>991001364739702656</t>
        </is>
      </c>
      <c r="AZ191" t="inlineStr">
        <is>
          <t>991001364739702656</t>
        </is>
      </c>
      <c r="BA191" t="inlineStr">
        <is>
          <t>2270021570002656</t>
        </is>
      </c>
      <c r="BB191" t="inlineStr">
        <is>
          <t>BOOK</t>
        </is>
      </c>
      <c r="BE191" t="inlineStr">
        <is>
          <t>30001000461170</t>
        </is>
      </c>
      <c r="BF191" t="inlineStr">
        <is>
          <t>893736522</t>
        </is>
      </c>
    </row>
    <row r="192">
      <c r="A192" t="inlineStr">
        <is>
          <t>No</t>
        </is>
      </c>
      <c r="B192" t="inlineStr">
        <is>
          <t>CUHSL</t>
        </is>
      </c>
      <c r="C192" t="inlineStr">
        <is>
          <t>SHELVES</t>
        </is>
      </c>
      <c r="D192" t="inlineStr">
        <is>
          <t>WY 18 A846 1991</t>
        </is>
      </c>
      <c r="E192" t="inlineStr">
        <is>
          <t>0                      WY 0018000A  846         1991</t>
        </is>
      </c>
      <c r="F192" t="inlineStr">
        <is>
          <t>Assessing educational outcomes : third National Conference on Measurement and Evaluation in Nursing / Margery Garbin, editor.</t>
        </is>
      </c>
      <c r="H192" t="inlineStr">
        <is>
          <t>No</t>
        </is>
      </c>
      <c r="I192" t="inlineStr">
        <is>
          <t>1</t>
        </is>
      </c>
      <c r="J192" t="inlineStr">
        <is>
          <t>No</t>
        </is>
      </c>
      <c r="K192" t="inlineStr">
        <is>
          <t>No</t>
        </is>
      </c>
      <c r="L192" t="inlineStr">
        <is>
          <t>0</t>
        </is>
      </c>
      <c r="M192" t="inlineStr">
        <is>
          <t>National Conference on Measurement and Evaluation in Nursing (3rd : 1991 : Nashville, Tenn.)</t>
        </is>
      </c>
      <c r="N192" t="inlineStr">
        <is>
          <t>New York : National League for Nursing, c1991.</t>
        </is>
      </c>
      <c r="O192" t="inlineStr">
        <is>
          <t>1991</t>
        </is>
      </c>
      <c r="Q192" t="inlineStr">
        <is>
          <t>eng</t>
        </is>
      </c>
      <c r="R192" t="inlineStr">
        <is>
          <t>nyu</t>
        </is>
      </c>
      <c r="S192" t="inlineStr">
        <is>
          <t>NLN pub. no. 15-2447.</t>
        </is>
      </c>
      <c r="T192" t="inlineStr">
        <is>
          <t xml:space="preserve">WY </t>
        </is>
      </c>
      <c r="U192" t="n">
        <v>1</v>
      </c>
      <c r="V192" t="n">
        <v>1</v>
      </c>
      <c r="W192" t="inlineStr">
        <is>
          <t>2008-01-08</t>
        </is>
      </c>
      <c r="X192" t="inlineStr">
        <is>
          <t>2008-01-08</t>
        </is>
      </c>
      <c r="Y192" t="inlineStr">
        <is>
          <t>2000-06-15</t>
        </is>
      </c>
      <c r="Z192" t="inlineStr">
        <is>
          <t>2000-06-15</t>
        </is>
      </c>
      <c r="AA192" t="n">
        <v>301</v>
      </c>
      <c r="AB192" t="n">
        <v>267</v>
      </c>
      <c r="AC192" t="n">
        <v>274</v>
      </c>
      <c r="AD192" t="n">
        <v>3</v>
      </c>
      <c r="AE192" t="n">
        <v>3</v>
      </c>
      <c r="AF192" t="n">
        <v>17</v>
      </c>
      <c r="AG192" t="n">
        <v>17</v>
      </c>
      <c r="AH192" t="n">
        <v>8</v>
      </c>
      <c r="AI192" t="n">
        <v>8</v>
      </c>
      <c r="AJ192" t="n">
        <v>5</v>
      </c>
      <c r="AK192" t="n">
        <v>5</v>
      </c>
      <c r="AL192" t="n">
        <v>7</v>
      </c>
      <c r="AM192" t="n">
        <v>7</v>
      </c>
      <c r="AN192" t="n">
        <v>1</v>
      </c>
      <c r="AO192" t="n">
        <v>1</v>
      </c>
      <c r="AP192" t="n">
        <v>0</v>
      </c>
      <c r="AQ192" t="n">
        <v>0</v>
      </c>
      <c r="AR192" t="inlineStr">
        <is>
          <t>No</t>
        </is>
      </c>
      <c r="AS192" t="inlineStr">
        <is>
          <t>Yes</t>
        </is>
      </c>
      <c r="AT192">
        <f>HYPERLINK("http://catalog.hathitrust.org/Record/002507510","HathiTrust Record")</f>
        <v/>
      </c>
      <c r="AU192">
        <f>HYPERLINK("https://creighton-primo.hosted.exlibrisgroup.com/primo-explore/search?tab=default_tab&amp;search_scope=EVERYTHING&amp;vid=01CRU&amp;lang=en_US&amp;offset=0&amp;query=any,contains,991000232349702656","Catalog Record")</f>
        <v/>
      </c>
      <c r="AV192">
        <f>HYPERLINK("http://www.worldcat.org/oclc/26502837","WorldCat Record")</f>
        <v/>
      </c>
      <c r="AW192" t="inlineStr">
        <is>
          <t>1781882048:eng</t>
        </is>
      </c>
      <c r="AX192" t="inlineStr">
        <is>
          <t>26502837</t>
        </is>
      </c>
      <c r="AY192" t="inlineStr">
        <is>
          <t>991000232349702656</t>
        </is>
      </c>
      <c r="AZ192" t="inlineStr">
        <is>
          <t>991000232349702656</t>
        </is>
      </c>
      <c r="BA192" t="inlineStr">
        <is>
          <t>2260097320002656</t>
        </is>
      </c>
      <c r="BB192" t="inlineStr">
        <is>
          <t>BOOK</t>
        </is>
      </c>
      <c r="BD192" t="inlineStr">
        <is>
          <t>9780887375415</t>
        </is>
      </c>
      <c r="BE192" t="inlineStr">
        <is>
          <t>30001002356865</t>
        </is>
      </c>
      <c r="BF192" t="inlineStr">
        <is>
          <t>893354115</t>
        </is>
      </c>
    </row>
    <row r="193">
      <c r="A193" t="inlineStr">
        <is>
          <t>No</t>
        </is>
      </c>
      <c r="B193" t="inlineStr">
        <is>
          <t>CUHSL</t>
        </is>
      </c>
      <c r="C193" t="inlineStr">
        <is>
          <t>SHELVES</t>
        </is>
      </c>
      <c r="D193" t="inlineStr">
        <is>
          <t>WY 18 A849 1983</t>
        </is>
      </c>
      <c r="E193" t="inlineStr">
        <is>
          <t>0                      WY 0018000A  849         1983</t>
        </is>
      </c>
      <c r="F193" t="inlineStr">
        <is>
          <t>The Associate degree nurse, technical or professional?.</t>
        </is>
      </c>
      <c r="H193" t="inlineStr">
        <is>
          <t>No</t>
        </is>
      </c>
      <c r="I193" t="inlineStr">
        <is>
          <t>1</t>
        </is>
      </c>
      <c r="J193" t="inlineStr">
        <is>
          <t>No</t>
        </is>
      </c>
      <c r="K193" t="inlineStr">
        <is>
          <t>No</t>
        </is>
      </c>
      <c r="L193" t="inlineStr">
        <is>
          <t>0</t>
        </is>
      </c>
      <c r="N193" t="inlineStr">
        <is>
          <t>New York : National League for Nursing, c1983.</t>
        </is>
      </c>
      <c r="O193" t="inlineStr">
        <is>
          <t>1983</t>
        </is>
      </c>
      <c r="Q193" t="inlineStr">
        <is>
          <t>eng</t>
        </is>
      </c>
      <c r="R193" t="inlineStr">
        <is>
          <t>nyu</t>
        </is>
      </c>
      <c r="S193" t="inlineStr">
        <is>
          <t>NLN pub. no. 23-1946</t>
        </is>
      </c>
      <c r="T193" t="inlineStr">
        <is>
          <t xml:space="preserve">WY </t>
        </is>
      </c>
      <c r="U193" t="n">
        <v>4</v>
      </c>
      <c r="V193" t="n">
        <v>4</v>
      </c>
      <c r="W193" t="inlineStr">
        <is>
          <t>2008-01-08</t>
        </is>
      </c>
      <c r="X193" t="inlineStr">
        <is>
          <t>2008-01-08</t>
        </is>
      </c>
      <c r="Y193" t="inlineStr">
        <is>
          <t>1987-11-09</t>
        </is>
      </c>
      <c r="Z193" t="inlineStr">
        <is>
          <t>1987-11-09</t>
        </is>
      </c>
      <c r="AA193" t="n">
        <v>89</v>
      </c>
      <c r="AB193" t="n">
        <v>82</v>
      </c>
      <c r="AC193" t="n">
        <v>83</v>
      </c>
      <c r="AD193" t="n">
        <v>1</v>
      </c>
      <c r="AE193" t="n">
        <v>1</v>
      </c>
      <c r="AF193" t="n">
        <v>3</v>
      </c>
      <c r="AG193" t="n">
        <v>3</v>
      </c>
      <c r="AH193" t="n">
        <v>0</v>
      </c>
      <c r="AI193" t="n">
        <v>0</v>
      </c>
      <c r="AJ193" t="n">
        <v>1</v>
      </c>
      <c r="AK193" t="n">
        <v>1</v>
      </c>
      <c r="AL193" t="n">
        <v>2</v>
      </c>
      <c r="AM193" t="n">
        <v>2</v>
      </c>
      <c r="AN193" t="n">
        <v>0</v>
      </c>
      <c r="AO193" t="n">
        <v>0</v>
      </c>
      <c r="AP193" t="n">
        <v>0</v>
      </c>
      <c r="AQ193" t="n">
        <v>0</v>
      </c>
      <c r="AR193" t="inlineStr">
        <is>
          <t>No</t>
        </is>
      </c>
      <c r="AS193" t="inlineStr">
        <is>
          <t>No</t>
        </is>
      </c>
      <c r="AU193">
        <f>HYPERLINK("https://creighton-primo.hosted.exlibrisgroup.com/primo-explore/search?tab=default_tab&amp;search_scope=EVERYTHING&amp;vid=01CRU&amp;lang=en_US&amp;offset=0&amp;query=any,contains,991001389279702656","Catalog Record")</f>
        <v/>
      </c>
      <c r="AV193">
        <f>HYPERLINK("http://www.worldcat.org/oclc/17507119","WorldCat Record")</f>
        <v/>
      </c>
      <c r="AW193" t="inlineStr">
        <is>
          <t>55063554:eng</t>
        </is>
      </c>
      <c r="AX193" t="inlineStr">
        <is>
          <t>17507119</t>
        </is>
      </c>
      <c r="AY193" t="inlineStr">
        <is>
          <t>991001389279702656</t>
        </is>
      </c>
      <c r="AZ193" t="inlineStr">
        <is>
          <t>991001389279702656</t>
        </is>
      </c>
      <c r="BA193" t="inlineStr">
        <is>
          <t>2261617020002656</t>
        </is>
      </c>
      <c r="BB193" t="inlineStr">
        <is>
          <t>BOOK</t>
        </is>
      </c>
      <c r="BD193" t="inlineStr">
        <is>
          <t>9780887373503</t>
        </is>
      </c>
      <c r="BE193" t="inlineStr">
        <is>
          <t>30001000464547</t>
        </is>
      </c>
      <c r="BF193" t="inlineStr">
        <is>
          <t>893377224</t>
        </is>
      </c>
    </row>
    <row r="194">
      <c r="A194" t="inlineStr">
        <is>
          <t>No</t>
        </is>
      </c>
      <c r="B194" t="inlineStr">
        <is>
          <t>CUHSL</t>
        </is>
      </c>
      <c r="C194" t="inlineStr">
        <is>
          <t>SHELVES</t>
        </is>
      </c>
      <c r="D194" t="inlineStr">
        <is>
          <t>WY 18 A849 1989-90</t>
        </is>
      </c>
      <c r="E194" t="inlineStr">
        <is>
          <t>0                      WY 0018000A  849         1989                                        -90</t>
        </is>
      </c>
      <c r="F194" t="inlineStr">
        <is>
          <t>Associate degree nursing programs accredited by the NLN, 1989-90.</t>
        </is>
      </c>
      <c r="H194" t="inlineStr">
        <is>
          <t>No</t>
        </is>
      </c>
      <c r="I194" t="inlineStr">
        <is>
          <t>1</t>
        </is>
      </c>
      <c r="J194" t="inlineStr">
        <is>
          <t>No</t>
        </is>
      </c>
      <c r="K194" t="inlineStr">
        <is>
          <t>No</t>
        </is>
      </c>
      <c r="L194" t="inlineStr">
        <is>
          <t>0</t>
        </is>
      </c>
      <c r="N194" t="inlineStr">
        <is>
          <t>New York : National League for Nursing, c1990.</t>
        </is>
      </c>
      <c r="O194" t="inlineStr">
        <is>
          <t>1990</t>
        </is>
      </c>
      <c r="Q194" t="inlineStr">
        <is>
          <t>eng</t>
        </is>
      </c>
      <c r="R194" t="inlineStr">
        <is>
          <t>nyu</t>
        </is>
      </c>
      <c r="S194" t="inlineStr">
        <is>
          <t>NLN pub. no. 23-1544.</t>
        </is>
      </c>
      <c r="T194" t="inlineStr">
        <is>
          <t xml:space="preserve">WY </t>
        </is>
      </c>
      <c r="U194" t="n">
        <v>1</v>
      </c>
      <c r="V194" t="n">
        <v>1</v>
      </c>
      <c r="W194" t="inlineStr">
        <is>
          <t>1991-05-20</t>
        </is>
      </c>
      <c r="X194" t="inlineStr">
        <is>
          <t>1991-05-20</t>
        </is>
      </c>
      <c r="Y194" t="inlineStr">
        <is>
          <t>1991-05-20</t>
        </is>
      </c>
      <c r="Z194" t="inlineStr">
        <is>
          <t>1991-05-20</t>
        </is>
      </c>
      <c r="AA194" t="n">
        <v>5</v>
      </c>
      <c r="AB194" t="n">
        <v>5</v>
      </c>
      <c r="AC194" t="n">
        <v>5</v>
      </c>
      <c r="AD194" t="n">
        <v>1</v>
      </c>
      <c r="AE194" t="n">
        <v>1</v>
      </c>
      <c r="AF194" t="n">
        <v>0</v>
      </c>
      <c r="AG194" t="n">
        <v>0</v>
      </c>
      <c r="AH194" t="n">
        <v>0</v>
      </c>
      <c r="AI194" t="n">
        <v>0</v>
      </c>
      <c r="AJ194" t="n">
        <v>0</v>
      </c>
      <c r="AK194" t="n">
        <v>0</v>
      </c>
      <c r="AL194" t="n">
        <v>0</v>
      </c>
      <c r="AM194" t="n">
        <v>0</v>
      </c>
      <c r="AN194" t="n">
        <v>0</v>
      </c>
      <c r="AO194" t="n">
        <v>0</v>
      </c>
      <c r="AP194" t="n">
        <v>0</v>
      </c>
      <c r="AQ194" t="n">
        <v>0</v>
      </c>
      <c r="AR194" t="inlineStr">
        <is>
          <t>No</t>
        </is>
      </c>
      <c r="AS194" t="inlineStr">
        <is>
          <t>No</t>
        </is>
      </c>
      <c r="AU194">
        <f>HYPERLINK("https://creighton-primo.hosted.exlibrisgroup.com/primo-explore/search?tab=default_tab&amp;search_scope=EVERYTHING&amp;vid=01CRU&amp;lang=en_US&amp;offset=0&amp;query=any,contains,991000936629702656","Catalog Record")</f>
        <v/>
      </c>
      <c r="AV194">
        <f>HYPERLINK("http://www.worldcat.org/oclc/23725833","WorldCat Record")</f>
        <v/>
      </c>
      <c r="AW194" t="inlineStr">
        <is>
          <t>8907830927:eng</t>
        </is>
      </c>
      <c r="AX194" t="inlineStr">
        <is>
          <t>23725833</t>
        </is>
      </c>
      <c r="AY194" t="inlineStr">
        <is>
          <t>991000936629702656</t>
        </is>
      </c>
      <c r="AZ194" t="inlineStr">
        <is>
          <t>991000936629702656</t>
        </is>
      </c>
      <c r="BA194" t="inlineStr">
        <is>
          <t>2255498320002656</t>
        </is>
      </c>
      <c r="BB194" t="inlineStr">
        <is>
          <t>BOOK</t>
        </is>
      </c>
      <c r="BE194" t="inlineStr">
        <is>
          <t>30001002191122</t>
        </is>
      </c>
      <c r="BF194" t="inlineStr">
        <is>
          <t>893455296</t>
        </is>
      </c>
    </row>
    <row r="195">
      <c r="A195" t="inlineStr">
        <is>
          <t>No</t>
        </is>
      </c>
      <c r="B195" t="inlineStr">
        <is>
          <t>CUHSL</t>
        </is>
      </c>
      <c r="C195" t="inlineStr">
        <is>
          <t>SHELVES</t>
        </is>
      </c>
      <c r="D195" t="inlineStr">
        <is>
          <t>WY 18 A876u 1983</t>
        </is>
      </c>
      <c r="E195" t="inlineStr">
        <is>
          <t>0                      WY 0018000A  876u        1983</t>
        </is>
      </c>
      <c r="F195" t="inlineStr">
        <is>
          <t>Understanding the nursing process / Leslie D. Atkinson, Mary Ellen Murray.</t>
        </is>
      </c>
      <c r="H195" t="inlineStr">
        <is>
          <t>No</t>
        </is>
      </c>
      <c r="I195" t="inlineStr">
        <is>
          <t>1</t>
        </is>
      </c>
      <c r="J195" t="inlineStr">
        <is>
          <t>No</t>
        </is>
      </c>
      <c r="K195" t="inlineStr">
        <is>
          <t>Yes</t>
        </is>
      </c>
      <c r="L195" t="inlineStr">
        <is>
          <t>0</t>
        </is>
      </c>
      <c r="M195" t="inlineStr">
        <is>
          <t>Atkinson, Leslie D.</t>
        </is>
      </c>
      <c r="N195" t="inlineStr">
        <is>
          <t>New York : Macmillan, c1983.</t>
        </is>
      </c>
      <c r="O195" t="inlineStr">
        <is>
          <t>1983</t>
        </is>
      </c>
      <c r="P195" t="inlineStr">
        <is>
          <t>2nd ed.</t>
        </is>
      </c>
      <c r="Q195" t="inlineStr">
        <is>
          <t>eng</t>
        </is>
      </c>
      <c r="R195" t="inlineStr">
        <is>
          <t>xxu</t>
        </is>
      </c>
      <c r="T195" t="inlineStr">
        <is>
          <t xml:space="preserve">WY </t>
        </is>
      </c>
      <c r="U195" t="n">
        <v>0</v>
      </c>
      <c r="V195" t="n">
        <v>0</v>
      </c>
      <c r="W195" t="inlineStr">
        <is>
          <t>2008-01-08</t>
        </is>
      </c>
      <c r="X195" t="inlineStr">
        <is>
          <t>2008-01-08</t>
        </is>
      </c>
      <c r="Y195" t="inlineStr">
        <is>
          <t>1987-12-22</t>
        </is>
      </c>
      <c r="Z195" t="inlineStr">
        <is>
          <t>1987-12-22</t>
        </is>
      </c>
      <c r="AA195" t="n">
        <v>186</v>
      </c>
      <c r="AB195" t="n">
        <v>148</v>
      </c>
      <c r="AC195" t="n">
        <v>341</v>
      </c>
      <c r="AD195" t="n">
        <v>2</v>
      </c>
      <c r="AE195" t="n">
        <v>5</v>
      </c>
      <c r="AF195" t="n">
        <v>6</v>
      </c>
      <c r="AG195" t="n">
        <v>10</v>
      </c>
      <c r="AH195" t="n">
        <v>1</v>
      </c>
      <c r="AI195" t="n">
        <v>1</v>
      </c>
      <c r="AJ195" t="n">
        <v>1</v>
      </c>
      <c r="AK195" t="n">
        <v>1</v>
      </c>
      <c r="AL195" t="n">
        <v>4</v>
      </c>
      <c r="AM195" t="n">
        <v>6</v>
      </c>
      <c r="AN195" t="n">
        <v>1</v>
      </c>
      <c r="AO195" t="n">
        <v>3</v>
      </c>
      <c r="AP195" t="n">
        <v>0</v>
      </c>
      <c r="AQ195" t="n">
        <v>0</v>
      </c>
      <c r="AR195" t="inlineStr">
        <is>
          <t>No</t>
        </is>
      </c>
      <c r="AS195" t="inlineStr">
        <is>
          <t>No</t>
        </is>
      </c>
      <c r="AU195">
        <f>HYPERLINK("https://creighton-primo.hosted.exlibrisgroup.com/primo-explore/search?tab=default_tab&amp;search_scope=EVERYTHING&amp;vid=01CRU&amp;lang=en_US&amp;offset=0&amp;query=any,contains,991000945479702656","Catalog Record")</f>
        <v/>
      </c>
      <c r="AV195">
        <f>HYPERLINK("http://www.worldcat.org/oclc/8785866","WorldCat Record")</f>
        <v/>
      </c>
      <c r="AW195" t="inlineStr">
        <is>
          <t>5567089:eng</t>
        </is>
      </c>
      <c r="AX195" t="inlineStr">
        <is>
          <t>8785866</t>
        </is>
      </c>
      <c r="AY195" t="inlineStr">
        <is>
          <t>991000945479702656</t>
        </is>
      </c>
      <c r="AZ195" t="inlineStr">
        <is>
          <t>991000945479702656</t>
        </is>
      </c>
      <c r="BA195" t="inlineStr">
        <is>
          <t>2266322080002656</t>
        </is>
      </c>
      <c r="BB195" t="inlineStr">
        <is>
          <t>BOOK</t>
        </is>
      </c>
      <c r="BD195" t="inlineStr">
        <is>
          <t>9780023045806</t>
        </is>
      </c>
      <c r="BE195" t="inlineStr">
        <is>
          <t>30001000189631</t>
        </is>
      </c>
      <c r="BF195" t="inlineStr">
        <is>
          <t>893161551</t>
        </is>
      </c>
    </row>
    <row r="196">
      <c r="A196" t="inlineStr">
        <is>
          <t>No</t>
        </is>
      </c>
      <c r="B196" t="inlineStr">
        <is>
          <t>CUHSL</t>
        </is>
      </c>
      <c r="C196" t="inlineStr">
        <is>
          <t>SHELVES</t>
        </is>
      </c>
      <c r="D196" t="inlineStr">
        <is>
          <t>WY 18 AA1 D559 1989</t>
        </is>
      </c>
      <c r="E196" t="inlineStr">
        <is>
          <t>0                      WY 0018000AA 1                  D  559         1989</t>
        </is>
      </c>
      <c r="F196" t="inlineStr">
        <is>
          <t>The NLN criteria for appraisal of baccalaureate programs : a critical hermeneutic analysis / Nancy Diekelmann, David Allen, and Christine Tanner; responses by Hernan Vera and Ann Gothler.</t>
        </is>
      </c>
      <c r="H196" t="inlineStr">
        <is>
          <t>No</t>
        </is>
      </c>
      <c r="I196" t="inlineStr">
        <is>
          <t>1</t>
        </is>
      </c>
      <c r="J196" t="inlineStr">
        <is>
          <t>No</t>
        </is>
      </c>
      <c r="K196" t="inlineStr">
        <is>
          <t>No</t>
        </is>
      </c>
      <c r="L196" t="inlineStr">
        <is>
          <t>0</t>
        </is>
      </c>
      <c r="M196" t="inlineStr">
        <is>
          <t>Diekelmann, Nancy L.</t>
        </is>
      </c>
      <c r="N196" t="inlineStr">
        <is>
          <t>New York : National League for Nursing, 1989.</t>
        </is>
      </c>
      <c r="O196" t="inlineStr">
        <is>
          <t>1989</t>
        </is>
      </c>
      <c r="Q196" t="inlineStr">
        <is>
          <t>eng</t>
        </is>
      </c>
      <c r="R196" t="inlineStr">
        <is>
          <t>nyu</t>
        </is>
      </c>
      <c r="S196" t="inlineStr">
        <is>
          <t>NLN pub. no. 15-2253</t>
        </is>
      </c>
      <c r="T196" t="inlineStr">
        <is>
          <t xml:space="preserve">WY </t>
        </is>
      </c>
      <c r="U196" t="n">
        <v>4</v>
      </c>
      <c r="V196" t="n">
        <v>4</v>
      </c>
      <c r="W196" t="inlineStr">
        <is>
          <t>1989-10-30</t>
        </is>
      </c>
      <c r="X196" t="inlineStr">
        <is>
          <t>1989-10-30</t>
        </is>
      </c>
      <c r="Y196" t="inlineStr">
        <is>
          <t>1989-07-10</t>
        </is>
      </c>
      <c r="Z196" t="inlineStr">
        <is>
          <t>1989-07-10</t>
        </is>
      </c>
      <c r="AA196" t="n">
        <v>169</v>
      </c>
      <c r="AB196" t="n">
        <v>150</v>
      </c>
      <c r="AC196" t="n">
        <v>152</v>
      </c>
      <c r="AD196" t="n">
        <v>2</v>
      </c>
      <c r="AE196" t="n">
        <v>2</v>
      </c>
      <c r="AF196" t="n">
        <v>11</v>
      </c>
      <c r="AG196" t="n">
        <v>11</v>
      </c>
      <c r="AH196" t="n">
        <v>4</v>
      </c>
      <c r="AI196" t="n">
        <v>4</v>
      </c>
      <c r="AJ196" t="n">
        <v>3</v>
      </c>
      <c r="AK196" t="n">
        <v>3</v>
      </c>
      <c r="AL196" t="n">
        <v>6</v>
      </c>
      <c r="AM196" t="n">
        <v>6</v>
      </c>
      <c r="AN196" t="n">
        <v>0</v>
      </c>
      <c r="AO196" t="n">
        <v>0</v>
      </c>
      <c r="AP196" t="n">
        <v>0</v>
      </c>
      <c r="AQ196" t="n">
        <v>0</v>
      </c>
      <c r="AR196" t="inlineStr">
        <is>
          <t>No</t>
        </is>
      </c>
      <c r="AS196" t="inlineStr">
        <is>
          <t>Yes</t>
        </is>
      </c>
      <c r="AT196">
        <f>HYPERLINK("http://catalog.hathitrust.org/Record/002533165","HathiTrust Record")</f>
        <v/>
      </c>
      <c r="AU196">
        <f>HYPERLINK("https://creighton-primo.hosted.exlibrisgroup.com/primo-explore/search?tab=default_tab&amp;search_scope=EVERYTHING&amp;vid=01CRU&amp;lang=en_US&amp;offset=0&amp;query=any,contains,991001311659702656","Catalog Record")</f>
        <v/>
      </c>
      <c r="AV196">
        <f>HYPERLINK("http://www.worldcat.org/oclc/22815537","WorldCat Record")</f>
        <v/>
      </c>
      <c r="AW196" t="inlineStr">
        <is>
          <t>432004827:eng</t>
        </is>
      </c>
      <c r="AX196" t="inlineStr">
        <is>
          <t>22815537</t>
        </is>
      </c>
      <c r="AY196" t="inlineStr">
        <is>
          <t>991001311659702656</t>
        </is>
      </c>
      <c r="AZ196" t="inlineStr">
        <is>
          <t>991001311659702656</t>
        </is>
      </c>
      <c r="BA196" t="inlineStr">
        <is>
          <t>2268243080002656</t>
        </is>
      </c>
      <c r="BB196" t="inlineStr">
        <is>
          <t>BOOK</t>
        </is>
      </c>
      <c r="BD196" t="inlineStr">
        <is>
          <t>9780887374296</t>
        </is>
      </c>
      <c r="BE196" t="inlineStr">
        <is>
          <t>30001001751009</t>
        </is>
      </c>
      <c r="BF196" t="inlineStr">
        <is>
          <t>893727451</t>
        </is>
      </c>
    </row>
    <row r="197">
      <c r="A197" t="inlineStr">
        <is>
          <t>No</t>
        </is>
      </c>
      <c r="B197" t="inlineStr">
        <is>
          <t>CUHSL</t>
        </is>
      </c>
      <c r="C197" t="inlineStr">
        <is>
          <t>SHELVES</t>
        </is>
      </c>
      <c r="D197" t="inlineStr">
        <is>
          <t>WY 18 B109 1991-92</t>
        </is>
      </c>
      <c r="E197" t="inlineStr">
        <is>
          <t>0                      WY 0018000B  109         1991                                        -92</t>
        </is>
      </c>
      <c r="F197" t="inlineStr">
        <is>
          <t>Baccalaureate and master's degree programs in nursing accredited by the NLN, 1991-92.</t>
        </is>
      </c>
      <c r="H197" t="inlineStr">
        <is>
          <t>No</t>
        </is>
      </c>
      <c r="I197" t="inlineStr">
        <is>
          <t>1</t>
        </is>
      </c>
      <c r="J197" t="inlineStr">
        <is>
          <t>No</t>
        </is>
      </c>
      <c r="K197" t="inlineStr">
        <is>
          <t>No</t>
        </is>
      </c>
      <c r="L197" t="inlineStr">
        <is>
          <t>0</t>
        </is>
      </c>
      <c r="N197" t="inlineStr">
        <is>
          <t>New York : National League for Nursing, c1991.</t>
        </is>
      </c>
      <c r="O197" t="inlineStr">
        <is>
          <t>1991</t>
        </is>
      </c>
      <c r="Q197" t="inlineStr">
        <is>
          <t>eng</t>
        </is>
      </c>
      <c r="R197" t="inlineStr">
        <is>
          <t>nyu</t>
        </is>
      </c>
      <c r="S197" t="inlineStr">
        <is>
          <t>NLN pub. no. 15-1310.</t>
        </is>
      </c>
      <c r="T197" t="inlineStr">
        <is>
          <t xml:space="preserve">WY </t>
        </is>
      </c>
      <c r="U197" t="n">
        <v>2</v>
      </c>
      <c r="V197" t="n">
        <v>2</v>
      </c>
      <c r="W197" t="inlineStr">
        <is>
          <t>1997-04-21</t>
        </is>
      </c>
      <c r="X197" t="inlineStr">
        <is>
          <t>1997-04-21</t>
        </is>
      </c>
      <c r="Y197" t="inlineStr">
        <is>
          <t>1991-10-31</t>
        </is>
      </c>
      <c r="Z197" t="inlineStr">
        <is>
          <t>1991-10-31</t>
        </is>
      </c>
      <c r="AA197" t="n">
        <v>5</v>
      </c>
      <c r="AB197" t="n">
        <v>4</v>
      </c>
      <c r="AC197" t="n">
        <v>4</v>
      </c>
      <c r="AD197" t="n">
        <v>1</v>
      </c>
      <c r="AE197" t="n">
        <v>1</v>
      </c>
      <c r="AF197" t="n">
        <v>0</v>
      </c>
      <c r="AG197" t="n">
        <v>0</v>
      </c>
      <c r="AH197" t="n">
        <v>0</v>
      </c>
      <c r="AI197" t="n">
        <v>0</v>
      </c>
      <c r="AJ197" t="n">
        <v>0</v>
      </c>
      <c r="AK197" t="n">
        <v>0</v>
      </c>
      <c r="AL197" t="n">
        <v>0</v>
      </c>
      <c r="AM197" t="n">
        <v>0</v>
      </c>
      <c r="AN197" t="n">
        <v>0</v>
      </c>
      <c r="AO197" t="n">
        <v>0</v>
      </c>
      <c r="AP197" t="n">
        <v>0</v>
      </c>
      <c r="AQ197" t="n">
        <v>0</v>
      </c>
      <c r="AR197" t="inlineStr">
        <is>
          <t>No</t>
        </is>
      </c>
      <c r="AS197" t="inlineStr">
        <is>
          <t>No</t>
        </is>
      </c>
      <c r="AU197">
        <f>HYPERLINK("https://creighton-primo.hosted.exlibrisgroup.com/primo-explore/search?tab=default_tab&amp;search_scope=EVERYTHING&amp;vid=01CRU&amp;lang=en_US&amp;offset=0&amp;query=any,contains,991000613529702656","Catalog Record")</f>
        <v/>
      </c>
      <c r="AV197">
        <f>HYPERLINK("http://www.worldcat.org/oclc/24594154","WorldCat Record")</f>
        <v/>
      </c>
      <c r="AW197" t="inlineStr">
        <is>
          <t>5610423082:eng</t>
        </is>
      </c>
      <c r="AX197" t="inlineStr">
        <is>
          <t>24594154</t>
        </is>
      </c>
      <c r="AY197" t="inlineStr">
        <is>
          <t>991000613529702656</t>
        </is>
      </c>
      <c r="AZ197" t="inlineStr">
        <is>
          <t>991000613529702656</t>
        </is>
      </c>
      <c r="BA197" t="inlineStr">
        <is>
          <t>2269203390002656</t>
        </is>
      </c>
      <c r="BB197" t="inlineStr">
        <is>
          <t>BOOK</t>
        </is>
      </c>
      <c r="BE197" t="inlineStr">
        <is>
          <t>30001002015800</t>
        </is>
      </c>
      <c r="BF197" t="inlineStr">
        <is>
          <t>893545107</t>
        </is>
      </c>
    </row>
    <row r="198">
      <c r="A198" t="inlineStr">
        <is>
          <t>No</t>
        </is>
      </c>
      <c r="B198" t="inlineStr">
        <is>
          <t>CUHSL</t>
        </is>
      </c>
      <c r="C198" t="inlineStr">
        <is>
          <t>SHELVES</t>
        </is>
      </c>
      <c r="D198" t="inlineStr">
        <is>
          <t>WY 18 B117 1980</t>
        </is>
      </c>
      <c r="E198" t="inlineStr">
        <is>
          <t>0                      WY 0018000B  117         1980</t>
        </is>
      </c>
      <c r="F198" t="inlineStr">
        <is>
          <t>Baccalaureate nursing education for registered nurses : issues and approaches.</t>
        </is>
      </c>
      <c r="H198" t="inlineStr">
        <is>
          <t>No</t>
        </is>
      </c>
      <c r="I198" t="inlineStr">
        <is>
          <t>1</t>
        </is>
      </c>
      <c r="J198" t="inlineStr">
        <is>
          <t>No</t>
        </is>
      </c>
      <c r="K198" t="inlineStr">
        <is>
          <t>No</t>
        </is>
      </c>
      <c r="L198" t="inlineStr">
        <is>
          <t>0</t>
        </is>
      </c>
      <c r="N198" t="inlineStr">
        <is>
          <t>New York : National League for Nursing, c1980.</t>
        </is>
      </c>
      <c r="O198" t="inlineStr">
        <is>
          <t>1980</t>
        </is>
      </c>
      <c r="Q198" t="inlineStr">
        <is>
          <t>eng</t>
        </is>
      </c>
      <c r="R198" t="inlineStr">
        <is>
          <t>xxu</t>
        </is>
      </c>
      <c r="S198" t="inlineStr">
        <is>
          <t>NLN pub. no. 15-1812</t>
        </is>
      </c>
      <c r="T198" t="inlineStr">
        <is>
          <t xml:space="preserve">WY </t>
        </is>
      </c>
      <c r="U198" t="n">
        <v>5</v>
      </c>
      <c r="V198" t="n">
        <v>5</v>
      </c>
      <c r="W198" t="inlineStr">
        <is>
          <t>1990-06-12</t>
        </is>
      </c>
      <c r="X198" t="inlineStr">
        <is>
          <t>1990-06-12</t>
        </is>
      </c>
      <c r="Y198" t="inlineStr">
        <is>
          <t>1987-10-29</t>
        </is>
      </c>
      <c r="Z198" t="inlineStr">
        <is>
          <t>1987-10-29</t>
        </is>
      </c>
      <c r="AA198" t="n">
        <v>101</v>
      </c>
      <c r="AB198" t="n">
        <v>87</v>
      </c>
      <c r="AC198" t="n">
        <v>90</v>
      </c>
      <c r="AD198" t="n">
        <v>1</v>
      </c>
      <c r="AE198" t="n">
        <v>1</v>
      </c>
      <c r="AF198" t="n">
        <v>6</v>
      </c>
      <c r="AG198" t="n">
        <v>6</v>
      </c>
      <c r="AH198" t="n">
        <v>3</v>
      </c>
      <c r="AI198" t="n">
        <v>3</v>
      </c>
      <c r="AJ198" t="n">
        <v>2</v>
      </c>
      <c r="AK198" t="n">
        <v>2</v>
      </c>
      <c r="AL198" t="n">
        <v>3</v>
      </c>
      <c r="AM198" t="n">
        <v>3</v>
      </c>
      <c r="AN198" t="n">
        <v>0</v>
      </c>
      <c r="AO198" t="n">
        <v>0</v>
      </c>
      <c r="AP198" t="n">
        <v>0</v>
      </c>
      <c r="AQ198" t="n">
        <v>0</v>
      </c>
      <c r="AR198" t="inlineStr">
        <is>
          <t>No</t>
        </is>
      </c>
      <c r="AS198" t="inlineStr">
        <is>
          <t>Yes</t>
        </is>
      </c>
      <c r="AT198">
        <f>HYPERLINK("http://catalog.hathitrust.org/Record/000245771","HathiTrust Record")</f>
        <v/>
      </c>
      <c r="AU198">
        <f>HYPERLINK("https://creighton-primo.hosted.exlibrisgroup.com/primo-explore/search?tab=default_tab&amp;search_scope=EVERYTHING&amp;vid=01CRU&amp;lang=en_US&amp;offset=0&amp;query=any,contains,991001371519702656","Catalog Record")</f>
        <v/>
      </c>
      <c r="AV198">
        <f>HYPERLINK("http://www.worldcat.org/oclc/7693851","WorldCat Record")</f>
        <v/>
      </c>
      <c r="AW198" t="inlineStr">
        <is>
          <t>29123905:eng</t>
        </is>
      </c>
      <c r="AX198" t="inlineStr">
        <is>
          <t>7693851</t>
        </is>
      </c>
      <c r="AY198" t="inlineStr">
        <is>
          <t>991001371519702656</t>
        </is>
      </c>
      <c r="AZ198" t="inlineStr">
        <is>
          <t>991001371519702656</t>
        </is>
      </c>
      <c r="BA198" t="inlineStr">
        <is>
          <t>2269614430002656</t>
        </is>
      </c>
      <c r="BB198" t="inlineStr">
        <is>
          <t>BOOK</t>
        </is>
      </c>
      <c r="BE198" t="inlineStr">
        <is>
          <t>30001000461873</t>
        </is>
      </c>
      <c r="BF198" t="inlineStr">
        <is>
          <t>893638270</t>
        </is>
      </c>
    </row>
    <row r="199">
      <c r="A199" t="inlineStr">
        <is>
          <t>No</t>
        </is>
      </c>
      <c r="B199" t="inlineStr">
        <is>
          <t>CUHSL</t>
        </is>
      </c>
      <c r="C199" t="inlineStr">
        <is>
          <t>SHELVES</t>
        </is>
      </c>
      <c r="D199" t="inlineStr">
        <is>
          <t>WY 18 B477 1977</t>
        </is>
      </c>
      <c r="E199" t="inlineStr">
        <is>
          <t>0                      WY 0018000B  477         1977</t>
        </is>
      </c>
      <c r="F199" t="inlineStr">
        <is>
          <t>Health care agencies and professionals : a changing relationship / Peter Bentley.</t>
        </is>
      </c>
      <c r="H199" t="inlineStr">
        <is>
          <t>No</t>
        </is>
      </c>
      <c r="I199" t="inlineStr">
        <is>
          <t>1</t>
        </is>
      </c>
      <c r="J199" t="inlineStr">
        <is>
          <t>No</t>
        </is>
      </c>
      <c r="K199" t="inlineStr">
        <is>
          <t>No</t>
        </is>
      </c>
      <c r="L199" t="inlineStr">
        <is>
          <t>0</t>
        </is>
      </c>
      <c r="M199" t="inlineStr">
        <is>
          <t>Bentley, Peter.</t>
        </is>
      </c>
      <c r="N199" t="inlineStr">
        <is>
          <t>New York : National League for Nursing, 1977.</t>
        </is>
      </c>
      <c r="O199" t="inlineStr">
        <is>
          <t>1977</t>
        </is>
      </c>
      <c r="Q199" t="inlineStr">
        <is>
          <t>eng</t>
        </is>
      </c>
      <c r="R199" t="inlineStr">
        <is>
          <t>nyu</t>
        </is>
      </c>
      <c r="S199" t="inlineStr">
        <is>
          <t>NLN pub. no. 14-1669</t>
        </is>
      </c>
      <c r="T199" t="inlineStr">
        <is>
          <t xml:space="preserve">WY </t>
        </is>
      </c>
      <c r="U199" t="n">
        <v>3</v>
      </c>
      <c r="V199" t="n">
        <v>3</v>
      </c>
      <c r="W199" t="inlineStr">
        <is>
          <t>2008-01-08</t>
        </is>
      </c>
      <c r="X199" t="inlineStr">
        <is>
          <t>2008-01-08</t>
        </is>
      </c>
      <c r="Y199" t="inlineStr">
        <is>
          <t>1987-10-14</t>
        </is>
      </c>
      <c r="Z199" t="inlineStr">
        <is>
          <t>1987-10-14</t>
        </is>
      </c>
      <c r="AA199" t="n">
        <v>73</v>
      </c>
      <c r="AB199" t="n">
        <v>61</v>
      </c>
      <c r="AC199" t="n">
        <v>61</v>
      </c>
      <c r="AD199" t="n">
        <v>2</v>
      </c>
      <c r="AE199" t="n">
        <v>2</v>
      </c>
      <c r="AF199" t="n">
        <v>4</v>
      </c>
      <c r="AG199" t="n">
        <v>4</v>
      </c>
      <c r="AH199" t="n">
        <v>0</v>
      </c>
      <c r="AI199" t="n">
        <v>0</v>
      </c>
      <c r="AJ199" t="n">
        <v>1</v>
      </c>
      <c r="AK199" t="n">
        <v>1</v>
      </c>
      <c r="AL199" t="n">
        <v>3</v>
      </c>
      <c r="AM199" t="n">
        <v>3</v>
      </c>
      <c r="AN199" t="n">
        <v>1</v>
      </c>
      <c r="AO199" t="n">
        <v>1</v>
      </c>
      <c r="AP199" t="n">
        <v>0</v>
      </c>
      <c r="AQ199" t="n">
        <v>0</v>
      </c>
      <c r="AR199" t="inlineStr">
        <is>
          <t>No</t>
        </is>
      </c>
      <c r="AS199" t="inlineStr">
        <is>
          <t>No</t>
        </is>
      </c>
      <c r="AU199">
        <f>HYPERLINK("https://creighton-primo.hosted.exlibrisgroup.com/primo-explore/search?tab=default_tab&amp;search_scope=EVERYTHING&amp;vid=01CRU&amp;lang=en_US&amp;offset=0&amp;query=any,contains,991001363779702656","Catalog Record")</f>
        <v/>
      </c>
      <c r="AV199">
        <f>HYPERLINK("http://www.worldcat.org/oclc/3309143","WorldCat Record")</f>
        <v/>
      </c>
      <c r="AW199" t="inlineStr">
        <is>
          <t>1788956297:eng</t>
        </is>
      </c>
      <c r="AX199" t="inlineStr">
        <is>
          <t>3309143</t>
        </is>
      </c>
      <c r="AY199" t="inlineStr">
        <is>
          <t>991001363779702656</t>
        </is>
      </c>
      <c r="AZ199" t="inlineStr">
        <is>
          <t>991001363779702656</t>
        </is>
      </c>
      <c r="BA199" t="inlineStr">
        <is>
          <t>2260495820002656</t>
        </is>
      </c>
      <c r="BB199" t="inlineStr">
        <is>
          <t>BOOK</t>
        </is>
      </c>
      <c r="BE199" t="inlineStr">
        <is>
          <t>30001000461097</t>
        </is>
      </c>
      <c r="BF199" t="inlineStr">
        <is>
          <t>893541301</t>
        </is>
      </c>
    </row>
    <row r="200">
      <c r="A200" t="inlineStr">
        <is>
          <t>No</t>
        </is>
      </c>
      <c r="B200" t="inlineStr">
        <is>
          <t>CUHSL</t>
        </is>
      </c>
      <c r="C200" t="inlineStr">
        <is>
          <t>SHELVES</t>
        </is>
      </c>
      <c r="D200" t="inlineStr">
        <is>
          <t>WY 18 B572c 1989</t>
        </is>
      </c>
      <c r="E200" t="inlineStr">
        <is>
          <t>0                      WY 0018000B  572c        1989</t>
        </is>
      </c>
      <c r="F200" t="inlineStr">
        <is>
          <t>Curriculum building in nursing : a process / Em Olivia Bevis.</t>
        </is>
      </c>
      <c r="H200" t="inlineStr">
        <is>
          <t>No</t>
        </is>
      </c>
      <c r="I200" t="inlineStr">
        <is>
          <t>1</t>
        </is>
      </c>
      <c r="J200" t="inlineStr">
        <is>
          <t>No</t>
        </is>
      </c>
      <c r="K200" t="inlineStr">
        <is>
          <t>No</t>
        </is>
      </c>
      <c r="L200" t="inlineStr">
        <is>
          <t>0</t>
        </is>
      </c>
      <c r="M200" t="inlineStr">
        <is>
          <t>Bevis, Em Olivia.</t>
        </is>
      </c>
      <c r="N200" t="inlineStr">
        <is>
          <t>New York : National League for Nursing, 1989.</t>
        </is>
      </c>
      <c r="O200" t="inlineStr">
        <is>
          <t>1989</t>
        </is>
      </c>
      <c r="P200" t="inlineStr">
        <is>
          <t>3rd ed.</t>
        </is>
      </c>
      <c r="Q200" t="inlineStr">
        <is>
          <t>eng</t>
        </is>
      </c>
      <c r="R200" t="inlineStr">
        <is>
          <t>nyu</t>
        </is>
      </c>
      <c r="S200" t="inlineStr">
        <is>
          <t>NLN pub. no. 15-2277</t>
        </is>
      </c>
      <c r="T200" t="inlineStr">
        <is>
          <t xml:space="preserve">WY </t>
        </is>
      </c>
      <c r="U200" t="n">
        <v>3</v>
      </c>
      <c r="V200" t="n">
        <v>3</v>
      </c>
      <c r="W200" t="inlineStr">
        <is>
          <t>1998-08-03</t>
        </is>
      </c>
      <c r="X200" t="inlineStr">
        <is>
          <t>1998-08-03</t>
        </is>
      </c>
      <c r="Y200" t="inlineStr">
        <is>
          <t>1989-03-23</t>
        </is>
      </c>
      <c r="Z200" t="inlineStr">
        <is>
          <t>1989-03-23</t>
        </is>
      </c>
      <c r="AA200" t="n">
        <v>256</v>
      </c>
      <c r="AB200" t="n">
        <v>219</v>
      </c>
      <c r="AC200" t="n">
        <v>437</v>
      </c>
      <c r="AD200" t="n">
        <v>2</v>
      </c>
      <c r="AE200" t="n">
        <v>4</v>
      </c>
      <c r="AF200" t="n">
        <v>11</v>
      </c>
      <c r="AG200" t="n">
        <v>16</v>
      </c>
      <c r="AH200" t="n">
        <v>3</v>
      </c>
      <c r="AI200" t="n">
        <v>6</v>
      </c>
      <c r="AJ200" t="n">
        <v>2</v>
      </c>
      <c r="AK200" t="n">
        <v>3</v>
      </c>
      <c r="AL200" t="n">
        <v>7</v>
      </c>
      <c r="AM200" t="n">
        <v>9</v>
      </c>
      <c r="AN200" t="n">
        <v>0</v>
      </c>
      <c r="AO200" t="n">
        <v>1</v>
      </c>
      <c r="AP200" t="n">
        <v>0</v>
      </c>
      <c r="AQ200" t="n">
        <v>0</v>
      </c>
      <c r="AR200" t="inlineStr">
        <is>
          <t>No</t>
        </is>
      </c>
      <c r="AS200" t="inlineStr">
        <is>
          <t>Yes</t>
        </is>
      </c>
      <c r="AT200">
        <f>HYPERLINK("http://catalog.hathitrust.org/Record/002511860","HathiTrust Record")</f>
        <v/>
      </c>
      <c r="AU200">
        <f>HYPERLINK("https://creighton-primo.hosted.exlibrisgroup.com/primo-explore/search?tab=default_tab&amp;search_scope=EVERYTHING&amp;vid=01CRU&amp;lang=en_US&amp;offset=0&amp;query=any,contains,991001244899702656","Catalog Record")</f>
        <v/>
      </c>
      <c r="AV200">
        <f>HYPERLINK("http://www.worldcat.org/oclc/19370589","WorldCat Record")</f>
        <v/>
      </c>
      <c r="AW200" t="inlineStr">
        <is>
          <t>1585870:eng</t>
        </is>
      </c>
      <c r="AX200" t="inlineStr">
        <is>
          <t>19370589</t>
        </is>
      </c>
      <c r="AY200" t="inlineStr">
        <is>
          <t>991001244899702656</t>
        </is>
      </c>
      <c r="AZ200" t="inlineStr">
        <is>
          <t>991001244899702656</t>
        </is>
      </c>
      <c r="BA200" t="inlineStr">
        <is>
          <t>2255908510002656</t>
        </is>
      </c>
      <c r="BB200" t="inlineStr">
        <is>
          <t>BOOK</t>
        </is>
      </c>
      <c r="BD200" t="inlineStr">
        <is>
          <t>9780887374395</t>
        </is>
      </c>
      <c r="BE200" t="inlineStr">
        <is>
          <t>30001001676826</t>
        </is>
      </c>
      <c r="BF200" t="inlineStr">
        <is>
          <t>893731776</t>
        </is>
      </c>
    </row>
    <row r="201">
      <c r="A201" t="inlineStr">
        <is>
          <t>No</t>
        </is>
      </c>
      <c r="B201" t="inlineStr">
        <is>
          <t>CUHSL</t>
        </is>
      </c>
      <c r="C201" t="inlineStr">
        <is>
          <t>SHELVES</t>
        </is>
      </c>
      <c r="D201" t="inlineStr">
        <is>
          <t>WY 18 B597s 1982</t>
        </is>
      </c>
      <c r="E201" t="inlineStr">
        <is>
          <t>0                      WY 0018000B  597s        1982</t>
        </is>
      </c>
      <c r="F201" t="inlineStr">
        <is>
          <t>Staff development, a systems approach / Donald A. Bille.</t>
        </is>
      </c>
      <c r="H201" t="inlineStr">
        <is>
          <t>No</t>
        </is>
      </c>
      <c r="I201" t="inlineStr">
        <is>
          <t>1</t>
        </is>
      </c>
      <c r="J201" t="inlineStr">
        <is>
          <t>No</t>
        </is>
      </c>
      <c r="K201" t="inlineStr">
        <is>
          <t>No</t>
        </is>
      </c>
      <c r="L201" t="inlineStr">
        <is>
          <t>0</t>
        </is>
      </c>
      <c r="M201" t="inlineStr">
        <is>
          <t>Bille, Donald A.</t>
        </is>
      </c>
      <c r="N201" t="inlineStr">
        <is>
          <t>Thorofare, N.J. : Slack, c1982.</t>
        </is>
      </c>
      <c r="O201" t="inlineStr">
        <is>
          <t>1982</t>
        </is>
      </c>
      <c r="Q201" t="inlineStr">
        <is>
          <t>eng</t>
        </is>
      </c>
      <c r="R201" t="inlineStr">
        <is>
          <t>xxu</t>
        </is>
      </c>
      <c r="T201" t="inlineStr">
        <is>
          <t xml:space="preserve">WY </t>
        </is>
      </c>
      <c r="U201" t="n">
        <v>3</v>
      </c>
      <c r="V201" t="n">
        <v>3</v>
      </c>
      <c r="W201" t="inlineStr">
        <is>
          <t>1996-03-16</t>
        </is>
      </c>
      <c r="X201" t="inlineStr">
        <is>
          <t>1996-03-16</t>
        </is>
      </c>
      <c r="Y201" t="inlineStr">
        <is>
          <t>1987-12-22</t>
        </is>
      </c>
      <c r="Z201" t="inlineStr">
        <is>
          <t>1987-12-22</t>
        </is>
      </c>
      <c r="AA201" t="n">
        <v>79</v>
      </c>
      <c r="AB201" t="n">
        <v>65</v>
      </c>
      <c r="AC201" t="n">
        <v>65</v>
      </c>
      <c r="AD201" t="n">
        <v>1</v>
      </c>
      <c r="AE201" t="n">
        <v>1</v>
      </c>
      <c r="AF201" t="n">
        <v>1</v>
      </c>
      <c r="AG201" t="n">
        <v>1</v>
      </c>
      <c r="AH201" t="n">
        <v>0</v>
      </c>
      <c r="AI201" t="n">
        <v>0</v>
      </c>
      <c r="AJ201" t="n">
        <v>0</v>
      </c>
      <c r="AK201" t="n">
        <v>0</v>
      </c>
      <c r="AL201" t="n">
        <v>1</v>
      </c>
      <c r="AM201" t="n">
        <v>1</v>
      </c>
      <c r="AN201" t="n">
        <v>0</v>
      </c>
      <c r="AO201" t="n">
        <v>0</v>
      </c>
      <c r="AP201" t="n">
        <v>0</v>
      </c>
      <c r="AQ201" t="n">
        <v>0</v>
      </c>
      <c r="AR201" t="inlineStr">
        <is>
          <t>No</t>
        </is>
      </c>
      <c r="AS201" t="inlineStr">
        <is>
          <t>No</t>
        </is>
      </c>
      <c r="AU201">
        <f>HYPERLINK("https://creighton-primo.hosted.exlibrisgroup.com/primo-explore/search?tab=default_tab&amp;search_scope=EVERYTHING&amp;vid=01CRU&amp;lang=en_US&amp;offset=0&amp;query=any,contains,991000945719702656","Catalog Record")</f>
        <v/>
      </c>
      <c r="AV201">
        <f>HYPERLINK("http://www.worldcat.org/oclc/11444833","WorldCat Record")</f>
        <v/>
      </c>
      <c r="AW201" t="inlineStr">
        <is>
          <t>4145638:eng</t>
        </is>
      </c>
      <c r="AX201" t="inlineStr">
        <is>
          <t>11444833</t>
        </is>
      </c>
      <c r="AY201" t="inlineStr">
        <is>
          <t>991000945719702656</t>
        </is>
      </c>
      <c r="AZ201" t="inlineStr">
        <is>
          <t>991000945719702656</t>
        </is>
      </c>
      <c r="BA201" t="inlineStr">
        <is>
          <t>2261780230002656</t>
        </is>
      </c>
      <c r="BB201" t="inlineStr">
        <is>
          <t>BOOK</t>
        </is>
      </c>
      <c r="BD201" t="inlineStr">
        <is>
          <t>9780913590850</t>
        </is>
      </c>
      <c r="BE201" t="inlineStr">
        <is>
          <t>30001000189748</t>
        </is>
      </c>
      <c r="BF201" t="inlineStr">
        <is>
          <t>893727108</t>
        </is>
      </c>
    </row>
    <row r="202">
      <c r="A202" t="inlineStr">
        <is>
          <t>No</t>
        </is>
      </c>
      <c r="B202" t="inlineStr">
        <is>
          <t>CUHSL</t>
        </is>
      </c>
      <c r="C202" t="inlineStr">
        <is>
          <t>SHELVES</t>
        </is>
      </c>
      <c r="D202" t="inlineStr">
        <is>
          <t>WY 18 B598t 1998</t>
        </is>
      </c>
      <c r="E202" t="inlineStr">
        <is>
          <t>0                      WY 0018000B  598t        1998</t>
        </is>
      </c>
      <c r="F202" t="inlineStr">
        <is>
          <t>Teaching in nursing : a guide for faculty / Diane M. Billings, Judith A. Halstead.</t>
        </is>
      </c>
      <c r="H202" t="inlineStr">
        <is>
          <t>No</t>
        </is>
      </c>
      <c r="I202" t="inlineStr">
        <is>
          <t>1</t>
        </is>
      </c>
      <c r="J202" t="inlineStr">
        <is>
          <t>No</t>
        </is>
      </c>
      <c r="K202" t="inlineStr">
        <is>
          <t>Yes</t>
        </is>
      </c>
      <c r="L202" t="inlineStr">
        <is>
          <t>0</t>
        </is>
      </c>
      <c r="M202" t="inlineStr">
        <is>
          <t>Billings, Diane McGovern.</t>
        </is>
      </c>
      <c r="N202" t="inlineStr">
        <is>
          <t>Philadelphia : Saunders, c1998.</t>
        </is>
      </c>
      <c r="O202" t="inlineStr">
        <is>
          <t>1998</t>
        </is>
      </c>
      <c r="Q202" t="inlineStr">
        <is>
          <t>eng</t>
        </is>
      </c>
      <c r="R202" t="inlineStr">
        <is>
          <t>pau</t>
        </is>
      </c>
      <c r="T202" t="inlineStr">
        <is>
          <t xml:space="preserve">WY </t>
        </is>
      </c>
      <c r="U202" t="n">
        <v>4</v>
      </c>
      <c r="V202" t="n">
        <v>4</v>
      </c>
      <c r="W202" t="inlineStr">
        <is>
          <t>2009-08-27</t>
        </is>
      </c>
      <c r="X202" t="inlineStr">
        <is>
          <t>2009-08-27</t>
        </is>
      </c>
      <c r="Y202" t="inlineStr">
        <is>
          <t>1999-10-14</t>
        </is>
      </c>
      <c r="Z202" t="inlineStr">
        <is>
          <t>1999-10-14</t>
        </is>
      </c>
      <c r="AA202" t="n">
        <v>295</v>
      </c>
      <c r="AB202" t="n">
        <v>222</v>
      </c>
      <c r="AC202" t="n">
        <v>854</v>
      </c>
      <c r="AD202" t="n">
        <v>1</v>
      </c>
      <c r="AE202" t="n">
        <v>11</v>
      </c>
      <c r="AF202" t="n">
        <v>8</v>
      </c>
      <c r="AG202" t="n">
        <v>35</v>
      </c>
      <c r="AH202" t="n">
        <v>4</v>
      </c>
      <c r="AI202" t="n">
        <v>11</v>
      </c>
      <c r="AJ202" t="n">
        <v>1</v>
      </c>
      <c r="AK202" t="n">
        <v>5</v>
      </c>
      <c r="AL202" t="n">
        <v>6</v>
      </c>
      <c r="AM202" t="n">
        <v>16</v>
      </c>
      <c r="AN202" t="n">
        <v>0</v>
      </c>
      <c r="AO202" t="n">
        <v>8</v>
      </c>
      <c r="AP202" t="n">
        <v>0</v>
      </c>
      <c r="AQ202" t="n">
        <v>1</v>
      </c>
      <c r="AR202" t="inlineStr">
        <is>
          <t>No</t>
        </is>
      </c>
      <c r="AS202" t="inlineStr">
        <is>
          <t>Yes</t>
        </is>
      </c>
      <c r="AT202">
        <f>HYPERLINK("http://catalog.hathitrust.org/Record/003248967","HathiTrust Record")</f>
        <v/>
      </c>
      <c r="AU202">
        <f>HYPERLINK("https://creighton-primo.hosted.exlibrisgroup.com/primo-explore/search?tab=default_tab&amp;search_scope=EVERYTHING&amp;vid=01CRU&amp;lang=en_US&amp;offset=0&amp;query=any,contains,991000597369702656","Catalog Record")</f>
        <v/>
      </c>
      <c r="AV202">
        <f>HYPERLINK("http://www.worldcat.org/oclc/38017009","WorldCat Record")</f>
        <v/>
      </c>
      <c r="AW202" t="inlineStr">
        <is>
          <t>364478096:eng</t>
        </is>
      </c>
      <c r="AX202" t="inlineStr">
        <is>
          <t>38017009</t>
        </is>
      </c>
      <c r="AY202" t="inlineStr">
        <is>
          <t>991000597369702656</t>
        </is>
      </c>
      <c r="AZ202" t="inlineStr">
        <is>
          <t>991000597369702656</t>
        </is>
      </c>
      <c r="BA202" t="inlineStr">
        <is>
          <t>2266647400002656</t>
        </is>
      </c>
      <c r="BB202" t="inlineStr">
        <is>
          <t>BOOK</t>
        </is>
      </c>
      <c r="BD202" t="inlineStr">
        <is>
          <t>9780721630373</t>
        </is>
      </c>
      <c r="BE202" t="inlineStr">
        <is>
          <t>30001004015634</t>
        </is>
      </c>
      <c r="BF202" t="inlineStr">
        <is>
          <t>893167292</t>
        </is>
      </c>
    </row>
    <row r="203">
      <c r="A203" t="inlineStr">
        <is>
          <t>No</t>
        </is>
      </c>
      <c r="B203" t="inlineStr">
        <is>
          <t>CUHSL</t>
        </is>
      </c>
      <c r="C203" t="inlineStr">
        <is>
          <t>SHELVES</t>
        </is>
      </c>
      <c r="D203" t="inlineStr">
        <is>
          <t>WY 18 B878c 1977</t>
        </is>
      </c>
      <c r="E203" t="inlineStr">
        <is>
          <t>0                      WY 0018000B  878c        1977</t>
        </is>
      </c>
      <c r="F203" t="inlineStr">
        <is>
          <t>Community involvement in health-related programs / [by Elsa L. Brown].</t>
        </is>
      </c>
      <c r="H203" t="inlineStr">
        <is>
          <t>No</t>
        </is>
      </c>
      <c r="I203" t="inlineStr">
        <is>
          <t>1</t>
        </is>
      </c>
      <c r="J203" t="inlineStr">
        <is>
          <t>No</t>
        </is>
      </c>
      <c r="K203" t="inlineStr">
        <is>
          <t>No</t>
        </is>
      </c>
      <c r="L203" t="inlineStr">
        <is>
          <t>0</t>
        </is>
      </c>
      <c r="M203" t="inlineStr">
        <is>
          <t>Brown, Elsa L. (Elsa Lusebrink), 1920-</t>
        </is>
      </c>
      <c r="N203" t="inlineStr">
        <is>
          <t>New York : National League for Nursing, c1978.</t>
        </is>
      </c>
      <c r="O203" t="inlineStr">
        <is>
          <t>1977</t>
        </is>
      </c>
      <c r="Q203" t="inlineStr">
        <is>
          <t>eng</t>
        </is>
      </c>
      <c r="R203" t="inlineStr">
        <is>
          <t>nyu</t>
        </is>
      </c>
      <c r="S203" t="inlineStr">
        <is>
          <t>NLN pub. no. 23-1703</t>
        </is>
      </c>
      <c r="T203" t="inlineStr">
        <is>
          <t xml:space="preserve">WY </t>
        </is>
      </c>
      <c r="U203" t="n">
        <v>1</v>
      </c>
      <c r="V203" t="n">
        <v>1</v>
      </c>
      <c r="W203" t="inlineStr">
        <is>
          <t>1990-08-03</t>
        </is>
      </c>
      <c r="X203" t="inlineStr">
        <is>
          <t>1990-08-03</t>
        </is>
      </c>
      <c r="Y203" t="inlineStr">
        <is>
          <t>1987-11-05</t>
        </is>
      </c>
      <c r="Z203" t="inlineStr">
        <is>
          <t>1987-11-05</t>
        </is>
      </c>
      <c r="AA203" t="n">
        <v>70</v>
      </c>
      <c r="AB203" t="n">
        <v>63</v>
      </c>
      <c r="AC203" t="n">
        <v>65</v>
      </c>
      <c r="AD203" t="n">
        <v>1</v>
      </c>
      <c r="AE203" t="n">
        <v>1</v>
      </c>
      <c r="AF203" t="n">
        <v>2</v>
      </c>
      <c r="AG203" t="n">
        <v>2</v>
      </c>
      <c r="AH203" t="n">
        <v>0</v>
      </c>
      <c r="AI203" t="n">
        <v>0</v>
      </c>
      <c r="AJ203" t="n">
        <v>0</v>
      </c>
      <c r="AK203" t="n">
        <v>0</v>
      </c>
      <c r="AL203" t="n">
        <v>2</v>
      </c>
      <c r="AM203" t="n">
        <v>2</v>
      </c>
      <c r="AN203" t="n">
        <v>0</v>
      </c>
      <c r="AO203" t="n">
        <v>0</v>
      </c>
      <c r="AP203" t="n">
        <v>0</v>
      </c>
      <c r="AQ203" t="n">
        <v>0</v>
      </c>
      <c r="AR203" t="inlineStr">
        <is>
          <t>No</t>
        </is>
      </c>
      <c r="AS203" t="inlineStr">
        <is>
          <t>Yes</t>
        </is>
      </c>
      <c r="AT203">
        <f>HYPERLINK("http://catalog.hathitrust.org/Record/000685809","HathiTrust Record")</f>
        <v/>
      </c>
      <c r="AU203">
        <f>HYPERLINK("https://creighton-primo.hosted.exlibrisgroup.com/primo-explore/search?tab=default_tab&amp;search_scope=EVERYTHING&amp;vid=01CRU&amp;lang=en_US&amp;offset=0&amp;query=any,contains,991001388199702656","Catalog Record")</f>
        <v/>
      </c>
      <c r="AV203">
        <f>HYPERLINK("http://www.worldcat.org/oclc/3780063","WorldCat Record")</f>
        <v/>
      </c>
      <c r="AW203" t="inlineStr">
        <is>
          <t>12476224:eng</t>
        </is>
      </c>
      <c r="AX203" t="inlineStr">
        <is>
          <t>3780063</t>
        </is>
      </c>
      <c r="AY203" t="inlineStr">
        <is>
          <t>991001388199702656</t>
        </is>
      </c>
      <c r="AZ203" t="inlineStr">
        <is>
          <t>991001388199702656</t>
        </is>
      </c>
      <c r="BA203" t="inlineStr">
        <is>
          <t>2257902970002656</t>
        </is>
      </c>
      <c r="BB203" t="inlineStr">
        <is>
          <t>BOOK</t>
        </is>
      </c>
      <c r="BE203" t="inlineStr">
        <is>
          <t>30001000464265</t>
        </is>
      </c>
      <c r="BF203" t="inlineStr">
        <is>
          <t>893455735</t>
        </is>
      </c>
    </row>
    <row r="204">
      <c r="A204" t="inlineStr">
        <is>
          <t>No</t>
        </is>
      </c>
      <c r="B204" t="inlineStr">
        <is>
          <t>CUHSL</t>
        </is>
      </c>
      <c r="C204" t="inlineStr">
        <is>
          <t>SHELVES</t>
        </is>
      </c>
      <c r="D204" t="inlineStr">
        <is>
          <t>WY 18 B878h 1980</t>
        </is>
      </c>
      <c r="E204" t="inlineStr">
        <is>
          <t>0                      WY 0018000B  878h        1980</t>
        </is>
      </c>
      <c r="F204" t="inlineStr">
        <is>
          <t>Health maintenance / author and consultant, Marie Scott Brown.</t>
        </is>
      </c>
      <c r="H204" t="inlineStr">
        <is>
          <t>No</t>
        </is>
      </c>
      <c r="I204" t="inlineStr">
        <is>
          <t>1</t>
        </is>
      </c>
      <c r="J204" t="inlineStr">
        <is>
          <t>No</t>
        </is>
      </c>
      <c r="K204" t="inlineStr">
        <is>
          <t>No</t>
        </is>
      </c>
      <c r="L204" t="inlineStr">
        <is>
          <t>0</t>
        </is>
      </c>
      <c r="M204" t="inlineStr">
        <is>
          <t>Brown, Marie Scott.</t>
        </is>
      </c>
      <c r="N204" t="inlineStr">
        <is>
          <t>New York : Wiley, c1980.</t>
        </is>
      </c>
      <c r="O204" t="inlineStr">
        <is>
          <t>1980</t>
        </is>
      </c>
      <c r="Q204" t="inlineStr">
        <is>
          <t>eng</t>
        </is>
      </c>
      <c r="R204" t="inlineStr">
        <is>
          <t>xxu</t>
        </is>
      </c>
      <c r="S204" t="inlineStr">
        <is>
          <t>Wiley nursing concept module</t>
        </is>
      </c>
      <c r="T204" t="inlineStr">
        <is>
          <t xml:space="preserve">WY </t>
        </is>
      </c>
      <c r="U204" t="n">
        <v>2</v>
      </c>
      <c r="V204" t="n">
        <v>2</v>
      </c>
      <c r="W204" t="inlineStr">
        <is>
          <t>1994-02-16</t>
        </is>
      </c>
      <c r="X204" t="inlineStr">
        <is>
          <t>1994-02-16</t>
        </is>
      </c>
      <c r="Y204" t="inlineStr">
        <is>
          <t>1987-12-22</t>
        </is>
      </c>
      <c r="Z204" t="inlineStr">
        <is>
          <t>1987-12-22</t>
        </is>
      </c>
      <c r="AA204" t="n">
        <v>108</v>
      </c>
      <c r="AB204" t="n">
        <v>77</v>
      </c>
      <c r="AC204" t="n">
        <v>77</v>
      </c>
      <c r="AD204" t="n">
        <v>1</v>
      </c>
      <c r="AE204" t="n">
        <v>1</v>
      </c>
      <c r="AF204" t="n">
        <v>1</v>
      </c>
      <c r="AG204" t="n">
        <v>1</v>
      </c>
      <c r="AH204" t="n">
        <v>0</v>
      </c>
      <c r="AI204" t="n">
        <v>0</v>
      </c>
      <c r="AJ204" t="n">
        <v>0</v>
      </c>
      <c r="AK204" t="n">
        <v>0</v>
      </c>
      <c r="AL204" t="n">
        <v>1</v>
      </c>
      <c r="AM204" t="n">
        <v>1</v>
      </c>
      <c r="AN204" t="n">
        <v>0</v>
      </c>
      <c r="AO204" t="n">
        <v>0</v>
      </c>
      <c r="AP204" t="n">
        <v>0</v>
      </c>
      <c r="AQ204" t="n">
        <v>0</v>
      </c>
      <c r="AR204" t="inlineStr">
        <is>
          <t>No</t>
        </is>
      </c>
      <c r="AS204" t="inlineStr">
        <is>
          <t>No</t>
        </is>
      </c>
      <c r="AU204">
        <f>HYPERLINK("https://creighton-primo.hosted.exlibrisgroup.com/primo-explore/search?tab=default_tab&amp;search_scope=EVERYTHING&amp;vid=01CRU&amp;lang=en_US&amp;offset=0&amp;query=any,contains,991000945849702656","Catalog Record")</f>
        <v/>
      </c>
      <c r="AV204">
        <f>HYPERLINK("http://www.worldcat.org/oclc/5798653","WorldCat Record")</f>
        <v/>
      </c>
      <c r="AW204" t="inlineStr">
        <is>
          <t>20354848:eng</t>
        </is>
      </c>
      <c r="AX204" t="inlineStr">
        <is>
          <t>5798653</t>
        </is>
      </c>
      <c r="AY204" t="inlineStr">
        <is>
          <t>991000945849702656</t>
        </is>
      </c>
      <c r="AZ204" t="inlineStr">
        <is>
          <t>991000945849702656</t>
        </is>
      </c>
      <c r="BA204" t="inlineStr">
        <is>
          <t>2267542250002656</t>
        </is>
      </c>
      <c r="BB204" t="inlineStr">
        <is>
          <t>BOOK</t>
        </is>
      </c>
      <c r="BD204" t="inlineStr">
        <is>
          <t>9780471037828</t>
        </is>
      </c>
      <c r="BE204" t="inlineStr">
        <is>
          <t>30001000189755</t>
        </is>
      </c>
      <c r="BF204" t="inlineStr">
        <is>
          <t>893278514</t>
        </is>
      </c>
    </row>
    <row r="205">
      <c r="A205" t="inlineStr">
        <is>
          <t>No</t>
        </is>
      </c>
      <c r="B205" t="inlineStr">
        <is>
          <t>CUHSL</t>
        </is>
      </c>
      <c r="C205" t="inlineStr">
        <is>
          <t>SHELVES</t>
        </is>
      </c>
      <c r="D205" t="inlineStr">
        <is>
          <t>WY 18 B967p 1974</t>
        </is>
      </c>
      <c r="E205" t="inlineStr">
        <is>
          <t>0                      WY 0018000B  967p        1974</t>
        </is>
      </c>
      <c r="F205" t="inlineStr">
        <is>
          <t>Perceived need for technical specialists in nursing care of hospitalized patients / Helen H. Burnside.</t>
        </is>
      </c>
      <c r="H205" t="inlineStr">
        <is>
          <t>No</t>
        </is>
      </c>
      <c r="I205" t="inlineStr">
        <is>
          <t>1</t>
        </is>
      </c>
      <c r="J205" t="inlineStr">
        <is>
          <t>No</t>
        </is>
      </c>
      <c r="K205" t="inlineStr">
        <is>
          <t>No</t>
        </is>
      </c>
      <c r="L205" t="inlineStr">
        <is>
          <t>0</t>
        </is>
      </c>
      <c r="M205" t="inlineStr">
        <is>
          <t>Burnside, Helen H.</t>
        </is>
      </c>
      <c r="N205" t="inlineStr">
        <is>
          <t>New York : National League for Nursing, [1974]</t>
        </is>
      </c>
      <c r="O205" t="inlineStr">
        <is>
          <t>1974</t>
        </is>
      </c>
      <c r="Q205" t="inlineStr">
        <is>
          <t>eng</t>
        </is>
      </c>
      <c r="R205" t="inlineStr">
        <is>
          <t>nyu</t>
        </is>
      </c>
      <c r="S205" t="inlineStr">
        <is>
          <t>League exchange ; no. 102</t>
        </is>
      </c>
      <c r="T205" t="inlineStr">
        <is>
          <t xml:space="preserve">WY </t>
        </is>
      </c>
      <c r="U205" t="n">
        <v>1</v>
      </c>
      <c r="V205" t="n">
        <v>1</v>
      </c>
      <c r="W205" t="inlineStr">
        <is>
          <t>1990-08-20</t>
        </is>
      </c>
      <c r="X205" t="inlineStr">
        <is>
          <t>1990-08-20</t>
        </is>
      </c>
      <c r="Y205" t="inlineStr">
        <is>
          <t>1987-11-05</t>
        </is>
      </c>
      <c r="Z205" t="inlineStr">
        <is>
          <t>1987-11-05</t>
        </is>
      </c>
      <c r="AA205" t="n">
        <v>86</v>
      </c>
      <c r="AB205" t="n">
        <v>75</v>
      </c>
      <c r="AC205" t="n">
        <v>80</v>
      </c>
      <c r="AD205" t="n">
        <v>2</v>
      </c>
      <c r="AE205" t="n">
        <v>2</v>
      </c>
      <c r="AF205" t="n">
        <v>3</v>
      </c>
      <c r="AG205" t="n">
        <v>3</v>
      </c>
      <c r="AH205" t="n">
        <v>0</v>
      </c>
      <c r="AI205" t="n">
        <v>0</v>
      </c>
      <c r="AJ205" t="n">
        <v>0</v>
      </c>
      <c r="AK205" t="n">
        <v>0</v>
      </c>
      <c r="AL205" t="n">
        <v>3</v>
      </c>
      <c r="AM205" t="n">
        <v>3</v>
      </c>
      <c r="AN205" t="n">
        <v>0</v>
      </c>
      <c r="AO205" t="n">
        <v>0</v>
      </c>
      <c r="AP205" t="n">
        <v>0</v>
      </c>
      <c r="AQ205" t="n">
        <v>0</v>
      </c>
      <c r="AR205" t="inlineStr">
        <is>
          <t>No</t>
        </is>
      </c>
      <c r="AS205" t="inlineStr">
        <is>
          <t>Yes</t>
        </is>
      </c>
      <c r="AT205">
        <f>HYPERLINK("http://catalog.hathitrust.org/Record/000024835","HathiTrust Record")</f>
        <v/>
      </c>
      <c r="AU205">
        <f>HYPERLINK("https://creighton-primo.hosted.exlibrisgroup.com/primo-explore/search?tab=default_tab&amp;search_scope=EVERYTHING&amp;vid=01CRU&amp;lang=en_US&amp;offset=0&amp;query=any,contains,991001387689702656","Catalog Record")</f>
        <v/>
      </c>
      <c r="AV205">
        <f>HYPERLINK("http://www.worldcat.org/oclc/1091225","WorldCat Record")</f>
        <v/>
      </c>
      <c r="AW205" t="inlineStr">
        <is>
          <t>2061956:eng</t>
        </is>
      </c>
      <c r="AX205" t="inlineStr">
        <is>
          <t>1091225</t>
        </is>
      </c>
      <c r="AY205" t="inlineStr">
        <is>
          <t>991001387689702656</t>
        </is>
      </c>
      <c r="AZ205" t="inlineStr">
        <is>
          <t>991001387689702656</t>
        </is>
      </c>
      <c r="BA205" t="inlineStr">
        <is>
          <t>2265990980002656</t>
        </is>
      </c>
      <c r="BB205" t="inlineStr">
        <is>
          <t>BOOK</t>
        </is>
      </c>
      <c r="BE205" t="inlineStr">
        <is>
          <t>30001000464133</t>
        </is>
      </c>
      <c r="BF205" t="inlineStr">
        <is>
          <t>893546645</t>
        </is>
      </c>
    </row>
    <row r="206">
      <c r="A206" t="inlineStr">
        <is>
          <t>No</t>
        </is>
      </c>
      <c r="B206" t="inlineStr">
        <is>
          <t>CUHSL</t>
        </is>
      </c>
      <c r="C206" t="inlineStr">
        <is>
          <t>SHELVES</t>
        </is>
      </c>
      <c r="D206" t="inlineStr">
        <is>
          <t>WY 18 C289d 1974</t>
        </is>
      </c>
      <c r="E206" t="inlineStr">
        <is>
          <t>0                      WY 0018000C  289d        1974</t>
        </is>
      </c>
      <c r="F206" t="inlineStr">
        <is>
          <t>Disadvantaged students in R.N. programs : a comparative study of school-completion records of two groups of socioeconomically disadvantaged students in programs leading to registered nurse licensure / M. Elizabeth Carnegie.</t>
        </is>
      </c>
      <c r="H206" t="inlineStr">
        <is>
          <t>No</t>
        </is>
      </c>
      <c r="I206" t="inlineStr">
        <is>
          <t>1</t>
        </is>
      </c>
      <c r="J206" t="inlineStr">
        <is>
          <t>No</t>
        </is>
      </c>
      <c r="K206" t="inlineStr">
        <is>
          <t>No</t>
        </is>
      </c>
      <c r="L206" t="inlineStr">
        <is>
          <t>0</t>
        </is>
      </c>
      <c r="M206" t="inlineStr">
        <is>
          <t>Carnegie, Mary Elizabeth, 1916-2008.</t>
        </is>
      </c>
      <c r="N206" t="inlineStr">
        <is>
          <t>New York : National League for Nursing, c1974.</t>
        </is>
      </c>
      <c r="O206" t="inlineStr">
        <is>
          <t>1974</t>
        </is>
      </c>
      <c r="Q206" t="inlineStr">
        <is>
          <t>eng</t>
        </is>
      </c>
      <c r="R206" t="inlineStr">
        <is>
          <t>nyu</t>
        </is>
      </c>
      <c r="S206" t="inlineStr">
        <is>
          <t>National League for Nursing. League exchange ; no. 100</t>
        </is>
      </c>
      <c r="T206" t="inlineStr">
        <is>
          <t xml:space="preserve">WY </t>
        </is>
      </c>
      <c r="U206" t="n">
        <v>1</v>
      </c>
      <c r="V206" t="n">
        <v>1</v>
      </c>
      <c r="W206" t="inlineStr">
        <is>
          <t>1990-04-20</t>
        </is>
      </c>
      <c r="X206" t="inlineStr">
        <is>
          <t>1990-04-20</t>
        </is>
      </c>
      <c r="Y206" t="inlineStr">
        <is>
          <t>1987-10-14</t>
        </is>
      </c>
      <c r="Z206" t="inlineStr">
        <is>
          <t>1987-10-14</t>
        </is>
      </c>
      <c r="AA206" t="n">
        <v>89</v>
      </c>
      <c r="AB206" t="n">
        <v>83</v>
      </c>
      <c r="AC206" t="n">
        <v>84</v>
      </c>
      <c r="AD206" t="n">
        <v>2</v>
      </c>
      <c r="AE206" t="n">
        <v>2</v>
      </c>
      <c r="AF206" t="n">
        <v>3</v>
      </c>
      <c r="AG206" t="n">
        <v>3</v>
      </c>
      <c r="AH206" t="n">
        <v>0</v>
      </c>
      <c r="AI206" t="n">
        <v>0</v>
      </c>
      <c r="AJ206" t="n">
        <v>1</v>
      </c>
      <c r="AK206" t="n">
        <v>1</v>
      </c>
      <c r="AL206" t="n">
        <v>3</v>
      </c>
      <c r="AM206" t="n">
        <v>3</v>
      </c>
      <c r="AN206" t="n">
        <v>0</v>
      </c>
      <c r="AO206" t="n">
        <v>0</v>
      </c>
      <c r="AP206" t="n">
        <v>0</v>
      </c>
      <c r="AQ206" t="n">
        <v>0</v>
      </c>
      <c r="AR206" t="inlineStr">
        <is>
          <t>No</t>
        </is>
      </c>
      <c r="AS206" t="inlineStr">
        <is>
          <t>No</t>
        </is>
      </c>
      <c r="AU206">
        <f>HYPERLINK("https://creighton-primo.hosted.exlibrisgroup.com/primo-explore/search?tab=default_tab&amp;search_scope=EVERYTHING&amp;vid=01CRU&amp;lang=en_US&amp;offset=0&amp;query=any,contains,991001363169702656","Catalog Record")</f>
        <v/>
      </c>
      <c r="AV206">
        <f>HYPERLINK("http://www.worldcat.org/oclc/9882023","WorldCat Record")</f>
        <v/>
      </c>
      <c r="AW206" t="inlineStr">
        <is>
          <t>1788950636:eng</t>
        </is>
      </c>
      <c r="AX206" t="inlineStr">
        <is>
          <t>9882023</t>
        </is>
      </c>
      <c r="AY206" t="inlineStr">
        <is>
          <t>991001363169702656</t>
        </is>
      </c>
      <c r="AZ206" t="inlineStr">
        <is>
          <t>991001363169702656</t>
        </is>
      </c>
      <c r="BA206" t="inlineStr">
        <is>
          <t>2262954040002656</t>
        </is>
      </c>
      <c r="BB206" t="inlineStr">
        <is>
          <t>BOOK</t>
        </is>
      </c>
      <c r="BE206" t="inlineStr">
        <is>
          <t>30001000461006</t>
        </is>
      </c>
      <c r="BF206" t="inlineStr">
        <is>
          <t>893638268</t>
        </is>
      </c>
    </row>
    <row r="207">
      <c r="A207" t="inlineStr">
        <is>
          <t>No</t>
        </is>
      </c>
      <c r="B207" t="inlineStr">
        <is>
          <t>CUHSL</t>
        </is>
      </c>
      <c r="C207" t="inlineStr">
        <is>
          <t>SHELVES</t>
        </is>
      </c>
      <c r="D207" t="inlineStr">
        <is>
          <t>WY 18 C294g 1985</t>
        </is>
      </c>
      <c r="E207" t="inlineStr">
        <is>
          <t>0                      WY 0018000C  294g        1985</t>
        </is>
      </c>
      <c r="F207" t="inlineStr">
        <is>
          <t>A guide for effective clinical instruction / Lynda Juall Carpenito, T. Audean Duespohl.</t>
        </is>
      </c>
      <c r="H207" t="inlineStr">
        <is>
          <t>No</t>
        </is>
      </c>
      <c r="I207" t="inlineStr">
        <is>
          <t>1</t>
        </is>
      </c>
      <c r="J207" t="inlineStr">
        <is>
          <t>No</t>
        </is>
      </c>
      <c r="K207" t="inlineStr">
        <is>
          <t>Yes</t>
        </is>
      </c>
      <c r="L207" t="inlineStr">
        <is>
          <t>0</t>
        </is>
      </c>
      <c r="M207" t="inlineStr">
        <is>
          <t>Carpenito, Lynda Juall.</t>
        </is>
      </c>
      <c r="N207" t="inlineStr">
        <is>
          <t>Rockville, Md. : Aspen Systems Corp., c1985.</t>
        </is>
      </c>
      <c r="O207" t="inlineStr">
        <is>
          <t>1985</t>
        </is>
      </c>
      <c r="P207" t="inlineStr">
        <is>
          <t>2nd ed.</t>
        </is>
      </c>
      <c r="Q207" t="inlineStr">
        <is>
          <t>eng</t>
        </is>
      </c>
      <c r="R207" t="inlineStr">
        <is>
          <t>xxu</t>
        </is>
      </c>
      <c r="T207" t="inlineStr">
        <is>
          <t xml:space="preserve">WY </t>
        </is>
      </c>
      <c r="U207" t="n">
        <v>5</v>
      </c>
      <c r="V207" t="n">
        <v>5</v>
      </c>
      <c r="W207" t="inlineStr">
        <is>
          <t>1993-10-07</t>
        </is>
      </c>
      <c r="X207" t="inlineStr">
        <is>
          <t>1993-10-07</t>
        </is>
      </c>
      <c r="Y207" t="inlineStr">
        <is>
          <t>1987-12-28</t>
        </is>
      </c>
      <c r="Z207" t="inlineStr">
        <is>
          <t>1987-12-28</t>
        </is>
      </c>
      <c r="AA207" t="n">
        <v>255</v>
      </c>
      <c r="AB207" t="n">
        <v>230</v>
      </c>
      <c r="AC207" t="n">
        <v>355</v>
      </c>
      <c r="AD207" t="n">
        <v>2</v>
      </c>
      <c r="AE207" t="n">
        <v>3</v>
      </c>
      <c r="AF207" t="n">
        <v>7</v>
      </c>
      <c r="AG207" t="n">
        <v>12</v>
      </c>
      <c r="AH207" t="n">
        <v>2</v>
      </c>
      <c r="AI207" t="n">
        <v>4</v>
      </c>
      <c r="AJ207" t="n">
        <v>1</v>
      </c>
      <c r="AK207" t="n">
        <v>1</v>
      </c>
      <c r="AL207" t="n">
        <v>4</v>
      </c>
      <c r="AM207" t="n">
        <v>7</v>
      </c>
      <c r="AN207" t="n">
        <v>1</v>
      </c>
      <c r="AO207" t="n">
        <v>2</v>
      </c>
      <c r="AP207" t="n">
        <v>0</v>
      </c>
      <c r="AQ207" t="n">
        <v>0</v>
      </c>
      <c r="AR207" t="inlineStr">
        <is>
          <t>No</t>
        </is>
      </c>
      <c r="AS207" t="inlineStr">
        <is>
          <t>Yes</t>
        </is>
      </c>
      <c r="AT207">
        <f>HYPERLINK("http://catalog.hathitrust.org/Record/000368924","HathiTrust Record")</f>
        <v/>
      </c>
      <c r="AU207">
        <f>HYPERLINK("https://creighton-primo.hosted.exlibrisgroup.com/primo-explore/search?tab=default_tab&amp;search_scope=EVERYTHING&amp;vid=01CRU&amp;lang=en_US&amp;offset=0&amp;query=any,contains,991001039699702656","Catalog Record")</f>
        <v/>
      </c>
      <c r="AV207">
        <f>HYPERLINK("http://www.worldcat.org/oclc/11290804","WorldCat Record")</f>
        <v/>
      </c>
      <c r="AW207" t="inlineStr">
        <is>
          <t>4138534:eng</t>
        </is>
      </c>
      <c r="AX207" t="inlineStr">
        <is>
          <t>11290804</t>
        </is>
      </c>
      <c r="AY207" t="inlineStr">
        <is>
          <t>991001039699702656</t>
        </is>
      </c>
      <c r="AZ207" t="inlineStr">
        <is>
          <t>991001039699702656</t>
        </is>
      </c>
      <c r="BA207" t="inlineStr">
        <is>
          <t>2265071340002656</t>
        </is>
      </c>
      <c r="BB207" t="inlineStr">
        <is>
          <t>BOOK</t>
        </is>
      </c>
      <c r="BD207" t="inlineStr">
        <is>
          <t>9780894435737</t>
        </is>
      </c>
      <c r="BE207" t="inlineStr">
        <is>
          <t>30001000241895</t>
        </is>
      </c>
      <c r="BF207" t="inlineStr">
        <is>
          <t>893727197</t>
        </is>
      </c>
    </row>
    <row r="208">
      <c r="A208" t="inlineStr">
        <is>
          <t>No</t>
        </is>
      </c>
      <c r="B208" t="inlineStr">
        <is>
          <t>CUHSL</t>
        </is>
      </c>
      <c r="C208" t="inlineStr">
        <is>
          <t>SHELVES</t>
        </is>
      </c>
      <c r="D208" t="inlineStr">
        <is>
          <t>WY 18 C3365 1990</t>
        </is>
      </c>
      <c r="E208" t="inlineStr">
        <is>
          <t>0                      WY 0018000C  3365        1990</t>
        </is>
      </c>
      <c r="F208" t="inlineStr">
        <is>
          <t>Case studies in critical care nursing / edited by Barbara Clark Mims.</t>
        </is>
      </c>
      <c r="H208" t="inlineStr">
        <is>
          <t>No</t>
        </is>
      </c>
      <c r="I208" t="inlineStr">
        <is>
          <t>1</t>
        </is>
      </c>
      <c r="J208" t="inlineStr">
        <is>
          <t>No</t>
        </is>
      </c>
      <c r="K208" t="inlineStr">
        <is>
          <t>No</t>
        </is>
      </c>
      <c r="L208" t="inlineStr">
        <is>
          <t>0</t>
        </is>
      </c>
      <c r="N208" t="inlineStr">
        <is>
          <t>Baltimore : Williams &amp; Wilkins, c1990.</t>
        </is>
      </c>
      <c r="O208" t="inlineStr">
        <is>
          <t>1990</t>
        </is>
      </c>
      <c r="Q208" t="inlineStr">
        <is>
          <t>eng</t>
        </is>
      </c>
      <c r="R208" t="inlineStr">
        <is>
          <t>mdu</t>
        </is>
      </c>
      <c r="T208" t="inlineStr">
        <is>
          <t xml:space="preserve">WY </t>
        </is>
      </c>
      <c r="U208" t="n">
        <v>9</v>
      </c>
      <c r="V208" t="n">
        <v>9</v>
      </c>
      <c r="W208" t="inlineStr">
        <is>
          <t>2003-06-23</t>
        </is>
      </c>
      <c r="X208" t="inlineStr">
        <is>
          <t>2003-06-23</t>
        </is>
      </c>
      <c r="Y208" t="inlineStr">
        <is>
          <t>1994-08-05</t>
        </is>
      </c>
      <c r="Z208" t="inlineStr">
        <is>
          <t>1994-08-05</t>
        </is>
      </c>
      <c r="AA208" t="n">
        <v>130</v>
      </c>
      <c r="AB208" t="n">
        <v>93</v>
      </c>
      <c r="AC208" t="n">
        <v>95</v>
      </c>
      <c r="AD208" t="n">
        <v>1</v>
      </c>
      <c r="AE208" t="n">
        <v>1</v>
      </c>
      <c r="AF208" t="n">
        <v>4</v>
      </c>
      <c r="AG208" t="n">
        <v>4</v>
      </c>
      <c r="AH208" t="n">
        <v>2</v>
      </c>
      <c r="AI208" t="n">
        <v>2</v>
      </c>
      <c r="AJ208" t="n">
        <v>1</v>
      </c>
      <c r="AK208" t="n">
        <v>1</v>
      </c>
      <c r="AL208" t="n">
        <v>3</v>
      </c>
      <c r="AM208" t="n">
        <v>3</v>
      </c>
      <c r="AN208" t="n">
        <v>0</v>
      </c>
      <c r="AO208" t="n">
        <v>0</v>
      </c>
      <c r="AP208" t="n">
        <v>0</v>
      </c>
      <c r="AQ208" t="n">
        <v>0</v>
      </c>
      <c r="AR208" t="inlineStr">
        <is>
          <t>No</t>
        </is>
      </c>
      <c r="AS208" t="inlineStr">
        <is>
          <t>Yes</t>
        </is>
      </c>
      <c r="AT208">
        <f>HYPERLINK("http://catalog.hathitrust.org/Record/002427901","HathiTrust Record")</f>
        <v/>
      </c>
      <c r="AU208">
        <f>HYPERLINK("https://creighton-primo.hosted.exlibrisgroup.com/primo-explore/search?tab=default_tab&amp;search_scope=EVERYTHING&amp;vid=01CRU&amp;lang=en_US&amp;offset=0&amp;query=any,contains,991001119859702656","Catalog Record")</f>
        <v/>
      </c>
      <c r="AV208">
        <f>HYPERLINK("http://www.worldcat.org/oclc/20262750","WorldCat Record")</f>
        <v/>
      </c>
      <c r="AW208" t="inlineStr">
        <is>
          <t>22103949:eng</t>
        </is>
      </c>
      <c r="AX208" t="inlineStr">
        <is>
          <t>20262750</t>
        </is>
      </c>
      <c r="AY208" t="inlineStr">
        <is>
          <t>991001119859702656</t>
        </is>
      </c>
      <c r="AZ208" t="inlineStr">
        <is>
          <t>991001119859702656</t>
        </is>
      </c>
      <c r="BA208" t="inlineStr">
        <is>
          <t>2260966270002656</t>
        </is>
      </c>
      <c r="BB208" t="inlineStr">
        <is>
          <t>BOOK</t>
        </is>
      </c>
      <c r="BD208" t="inlineStr">
        <is>
          <t>9780683060515</t>
        </is>
      </c>
      <c r="BE208" t="inlineStr">
        <is>
          <t>30001002950238</t>
        </is>
      </c>
      <c r="BF208" t="inlineStr">
        <is>
          <t>893450888</t>
        </is>
      </c>
    </row>
    <row r="209">
      <c r="A209" t="inlineStr">
        <is>
          <t>No</t>
        </is>
      </c>
      <c r="B209" t="inlineStr">
        <is>
          <t>CUHSL</t>
        </is>
      </c>
      <c r="C209" t="inlineStr">
        <is>
          <t>SHELVES</t>
        </is>
      </c>
      <c r="D209" t="inlineStr">
        <is>
          <t>WY 18 C436 1978</t>
        </is>
      </c>
      <c r="E209" t="inlineStr">
        <is>
          <t>0                      WY 0018000C  436         1978</t>
        </is>
      </c>
      <c r="F209" t="inlineStr">
        <is>
          <t>The Challenge of clinical evaluation.</t>
        </is>
      </c>
      <c r="H209" t="inlineStr">
        <is>
          <t>No</t>
        </is>
      </c>
      <c r="I209" t="inlineStr">
        <is>
          <t>1</t>
        </is>
      </c>
      <c r="J209" t="inlineStr">
        <is>
          <t>No</t>
        </is>
      </c>
      <c r="K209" t="inlineStr">
        <is>
          <t>No</t>
        </is>
      </c>
      <c r="L209" t="inlineStr">
        <is>
          <t>0</t>
        </is>
      </c>
      <c r="N209" t="inlineStr">
        <is>
          <t>New York : National League for Nursing, c1979.</t>
        </is>
      </c>
      <c r="O209" t="inlineStr">
        <is>
          <t>1978</t>
        </is>
      </c>
      <c r="Q209" t="inlineStr">
        <is>
          <t>eng</t>
        </is>
      </c>
      <c r="R209" t="inlineStr">
        <is>
          <t>nyu</t>
        </is>
      </c>
      <c r="S209" t="inlineStr">
        <is>
          <t>NLN pub. no. 16-1763</t>
        </is>
      </c>
      <c r="T209" t="inlineStr">
        <is>
          <t xml:space="preserve">WY </t>
        </is>
      </c>
      <c r="U209" t="n">
        <v>2</v>
      </c>
      <c r="V209" t="n">
        <v>2</v>
      </c>
      <c r="W209" t="inlineStr">
        <is>
          <t>1993-01-28</t>
        </is>
      </c>
      <c r="X209" t="inlineStr">
        <is>
          <t>1993-01-28</t>
        </is>
      </c>
      <c r="Y209" t="inlineStr">
        <is>
          <t>1987-11-02</t>
        </is>
      </c>
      <c r="Z209" t="inlineStr">
        <is>
          <t>1987-11-02</t>
        </is>
      </c>
      <c r="AA209" t="n">
        <v>110</v>
      </c>
      <c r="AB209" t="n">
        <v>89</v>
      </c>
      <c r="AC209" t="n">
        <v>91</v>
      </c>
      <c r="AD209" t="n">
        <v>1</v>
      </c>
      <c r="AE209" t="n">
        <v>1</v>
      </c>
      <c r="AF209" t="n">
        <v>2</v>
      </c>
      <c r="AG209" t="n">
        <v>2</v>
      </c>
      <c r="AH209" t="n">
        <v>0</v>
      </c>
      <c r="AI209" t="n">
        <v>0</v>
      </c>
      <c r="AJ209" t="n">
        <v>0</v>
      </c>
      <c r="AK209" t="n">
        <v>0</v>
      </c>
      <c r="AL209" t="n">
        <v>2</v>
      </c>
      <c r="AM209" t="n">
        <v>2</v>
      </c>
      <c r="AN209" t="n">
        <v>0</v>
      </c>
      <c r="AO209" t="n">
        <v>0</v>
      </c>
      <c r="AP209" t="n">
        <v>0</v>
      </c>
      <c r="AQ209" t="n">
        <v>0</v>
      </c>
      <c r="AR209" t="inlineStr">
        <is>
          <t>No</t>
        </is>
      </c>
      <c r="AS209" t="inlineStr">
        <is>
          <t>Yes</t>
        </is>
      </c>
      <c r="AT209">
        <f>HYPERLINK("http://catalog.hathitrust.org/Record/000297346","HathiTrust Record")</f>
        <v/>
      </c>
      <c r="AU209">
        <f>HYPERLINK("https://creighton-primo.hosted.exlibrisgroup.com/primo-explore/search?tab=default_tab&amp;search_scope=EVERYTHING&amp;vid=01CRU&amp;lang=en_US&amp;offset=0&amp;query=any,contains,991001376569702656","Catalog Record")</f>
        <v/>
      </c>
      <c r="AV209">
        <f>HYPERLINK("http://www.worldcat.org/oclc/5674458","WorldCat Record")</f>
        <v/>
      </c>
      <c r="AW209" t="inlineStr">
        <is>
          <t>18852316:eng</t>
        </is>
      </c>
      <c r="AX209" t="inlineStr">
        <is>
          <t>5674458</t>
        </is>
      </c>
      <c r="AY209" t="inlineStr">
        <is>
          <t>991001376569702656</t>
        </is>
      </c>
      <c r="AZ209" t="inlineStr">
        <is>
          <t>991001376569702656</t>
        </is>
      </c>
      <c r="BA209" t="inlineStr">
        <is>
          <t>2256390340002656</t>
        </is>
      </c>
      <c r="BB209" t="inlineStr">
        <is>
          <t>BOOK</t>
        </is>
      </c>
      <c r="BE209" t="inlineStr">
        <is>
          <t>30001000462343</t>
        </is>
      </c>
      <c r="BF209" t="inlineStr">
        <is>
          <t>893736529</t>
        </is>
      </c>
    </row>
    <row r="210">
      <c r="A210" t="inlineStr">
        <is>
          <t>No</t>
        </is>
      </c>
      <c r="B210" t="inlineStr">
        <is>
          <t>CUHSL</t>
        </is>
      </c>
      <c r="C210" t="inlineStr">
        <is>
          <t>SHELVES</t>
        </is>
      </c>
      <c r="D210" t="inlineStr">
        <is>
          <t>WY 18 C437 1970</t>
        </is>
      </c>
      <c r="E210" t="inlineStr">
        <is>
          <t>0                      WY 0018000C  437         1970</t>
        </is>
      </c>
      <c r="F210" t="inlineStr">
        <is>
          <t>Challenge to nursing education ... clinical roles of the professional nurse : papers presented at the sixth conference of the Council of Baccalaureate and Higher Degree Programs, held at Kansas City, Missouri, March 11-13, 1970.</t>
        </is>
      </c>
      <c r="H210" t="inlineStr">
        <is>
          <t>No</t>
        </is>
      </c>
      <c r="I210" t="inlineStr">
        <is>
          <t>1</t>
        </is>
      </c>
      <c r="J210" t="inlineStr">
        <is>
          <t>No</t>
        </is>
      </c>
      <c r="K210" t="inlineStr">
        <is>
          <t>No</t>
        </is>
      </c>
      <c r="L210" t="inlineStr">
        <is>
          <t>0</t>
        </is>
      </c>
      <c r="N210" t="inlineStr">
        <is>
          <t>New York : National League for Nursing, Dept. of Baccalaureate and Higher Degree Programs, 1970.</t>
        </is>
      </c>
      <c r="O210" t="inlineStr">
        <is>
          <t>1970</t>
        </is>
      </c>
      <c r="Q210" t="inlineStr">
        <is>
          <t>eng</t>
        </is>
      </c>
      <c r="R210" t="inlineStr">
        <is>
          <t>nyu</t>
        </is>
      </c>
      <c r="S210" t="inlineStr">
        <is>
          <t>NLN pub. no. 15-1404</t>
        </is>
      </c>
      <c r="T210" t="inlineStr">
        <is>
          <t xml:space="preserve">WY </t>
        </is>
      </c>
      <c r="U210" t="n">
        <v>1</v>
      </c>
      <c r="V210" t="n">
        <v>1</v>
      </c>
      <c r="W210" t="inlineStr">
        <is>
          <t>1990-04-24</t>
        </is>
      </c>
      <c r="X210" t="inlineStr">
        <is>
          <t>1990-04-24</t>
        </is>
      </c>
      <c r="Y210" t="inlineStr">
        <is>
          <t>1987-10-21</t>
        </is>
      </c>
      <c r="Z210" t="inlineStr">
        <is>
          <t>1987-10-21</t>
        </is>
      </c>
      <c r="AA210" t="n">
        <v>63</v>
      </c>
      <c r="AB210" t="n">
        <v>55</v>
      </c>
      <c r="AC210" t="n">
        <v>55</v>
      </c>
      <c r="AD210" t="n">
        <v>2</v>
      </c>
      <c r="AE210" t="n">
        <v>2</v>
      </c>
      <c r="AF210" t="n">
        <v>3</v>
      </c>
      <c r="AG210" t="n">
        <v>3</v>
      </c>
      <c r="AH210" t="n">
        <v>0</v>
      </c>
      <c r="AI210" t="n">
        <v>0</v>
      </c>
      <c r="AJ210" t="n">
        <v>1</v>
      </c>
      <c r="AK210" t="n">
        <v>1</v>
      </c>
      <c r="AL210" t="n">
        <v>2</v>
      </c>
      <c r="AM210" t="n">
        <v>2</v>
      </c>
      <c r="AN210" t="n">
        <v>0</v>
      </c>
      <c r="AO210" t="n">
        <v>0</v>
      </c>
      <c r="AP210" t="n">
        <v>0</v>
      </c>
      <c r="AQ210" t="n">
        <v>0</v>
      </c>
      <c r="AR210" t="inlineStr">
        <is>
          <t>No</t>
        </is>
      </c>
      <c r="AS210" t="inlineStr">
        <is>
          <t>No</t>
        </is>
      </c>
      <c r="AU210">
        <f>HYPERLINK("https://creighton-primo.hosted.exlibrisgroup.com/primo-explore/search?tab=default_tab&amp;search_scope=EVERYTHING&amp;vid=01CRU&amp;lang=en_US&amp;offset=0&amp;query=any,contains,991001367969702656","Catalog Record")</f>
        <v/>
      </c>
      <c r="AV210">
        <f>HYPERLINK("http://www.worldcat.org/oclc/205403","WorldCat Record")</f>
        <v/>
      </c>
      <c r="AW210" t="inlineStr">
        <is>
          <t>3902354973:eng</t>
        </is>
      </c>
      <c r="AX210" t="inlineStr">
        <is>
          <t>205403</t>
        </is>
      </c>
      <c r="AY210" t="inlineStr">
        <is>
          <t>991001367969702656</t>
        </is>
      </c>
      <c r="AZ210" t="inlineStr">
        <is>
          <t>991001367969702656</t>
        </is>
      </c>
      <c r="BA210" t="inlineStr">
        <is>
          <t>2255145730002656</t>
        </is>
      </c>
      <c r="BB210" t="inlineStr">
        <is>
          <t>BOOK</t>
        </is>
      </c>
      <c r="BE210" t="inlineStr">
        <is>
          <t>30001000461394</t>
        </is>
      </c>
      <c r="BF210" t="inlineStr">
        <is>
          <t>893821148</t>
        </is>
      </c>
    </row>
    <row r="211">
      <c r="A211" t="inlineStr">
        <is>
          <t>No</t>
        </is>
      </c>
      <c r="B211" t="inlineStr">
        <is>
          <t>CUHSL</t>
        </is>
      </c>
      <c r="C211" t="inlineStr">
        <is>
          <t>SHELVES</t>
        </is>
      </c>
      <c r="D211" t="inlineStr">
        <is>
          <t>WY 18 C437 1971</t>
        </is>
      </c>
      <c r="E211" t="inlineStr">
        <is>
          <t>0                      WY 0018000C  437         1971</t>
        </is>
      </c>
      <c r="F211" t="inlineStr">
        <is>
          <t>Challenge to nursing education ... professional nursing practice : papers presented at the eighth conference of the Council of Baccalaureate and Higher Degree Programs held at Kansas City, Missouri, November 10-12, 1971.</t>
        </is>
      </c>
      <c r="H211" t="inlineStr">
        <is>
          <t>No</t>
        </is>
      </c>
      <c r="I211" t="inlineStr">
        <is>
          <t>1</t>
        </is>
      </c>
      <c r="J211" t="inlineStr">
        <is>
          <t>No</t>
        </is>
      </c>
      <c r="K211" t="inlineStr">
        <is>
          <t>No</t>
        </is>
      </c>
      <c r="L211" t="inlineStr">
        <is>
          <t>0</t>
        </is>
      </c>
      <c r="N211" t="inlineStr">
        <is>
          <t>New York : National League for Nursing, Dept. of Baccalaureate and Higher Degree Programs, 1972.</t>
        </is>
      </c>
      <c r="O211" t="inlineStr">
        <is>
          <t>1972</t>
        </is>
      </c>
      <c r="Q211" t="inlineStr">
        <is>
          <t>eng</t>
        </is>
      </c>
      <c r="R211" t="inlineStr">
        <is>
          <t xml:space="preserve">xx </t>
        </is>
      </c>
      <c r="S211" t="inlineStr">
        <is>
          <t>NLN pub. no. 15-1456</t>
        </is>
      </c>
      <c r="T211" t="inlineStr">
        <is>
          <t xml:space="preserve">WY </t>
        </is>
      </c>
      <c r="U211" t="n">
        <v>1</v>
      </c>
      <c r="V211" t="n">
        <v>1</v>
      </c>
      <c r="W211" t="inlineStr">
        <is>
          <t>1990-04-24</t>
        </is>
      </c>
      <c r="X211" t="inlineStr">
        <is>
          <t>1990-04-24</t>
        </is>
      </c>
      <c r="Y211" t="inlineStr">
        <is>
          <t>1987-10-21</t>
        </is>
      </c>
      <c r="Z211" t="inlineStr">
        <is>
          <t>1987-10-21</t>
        </is>
      </c>
      <c r="AA211" t="n">
        <v>54</v>
      </c>
      <c r="AB211" t="n">
        <v>51</v>
      </c>
      <c r="AC211" t="n">
        <v>51</v>
      </c>
      <c r="AD211" t="n">
        <v>2</v>
      </c>
      <c r="AE211" t="n">
        <v>2</v>
      </c>
      <c r="AF211" t="n">
        <v>1</v>
      </c>
      <c r="AG211" t="n">
        <v>1</v>
      </c>
      <c r="AH211" t="n">
        <v>1</v>
      </c>
      <c r="AI211" t="n">
        <v>1</v>
      </c>
      <c r="AJ211" t="n">
        <v>0</v>
      </c>
      <c r="AK211" t="n">
        <v>0</v>
      </c>
      <c r="AL211" t="n">
        <v>0</v>
      </c>
      <c r="AM211" t="n">
        <v>0</v>
      </c>
      <c r="AN211" t="n">
        <v>0</v>
      </c>
      <c r="AO211" t="n">
        <v>0</v>
      </c>
      <c r="AP211" t="n">
        <v>0</v>
      </c>
      <c r="AQ211" t="n">
        <v>0</v>
      </c>
      <c r="AR211" t="inlineStr">
        <is>
          <t>No</t>
        </is>
      </c>
      <c r="AS211" t="inlineStr">
        <is>
          <t>No</t>
        </is>
      </c>
      <c r="AU211">
        <f>HYPERLINK("https://creighton-primo.hosted.exlibrisgroup.com/primo-explore/search?tab=default_tab&amp;search_scope=EVERYTHING&amp;vid=01CRU&amp;lang=en_US&amp;offset=0&amp;query=any,contains,991001368169702656","Catalog Record")</f>
        <v/>
      </c>
      <c r="AV211">
        <f>HYPERLINK("http://www.worldcat.org/oclc/4499118","WorldCat Record")</f>
        <v/>
      </c>
      <c r="AW211" t="inlineStr">
        <is>
          <t>9826976662:eng</t>
        </is>
      </c>
      <c r="AX211" t="inlineStr">
        <is>
          <t>4499118</t>
        </is>
      </c>
      <c r="AY211" t="inlineStr">
        <is>
          <t>991001368169702656</t>
        </is>
      </c>
      <c r="AZ211" t="inlineStr">
        <is>
          <t>991001368169702656</t>
        </is>
      </c>
      <c r="BA211" t="inlineStr">
        <is>
          <t>2263825000002656</t>
        </is>
      </c>
      <c r="BB211" t="inlineStr">
        <is>
          <t>BOOK</t>
        </is>
      </c>
      <c r="BE211" t="inlineStr">
        <is>
          <t>30001000461436</t>
        </is>
      </c>
      <c r="BF211" t="inlineStr">
        <is>
          <t>893374480</t>
        </is>
      </c>
    </row>
    <row r="212">
      <c r="A212" t="inlineStr">
        <is>
          <t>No</t>
        </is>
      </c>
      <c r="B212" t="inlineStr">
        <is>
          <t>CUHSL</t>
        </is>
      </c>
      <c r="C212" t="inlineStr">
        <is>
          <t>SHELVES</t>
        </is>
      </c>
      <c r="D212" t="inlineStr">
        <is>
          <t>WY 18 C437p 1970</t>
        </is>
      </c>
      <c r="E212" t="inlineStr">
        <is>
          <t>0                      WY 0018000C  437p        1970</t>
        </is>
      </c>
      <c r="F212" t="inlineStr">
        <is>
          <t>Challenge to nursing education ... preparation of the professional nurse for future roles : papers presented at the seventh conference of the Council of Baccalaureate and Higher Degree Programs held at Miami Beach, Florida, November 11-13, 1970.</t>
        </is>
      </c>
      <c r="H212" t="inlineStr">
        <is>
          <t>No</t>
        </is>
      </c>
      <c r="I212" t="inlineStr">
        <is>
          <t>1</t>
        </is>
      </c>
      <c r="J212" t="inlineStr">
        <is>
          <t>No</t>
        </is>
      </c>
      <c r="K212" t="inlineStr">
        <is>
          <t>No</t>
        </is>
      </c>
      <c r="L212" t="inlineStr">
        <is>
          <t>0</t>
        </is>
      </c>
      <c r="N212" t="inlineStr">
        <is>
          <t>New York : National League for Nursing, Dept. of Baccalaureate and Higher Degree Programs, 1971.</t>
        </is>
      </c>
      <c r="O212" t="inlineStr">
        <is>
          <t>1971</t>
        </is>
      </c>
      <c r="Q212" t="inlineStr">
        <is>
          <t>eng</t>
        </is>
      </c>
      <c r="R212" t="inlineStr">
        <is>
          <t>nyu</t>
        </is>
      </c>
      <c r="S212" t="inlineStr">
        <is>
          <t>NLN pub. no. 15-1420</t>
        </is>
      </c>
      <c r="T212" t="inlineStr">
        <is>
          <t xml:space="preserve">WY </t>
        </is>
      </c>
      <c r="U212" t="n">
        <v>1</v>
      </c>
      <c r="V212" t="n">
        <v>1</v>
      </c>
      <c r="W212" t="inlineStr">
        <is>
          <t>1990-04-24</t>
        </is>
      </c>
      <c r="X212" t="inlineStr">
        <is>
          <t>1990-04-24</t>
        </is>
      </c>
      <c r="Y212" t="inlineStr">
        <is>
          <t>1987-10-21</t>
        </is>
      </c>
      <c r="Z212" t="inlineStr">
        <is>
          <t>1987-10-21</t>
        </is>
      </c>
      <c r="AA212" t="n">
        <v>66</v>
      </c>
      <c r="AB212" t="n">
        <v>57</v>
      </c>
      <c r="AC212" t="n">
        <v>58</v>
      </c>
      <c r="AD212" t="n">
        <v>2</v>
      </c>
      <c r="AE212" t="n">
        <v>2</v>
      </c>
      <c r="AF212" t="n">
        <v>2</v>
      </c>
      <c r="AG212" t="n">
        <v>2</v>
      </c>
      <c r="AH212" t="n">
        <v>0</v>
      </c>
      <c r="AI212" t="n">
        <v>0</v>
      </c>
      <c r="AJ212" t="n">
        <v>0</v>
      </c>
      <c r="AK212" t="n">
        <v>0</v>
      </c>
      <c r="AL212" t="n">
        <v>2</v>
      </c>
      <c r="AM212" t="n">
        <v>2</v>
      </c>
      <c r="AN212" t="n">
        <v>0</v>
      </c>
      <c r="AO212" t="n">
        <v>0</v>
      </c>
      <c r="AP212" t="n">
        <v>0</v>
      </c>
      <c r="AQ212" t="n">
        <v>0</v>
      </c>
      <c r="AR212" t="inlineStr">
        <is>
          <t>No</t>
        </is>
      </c>
      <c r="AS212" t="inlineStr">
        <is>
          <t>No</t>
        </is>
      </c>
      <c r="AU212">
        <f>HYPERLINK("https://creighton-primo.hosted.exlibrisgroup.com/primo-explore/search?tab=default_tab&amp;search_scope=EVERYTHING&amp;vid=01CRU&amp;lang=en_US&amp;offset=0&amp;query=any,contains,991001368009702656","Catalog Record")</f>
        <v/>
      </c>
      <c r="AV212">
        <f>HYPERLINK("http://www.worldcat.org/oclc/209236","WorldCat Record")</f>
        <v/>
      </c>
      <c r="AW212" t="inlineStr">
        <is>
          <t>3857456104:eng</t>
        </is>
      </c>
      <c r="AX212" t="inlineStr">
        <is>
          <t>209236</t>
        </is>
      </c>
      <c r="AY212" t="inlineStr">
        <is>
          <t>991001368009702656</t>
        </is>
      </c>
      <c r="AZ212" t="inlineStr">
        <is>
          <t>991001368009702656</t>
        </is>
      </c>
      <c r="BA212" t="inlineStr">
        <is>
          <t>2270722900002656</t>
        </is>
      </c>
      <c r="BB212" t="inlineStr">
        <is>
          <t>BOOK</t>
        </is>
      </c>
      <c r="BE212" t="inlineStr">
        <is>
          <t>30001000461402</t>
        </is>
      </c>
      <c r="BF212" t="inlineStr">
        <is>
          <t>893268405</t>
        </is>
      </c>
    </row>
    <row r="213">
      <c r="A213" t="inlineStr">
        <is>
          <t>No</t>
        </is>
      </c>
      <c r="B213" t="inlineStr">
        <is>
          <t>CUHSL</t>
        </is>
      </c>
      <c r="C213" t="inlineStr">
        <is>
          <t>SHELVES</t>
        </is>
      </c>
      <c r="D213" t="inlineStr">
        <is>
          <t>WY 18 C454 1974</t>
        </is>
      </c>
      <c r="E213" t="inlineStr">
        <is>
          <t>0                      WY 0018000C  454         1974</t>
        </is>
      </c>
      <c r="F213" t="inlineStr">
        <is>
          <t>The changing role of the hospital and implications for nursing education.</t>
        </is>
      </c>
      <c r="H213" t="inlineStr">
        <is>
          <t>No</t>
        </is>
      </c>
      <c r="I213" t="inlineStr">
        <is>
          <t>1</t>
        </is>
      </c>
      <c r="J213" t="inlineStr">
        <is>
          <t>No</t>
        </is>
      </c>
      <c r="K213" t="inlineStr">
        <is>
          <t>No</t>
        </is>
      </c>
      <c r="L213" t="inlineStr">
        <is>
          <t>0</t>
        </is>
      </c>
      <c r="N213" t="inlineStr">
        <is>
          <t>New York : National League for Nursing, Dept. of Diploma Programs, c1974.</t>
        </is>
      </c>
      <c r="O213" t="inlineStr">
        <is>
          <t>1974</t>
        </is>
      </c>
      <c r="Q213" t="inlineStr">
        <is>
          <t>eng</t>
        </is>
      </c>
      <c r="R213" t="inlineStr">
        <is>
          <t>xxu</t>
        </is>
      </c>
      <c r="S213" t="inlineStr">
        <is>
          <t>NLN pub. no. 16-1551</t>
        </is>
      </c>
      <c r="T213" t="inlineStr">
        <is>
          <t xml:space="preserve">WY </t>
        </is>
      </c>
      <c r="U213" t="n">
        <v>1</v>
      </c>
      <c r="V213" t="n">
        <v>1</v>
      </c>
      <c r="W213" t="inlineStr">
        <is>
          <t>1990-06-12</t>
        </is>
      </c>
      <c r="X213" t="inlineStr">
        <is>
          <t>1990-06-12</t>
        </is>
      </c>
      <c r="Y213" t="inlineStr">
        <is>
          <t>1990-06-08</t>
        </is>
      </c>
      <c r="Z213" t="inlineStr">
        <is>
          <t>1990-06-08</t>
        </is>
      </c>
      <c r="AA213" t="n">
        <v>81</v>
      </c>
      <c r="AB213" t="n">
        <v>73</v>
      </c>
      <c r="AC213" t="n">
        <v>73</v>
      </c>
      <c r="AD213" t="n">
        <v>3</v>
      </c>
      <c r="AE213" t="n">
        <v>3</v>
      </c>
      <c r="AF213" t="n">
        <v>4</v>
      </c>
      <c r="AG213" t="n">
        <v>4</v>
      </c>
      <c r="AH213" t="n">
        <v>1</v>
      </c>
      <c r="AI213" t="n">
        <v>1</v>
      </c>
      <c r="AJ213" t="n">
        <v>1</v>
      </c>
      <c r="AK213" t="n">
        <v>1</v>
      </c>
      <c r="AL213" t="n">
        <v>1</v>
      </c>
      <c r="AM213" t="n">
        <v>1</v>
      </c>
      <c r="AN213" t="n">
        <v>1</v>
      </c>
      <c r="AO213" t="n">
        <v>1</v>
      </c>
      <c r="AP213" t="n">
        <v>0</v>
      </c>
      <c r="AQ213" t="n">
        <v>0</v>
      </c>
      <c r="AR213" t="inlineStr">
        <is>
          <t>No</t>
        </is>
      </c>
      <c r="AS213" t="inlineStr">
        <is>
          <t>No</t>
        </is>
      </c>
      <c r="AU213">
        <f>HYPERLINK("https://creighton-primo.hosted.exlibrisgroup.com/primo-explore/search?tab=default_tab&amp;search_scope=EVERYTHING&amp;vid=01CRU&amp;lang=en_US&amp;offset=0&amp;query=any,contains,991001376239702656","Catalog Record")</f>
        <v/>
      </c>
      <c r="AV213">
        <f>HYPERLINK("http://www.worldcat.org/oclc/3090884","WorldCat Record")</f>
        <v/>
      </c>
      <c r="AW213" t="inlineStr">
        <is>
          <t>8143074:eng</t>
        </is>
      </c>
      <c r="AX213" t="inlineStr">
        <is>
          <t>3090884</t>
        </is>
      </c>
      <c r="AY213" t="inlineStr">
        <is>
          <t>991001376239702656</t>
        </is>
      </c>
      <c r="AZ213" t="inlineStr">
        <is>
          <t>991001376239702656</t>
        </is>
      </c>
      <c r="BA213" t="inlineStr">
        <is>
          <t>2262149020002656</t>
        </is>
      </c>
      <c r="BB213" t="inlineStr">
        <is>
          <t>BOOK</t>
        </is>
      </c>
      <c r="BE213" t="inlineStr">
        <is>
          <t>30001000462244</t>
        </is>
      </c>
      <c r="BF213" t="inlineStr">
        <is>
          <t>893727517</t>
        </is>
      </c>
    </row>
    <row r="214">
      <c r="A214" t="inlineStr">
        <is>
          <t>No</t>
        </is>
      </c>
      <c r="B214" t="inlineStr">
        <is>
          <t>CUHSL</t>
        </is>
      </c>
      <c r="C214" t="inlineStr">
        <is>
          <t>SHELVES</t>
        </is>
      </c>
      <c r="D214" t="inlineStr">
        <is>
          <t>WY 18 C4556 1986</t>
        </is>
      </c>
      <c r="E214" t="inlineStr">
        <is>
          <t>0                      WY 0018000C  4556        1986</t>
        </is>
      </c>
      <c r="F214" t="inlineStr">
        <is>
          <t>Changing patterns in nursing education / Johanna Roode, editor.</t>
        </is>
      </c>
      <c r="H214" t="inlineStr">
        <is>
          <t>No</t>
        </is>
      </c>
      <c r="I214" t="inlineStr">
        <is>
          <t>1</t>
        </is>
      </c>
      <c r="J214" t="inlineStr">
        <is>
          <t>No</t>
        </is>
      </c>
      <c r="K214" t="inlineStr">
        <is>
          <t>No</t>
        </is>
      </c>
      <c r="L214" t="inlineStr">
        <is>
          <t>0</t>
        </is>
      </c>
      <c r="N214" t="inlineStr">
        <is>
          <t>New York : National League for Nursing, c1987.</t>
        </is>
      </c>
      <c r="O214" t="inlineStr">
        <is>
          <t>1987</t>
        </is>
      </c>
      <c r="Q214" t="inlineStr">
        <is>
          <t>eng</t>
        </is>
      </c>
      <c r="R214" t="inlineStr">
        <is>
          <t>xxu</t>
        </is>
      </c>
      <c r="S214" t="inlineStr">
        <is>
          <t>NLN pub. no. 14-2203</t>
        </is>
      </c>
      <c r="T214" t="inlineStr">
        <is>
          <t xml:space="preserve">WY </t>
        </is>
      </c>
      <c r="U214" t="n">
        <v>5</v>
      </c>
      <c r="V214" t="n">
        <v>5</v>
      </c>
      <c r="W214" t="inlineStr">
        <is>
          <t>1997-03-12</t>
        </is>
      </c>
      <c r="X214" t="inlineStr">
        <is>
          <t>1997-03-12</t>
        </is>
      </c>
      <c r="Y214" t="inlineStr">
        <is>
          <t>1987-10-14</t>
        </is>
      </c>
      <c r="Z214" t="inlineStr">
        <is>
          <t>1987-10-14</t>
        </is>
      </c>
      <c r="AA214" t="n">
        <v>178</v>
      </c>
      <c r="AB214" t="n">
        <v>159</v>
      </c>
      <c r="AC214" t="n">
        <v>161</v>
      </c>
      <c r="AD214" t="n">
        <v>2</v>
      </c>
      <c r="AE214" t="n">
        <v>2</v>
      </c>
      <c r="AF214" t="n">
        <v>9</v>
      </c>
      <c r="AG214" t="n">
        <v>9</v>
      </c>
      <c r="AH214" t="n">
        <v>5</v>
      </c>
      <c r="AI214" t="n">
        <v>5</v>
      </c>
      <c r="AJ214" t="n">
        <v>1</v>
      </c>
      <c r="AK214" t="n">
        <v>1</v>
      </c>
      <c r="AL214" t="n">
        <v>4</v>
      </c>
      <c r="AM214" t="n">
        <v>4</v>
      </c>
      <c r="AN214" t="n">
        <v>0</v>
      </c>
      <c r="AO214" t="n">
        <v>0</v>
      </c>
      <c r="AP214" t="n">
        <v>0</v>
      </c>
      <c r="AQ214" t="n">
        <v>0</v>
      </c>
      <c r="AR214" t="inlineStr">
        <is>
          <t>No</t>
        </is>
      </c>
      <c r="AS214" t="inlineStr">
        <is>
          <t>Yes</t>
        </is>
      </c>
      <c r="AT214">
        <f>HYPERLINK("http://catalog.hathitrust.org/Record/002506770","HathiTrust Record")</f>
        <v/>
      </c>
      <c r="AU214">
        <f>HYPERLINK("https://creighton-primo.hosted.exlibrisgroup.com/primo-explore/search?tab=default_tab&amp;search_scope=EVERYTHING&amp;vid=01CRU&amp;lang=en_US&amp;offset=0&amp;query=any,contains,991001266509702656","Catalog Record")</f>
        <v/>
      </c>
      <c r="AV214">
        <f>HYPERLINK("http://www.worldcat.org/oclc/20695010","WorldCat Record")</f>
        <v/>
      </c>
      <c r="AW214" t="inlineStr">
        <is>
          <t>22742436:eng</t>
        </is>
      </c>
      <c r="AX214" t="inlineStr">
        <is>
          <t>20695010</t>
        </is>
      </c>
      <c r="AY214" t="inlineStr">
        <is>
          <t>991001266509702656</t>
        </is>
      </c>
      <c r="AZ214" t="inlineStr">
        <is>
          <t>991001266509702656</t>
        </is>
      </c>
      <c r="BA214" t="inlineStr">
        <is>
          <t>2264163550002656</t>
        </is>
      </c>
      <c r="BB214" t="inlineStr">
        <is>
          <t>BOOK</t>
        </is>
      </c>
      <c r="BD214" t="inlineStr">
        <is>
          <t>9780887373879</t>
        </is>
      </c>
      <c r="BE214" t="inlineStr">
        <is>
          <t>30001000353039</t>
        </is>
      </c>
      <c r="BF214" t="inlineStr">
        <is>
          <t>893121330</t>
        </is>
      </c>
    </row>
    <row r="215">
      <c r="A215" t="inlineStr">
        <is>
          <t>No</t>
        </is>
      </c>
      <c r="B215" t="inlineStr">
        <is>
          <t>CUHSL</t>
        </is>
      </c>
      <c r="C215" t="inlineStr">
        <is>
          <t>SHELVES</t>
        </is>
      </c>
      <c r="D215" t="inlineStr">
        <is>
          <t>WY 18 C458a 1979</t>
        </is>
      </c>
      <c r="E215" t="inlineStr">
        <is>
          <t>0                      WY 0018000C  458a        1979</t>
        </is>
      </c>
      <c r="F215" t="inlineStr">
        <is>
          <t>Associate degree nursing : problem or solution? / Rose M. Channing.</t>
        </is>
      </c>
      <c r="H215" t="inlineStr">
        <is>
          <t>No</t>
        </is>
      </c>
      <c r="I215" t="inlineStr">
        <is>
          <t>1</t>
        </is>
      </c>
      <c r="J215" t="inlineStr">
        <is>
          <t>No</t>
        </is>
      </c>
      <c r="K215" t="inlineStr">
        <is>
          <t>No</t>
        </is>
      </c>
      <c r="L215" t="inlineStr">
        <is>
          <t>0</t>
        </is>
      </c>
      <c r="M215" t="inlineStr">
        <is>
          <t>Channing, Rose M.</t>
        </is>
      </c>
      <c r="N215" t="inlineStr">
        <is>
          <t>New York : National League for Nursing, c1979.</t>
        </is>
      </c>
      <c r="O215" t="inlineStr">
        <is>
          <t>1979</t>
        </is>
      </c>
      <c r="Q215" t="inlineStr">
        <is>
          <t>eng</t>
        </is>
      </c>
      <c r="R215" t="inlineStr">
        <is>
          <t>nyu</t>
        </is>
      </c>
      <c r="S215" t="inlineStr">
        <is>
          <t>NLN pub. no. 23-1789</t>
        </is>
      </c>
      <c r="T215" t="inlineStr">
        <is>
          <t xml:space="preserve">WY </t>
        </is>
      </c>
      <c r="U215" t="n">
        <v>2</v>
      </c>
      <c r="V215" t="n">
        <v>2</v>
      </c>
      <c r="W215" t="inlineStr">
        <is>
          <t>1990-07-11</t>
        </is>
      </c>
      <c r="X215" t="inlineStr">
        <is>
          <t>1990-07-11</t>
        </is>
      </c>
      <c r="Y215" t="inlineStr">
        <is>
          <t>1987-11-04</t>
        </is>
      </c>
      <c r="Z215" t="inlineStr">
        <is>
          <t>1987-11-04</t>
        </is>
      </c>
      <c r="AA215" t="n">
        <v>81</v>
      </c>
      <c r="AB215" t="n">
        <v>71</v>
      </c>
      <c r="AC215" t="n">
        <v>71</v>
      </c>
      <c r="AD215" t="n">
        <v>1</v>
      </c>
      <c r="AE215" t="n">
        <v>1</v>
      </c>
      <c r="AF215" t="n">
        <v>2</v>
      </c>
      <c r="AG215" t="n">
        <v>2</v>
      </c>
      <c r="AH215" t="n">
        <v>0</v>
      </c>
      <c r="AI215" t="n">
        <v>0</v>
      </c>
      <c r="AJ215" t="n">
        <v>0</v>
      </c>
      <c r="AK215" t="n">
        <v>0</v>
      </c>
      <c r="AL215" t="n">
        <v>2</v>
      </c>
      <c r="AM215" t="n">
        <v>2</v>
      </c>
      <c r="AN215" t="n">
        <v>0</v>
      </c>
      <c r="AO215" t="n">
        <v>0</v>
      </c>
      <c r="AP215" t="n">
        <v>0</v>
      </c>
      <c r="AQ215" t="n">
        <v>0</v>
      </c>
      <c r="AR215" t="inlineStr">
        <is>
          <t>No</t>
        </is>
      </c>
      <c r="AS215" t="inlineStr">
        <is>
          <t>No</t>
        </is>
      </c>
      <c r="AU215">
        <f>HYPERLINK("https://creighton-primo.hosted.exlibrisgroup.com/primo-explore/search?tab=default_tab&amp;search_scope=EVERYTHING&amp;vid=01CRU&amp;lang=en_US&amp;offset=0&amp;query=any,contains,991001388639702656","Catalog Record")</f>
        <v/>
      </c>
      <c r="AV215">
        <f>HYPERLINK("http://www.worldcat.org/oclc/6144794","WorldCat Record")</f>
        <v/>
      </c>
      <c r="AW215" t="inlineStr">
        <is>
          <t>21744961:eng</t>
        </is>
      </c>
      <c r="AX215" t="inlineStr">
        <is>
          <t>6144794</t>
        </is>
      </c>
      <c r="AY215" t="inlineStr">
        <is>
          <t>991001388639702656</t>
        </is>
      </c>
      <c r="AZ215" t="inlineStr">
        <is>
          <t>991001388639702656</t>
        </is>
      </c>
      <c r="BA215" t="inlineStr">
        <is>
          <t>2268417740002656</t>
        </is>
      </c>
      <c r="BB215" t="inlineStr">
        <is>
          <t>BOOK</t>
        </is>
      </c>
      <c r="BE215" t="inlineStr">
        <is>
          <t>30001000464380</t>
        </is>
      </c>
      <c r="BF215" t="inlineStr">
        <is>
          <t>893455737</t>
        </is>
      </c>
    </row>
    <row r="216">
      <c r="A216" t="inlineStr">
        <is>
          <t>No</t>
        </is>
      </c>
      <c r="B216" t="inlineStr">
        <is>
          <t>CUHSL</t>
        </is>
      </c>
      <c r="C216" t="inlineStr">
        <is>
          <t>SHELVES</t>
        </is>
      </c>
      <c r="D216" t="inlineStr">
        <is>
          <t>WY 18 C492 1976</t>
        </is>
      </c>
      <c r="E216" t="inlineStr">
        <is>
          <t>0                      WY 0018000C  492         1976</t>
        </is>
      </c>
      <c r="F216" t="inlineStr">
        <is>
          <t>Operation update : the search for rhyme and reason / Shirley Chater.</t>
        </is>
      </c>
      <c r="H216" t="inlineStr">
        <is>
          <t>No</t>
        </is>
      </c>
      <c r="I216" t="inlineStr">
        <is>
          <t>1</t>
        </is>
      </c>
      <c r="J216" t="inlineStr">
        <is>
          <t>No</t>
        </is>
      </c>
      <c r="K216" t="inlineStr">
        <is>
          <t>No</t>
        </is>
      </c>
      <c r="L216" t="inlineStr">
        <is>
          <t>0</t>
        </is>
      </c>
      <c r="M216" t="inlineStr">
        <is>
          <t>Chater, Shirley.</t>
        </is>
      </c>
      <c r="N216" t="inlineStr">
        <is>
          <t>New York : Division of Nursing, National League for Nursing, c1976.</t>
        </is>
      </c>
      <c r="O216" t="inlineStr">
        <is>
          <t>1976</t>
        </is>
      </c>
      <c r="Q216" t="inlineStr">
        <is>
          <t>eng</t>
        </is>
      </c>
      <c r="R216" t="inlineStr">
        <is>
          <t>nyu</t>
        </is>
      </c>
      <c r="S216" t="inlineStr">
        <is>
          <t>NLN pub. no. 14-1608</t>
        </is>
      </c>
      <c r="T216" t="inlineStr">
        <is>
          <t xml:space="preserve">WY </t>
        </is>
      </c>
      <c r="U216" t="n">
        <v>3</v>
      </c>
      <c r="V216" t="n">
        <v>3</v>
      </c>
      <c r="W216" t="inlineStr">
        <is>
          <t>1990-04-30</t>
        </is>
      </c>
      <c r="X216" t="inlineStr">
        <is>
          <t>1990-04-30</t>
        </is>
      </c>
      <c r="Y216" t="inlineStr">
        <is>
          <t>1987-10-14</t>
        </is>
      </c>
      <c r="Z216" t="inlineStr">
        <is>
          <t>1987-10-14</t>
        </is>
      </c>
      <c r="AA216" t="n">
        <v>88</v>
      </c>
      <c r="AB216" t="n">
        <v>76</v>
      </c>
      <c r="AC216" t="n">
        <v>76</v>
      </c>
      <c r="AD216" t="n">
        <v>2</v>
      </c>
      <c r="AE216" t="n">
        <v>2</v>
      </c>
      <c r="AF216" t="n">
        <v>5</v>
      </c>
      <c r="AG216" t="n">
        <v>5</v>
      </c>
      <c r="AH216" t="n">
        <v>1</v>
      </c>
      <c r="AI216" t="n">
        <v>1</v>
      </c>
      <c r="AJ216" t="n">
        <v>1</v>
      </c>
      <c r="AK216" t="n">
        <v>1</v>
      </c>
      <c r="AL216" t="n">
        <v>3</v>
      </c>
      <c r="AM216" t="n">
        <v>3</v>
      </c>
      <c r="AN216" t="n">
        <v>1</v>
      </c>
      <c r="AO216" t="n">
        <v>1</v>
      </c>
      <c r="AP216" t="n">
        <v>0</v>
      </c>
      <c r="AQ216" t="n">
        <v>0</v>
      </c>
      <c r="AR216" t="inlineStr">
        <is>
          <t>No</t>
        </is>
      </c>
      <c r="AS216" t="inlineStr">
        <is>
          <t>No</t>
        </is>
      </c>
      <c r="AU216">
        <f>HYPERLINK("https://creighton-primo.hosted.exlibrisgroup.com/primo-explore/search?tab=default_tab&amp;search_scope=EVERYTHING&amp;vid=01CRU&amp;lang=en_US&amp;offset=0&amp;query=any,contains,991001363439702656","Catalog Record")</f>
        <v/>
      </c>
      <c r="AV216">
        <f>HYPERLINK("http://www.worldcat.org/oclc/2983759","WorldCat Record")</f>
        <v/>
      </c>
      <c r="AW216" t="inlineStr">
        <is>
          <t>4135586:eng</t>
        </is>
      </c>
      <c r="AX216" t="inlineStr">
        <is>
          <t>2983759</t>
        </is>
      </c>
      <c r="AY216" t="inlineStr">
        <is>
          <t>991001363439702656</t>
        </is>
      </c>
      <c r="AZ216" t="inlineStr">
        <is>
          <t>991001363439702656</t>
        </is>
      </c>
      <c r="BA216" t="inlineStr">
        <is>
          <t>2261062360002656</t>
        </is>
      </c>
      <c r="BB216" t="inlineStr">
        <is>
          <t>BOOK</t>
        </is>
      </c>
      <c r="BE216" t="inlineStr">
        <is>
          <t>30001000461063</t>
        </is>
      </c>
      <c r="BF216" t="inlineStr">
        <is>
          <t>893374477</t>
        </is>
      </c>
    </row>
    <row r="217">
      <c r="A217" t="inlineStr">
        <is>
          <t>No</t>
        </is>
      </c>
      <c r="B217" t="inlineStr">
        <is>
          <t>CUHSL</t>
        </is>
      </c>
      <c r="C217" t="inlineStr">
        <is>
          <t>SHELVES</t>
        </is>
      </c>
      <c r="D217" t="inlineStr">
        <is>
          <t>WY 18 C543p 1992</t>
        </is>
      </c>
      <c r="E217" t="inlineStr">
        <is>
          <t>0                      WY 0018000C  543p        1992</t>
        </is>
      </c>
      <c r="F217" t="inlineStr">
        <is>
          <t>Perioperative nursing / Linda B. Chitwood, Diane Crisler Swain [coauthors] ; Barbara Kascsak Bailes [reviewer].</t>
        </is>
      </c>
      <c r="H217" t="inlineStr">
        <is>
          <t>No</t>
        </is>
      </c>
      <c r="I217" t="inlineStr">
        <is>
          <t>1</t>
        </is>
      </c>
      <c r="J217" t="inlineStr">
        <is>
          <t>No</t>
        </is>
      </c>
      <c r="K217" t="inlineStr">
        <is>
          <t>No</t>
        </is>
      </c>
      <c r="L217" t="inlineStr">
        <is>
          <t>0</t>
        </is>
      </c>
      <c r="M217" t="inlineStr">
        <is>
          <t>Chitwood, Linda B.</t>
        </is>
      </c>
      <c r="N217" t="inlineStr">
        <is>
          <t>Springhouse, Pa. : Springhouse Corp., c1992.</t>
        </is>
      </c>
      <c r="O217" t="inlineStr">
        <is>
          <t>1992</t>
        </is>
      </c>
      <c r="Q217" t="inlineStr">
        <is>
          <t>eng</t>
        </is>
      </c>
      <c r="R217" t="inlineStr">
        <is>
          <t>pau</t>
        </is>
      </c>
      <c r="S217" t="inlineStr">
        <is>
          <t>Springhouse notes</t>
        </is>
      </c>
      <c r="T217" t="inlineStr">
        <is>
          <t xml:space="preserve">WY </t>
        </is>
      </c>
      <c r="U217" t="n">
        <v>1</v>
      </c>
      <c r="V217" t="n">
        <v>1</v>
      </c>
      <c r="W217" t="inlineStr">
        <is>
          <t>1992-12-11</t>
        </is>
      </c>
      <c r="X217" t="inlineStr">
        <is>
          <t>1992-12-11</t>
        </is>
      </c>
      <c r="Y217" t="inlineStr">
        <is>
          <t>1992-12-10</t>
        </is>
      </c>
      <c r="Z217" t="inlineStr">
        <is>
          <t>1992-12-10</t>
        </is>
      </c>
      <c r="AA217" t="n">
        <v>69</v>
      </c>
      <c r="AB217" t="n">
        <v>45</v>
      </c>
      <c r="AC217" t="n">
        <v>48</v>
      </c>
      <c r="AD217" t="n">
        <v>1</v>
      </c>
      <c r="AE217" t="n">
        <v>1</v>
      </c>
      <c r="AF217" t="n">
        <v>0</v>
      </c>
      <c r="AG217" t="n">
        <v>0</v>
      </c>
      <c r="AH217" t="n">
        <v>0</v>
      </c>
      <c r="AI217" t="n">
        <v>0</v>
      </c>
      <c r="AJ217" t="n">
        <v>0</v>
      </c>
      <c r="AK217" t="n">
        <v>0</v>
      </c>
      <c r="AL217" t="n">
        <v>0</v>
      </c>
      <c r="AM217" t="n">
        <v>0</v>
      </c>
      <c r="AN217" t="n">
        <v>0</v>
      </c>
      <c r="AO217" t="n">
        <v>0</v>
      </c>
      <c r="AP217" t="n">
        <v>0</v>
      </c>
      <c r="AQ217" t="n">
        <v>0</v>
      </c>
      <c r="AR217" t="inlineStr">
        <is>
          <t>No</t>
        </is>
      </c>
      <c r="AS217" t="inlineStr">
        <is>
          <t>No</t>
        </is>
      </c>
      <c r="AU217">
        <f>HYPERLINK("https://creighton-primo.hosted.exlibrisgroup.com/primo-explore/search?tab=default_tab&amp;search_scope=EVERYTHING&amp;vid=01CRU&amp;lang=en_US&amp;offset=0&amp;query=any,contains,991001351039702656","Catalog Record")</f>
        <v/>
      </c>
      <c r="AV217">
        <f>HYPERLINK("http://www.worldcat.org/oclc/23355180","WorldCat Record")</f>
        <v/>
      </c>
      <c r="AW217" t="inlineStr">
        <is>
          <t>3943597273:eng</t>
        </is>
      </c>
      <c r="AX217" t="inlineStr">
        <is>
          <t>23355180</t>
        </is>
      </c>
      <c r="AY217" t="inlineStr">
        <is>
          <t>991001351039702656</t>
        </is>
      </c>
      <c r="AZ217" t="inlineStr">
        <is>
          <t>991001351039702656</t>
        </is>
      </c>
      <c r="BA217" t="inlineStr">
        <is>
          <t>2270888540002656</t>
        </is>
      </c>
      <c r="BB217" t="inlineStr">
        <is>
          <t>BOOK</t>
        </is>
      </c>
      <c r="BD217" t="inlineStr">
        <is>
          <t>9780874343687</t>
        </is>
      </c>
      <c r="BE217" t="inlineStr">
        <is>
          <t>30001002459461</t>
        </is>
      </c>
      <c r="BF217" t="inlineStr">
        <is>
          <t>893632979</t>
        </is>
      </c>
    </row>
    <row r="218">
      <c r="A218" t="inlineStr">
        <is>
          <t>No</t>
        </is>
      </c>
      <c r="B218" t="inlineStr">
        <is>
          <t>CUHSL</t>
        </is>
      </c>
      <c r="C218" t="inlineStr">
        <is>
          <t>SHELVES</t>
        </is>
      </c>
      <c r="D218" t="inlineStr">
        <is>
          <t>WY 18 C5923a 1978</t>
        </is>
      </c>
      <c r="E218" t="inlineStr">
        <is>
          <t>0                      WY 0018000C  5923a       1978</t>
        </is>
      </c>
      <c r="F218" t="inlineStr">
        <is>
          <t>Assertive skills for nurses / Carolyn Chambers Clark.</t>
        </is>
      </c>
      <c r="H218" t="inlineStr">
        <is>
          <t>No</t>
        </is>
      </c>
      <c r="I218" t="inlineStr">
        <is>
          <t>1</t>
        </is>
      </c>
      <c r="J218" t="inlineStr">
        <is>
          <t>No</t>
        </is>
      </c>
      <c r="K218" t="inlineStr">
        <is>
          <t>No</t>
        </is>
      </c>
      <c r="L218" t="inlineStr">
        <is>
          <t>0</t>
        </is>
      </c>
      <c r="M218" t="inlineStr">
        <is>
          <t>Clark, Carolyn Chambers.</t>
        </is>
      </c>
      <c r="N218" t="inlineStr">
        <is>
          <t>Rockville, Md. : Aspen Systems Corp., c1978.</t>
        </is>
      </c>
      <c r="O218" t="inlineStr">
        <is>
          <t>1978</t>
        </is>
      </c>
      <c r="P218" t="inlineStr">
        <is>
          <t>1st ed.</t>
        </is>
      </c>
      <c r="Q218" t="inlineStr">
        <is>
          <t>eng</t>
        </is>
      </c>
      <c r="R218" t="inlineStr">
        <is>
          <t>xxu</t>
        </is>
      </c>
      <c r="T218" t="inlineStr">
        <is>
          <t xml:space="preserve">WY </t>
        </is>
      </c>
      <c r="U218" t="n">
        <v>3</v>
      </c>
      <c r="V218" t="n">
        <v>3</v>
      </c>
      <c r="W218" t="inlineStr">
        <is>
          <t>1998-10-21</t>
        </is>
      </c>
      <c r="X218" t="inlineStr">
        <is>
          <t>1998-10-21</t>
        </is>
      </c>
      <c r="Y218" t="inlineStr">
        <is>
          <t>1987-12-28</t>
        </is>
      </c>
      <c r="Z218" t="inlineStr">
        <is>
          <t>1987-12-28</t>
        </is>
      </c>
      <c r="AA218" t="n">
        <v>29</v>
      </c>
      <c r="AB218" t="n">
        <v>25</v>
      </c>
      <c r="AC218" t="n">
        <v>207</v>
      </c>
      <c r="AD218" t="n">
        <v>2</v>
      </c>
      <c r="AE218" t="n">
        <v>4</v>
      </c>
      <c r="AF218" t="n">
        <v>1</v>
      </c>
      <c r="AG218" t="n">
        <v>9</v>
      </c>
      <c r="AH218" t="n">
        <v>0</v>
      </c>
      <c r="AI218" t="n">
        <v>3</v>
      </c>
      <c r="AJ218" t="n">
        <v>0</v>
      </c>
      <c r="AK218" t="n">
        <v>2</v>
      </c>
      <c r="AL218" t="n">
        <v>0</v>
      </c>
      <c r="AM218" t="n">
        <v>4</v>
      </c>
      <c r="AN218" t="n">
        <v>1</v>
      </c>
      <c r="AO218" t="n">
        <v>2</v>
      </c>
      <c r="AP218" t="n">
        <v>0</v>
      </c>
      <c r="AQ218" t="n">
        <v>0</v>
      </c>
      <c r="AR218" t="inlineStr">
        <is>
          <t>No</t>
        </is>
      </c>
      <c r="AS218" t="inlineStr">
        <is>
          <t>No</t>
        </is>
      </c>
      <c r="AU218">
        <f>HYPERLINK("https://creighton-primo.hosted.exlibrisgroup.com/primo-explore/search?tab=default_tab&amp;search_scope=EVERYTHING&amp;vid=01CRU&amp;lang=en_US&amp;offset=0&amp;query=any,contains,991001040129702656","Catalog Record")</f>
        <v/>
      </c>
      <c r="AV218">
        <f>HYPERLINK("http://www.worldcat.org/oclc/11185521","WorldCat Record")</f>
        <v/>
      </c>
      <c r="AW218" t="inlineStr">
        <is>
          <t>4103526:eng</t>
        </is>
      </c>
      <c r="AX218" t="inlineStr">
        <is>
          <t>11185521</t>
        </is>
      </c>
      <c r="AY218" t="inlineStr">
        <is>
          <t>991001040129702656</t>
        </is>
      </c>
      <c r="AZ218" t="inlineStr">
        <is>
          <t>991001040129702656</t>
        </is>
      </c>
      <c r="BA218" t="inlineStr">
        <is>
          <t>2261958820002656</t>
        </is>
      </c>
      <c r="BB218" t="inlineStr">
        <is>
          <t>BOOK</t>
        </is>
      </c>
      <c r="BD218" t="inlineStr">
        <is>
          <t>9780913654460</t>
        </is>
      </c>
      <c r="BE218" t="inlineStr">
        <is>
          <t>30001000242026</t>
        </is>
      </c>
      <c r="BF218" t="inlineStr">
        <is>
          <t>893134206</t>
        </is>
      </c>
    </row>
    <row r="219">
      <c r="A219" t="inlineStr">
        <is>
          <t>No</t>
        </is>
      </c>
      <c r="B219" t="inlineStr">
        <is>
          <t>CUHSL</t>
        </is>
      </c>
      <c r="C219" t="inlineStr">
        <is>
          <t>SHELVES</t>
        </is>
      </c>
      <c r="D219" t="inlineStr">
        <is>
          <t>WY 18 C592c 1978</t>
        </is>
      </c>
      <c r="E219" t="inlineStr">
        <is>
          <t>0                      WY 0018000C  592c        1978</t>
        </is>
      </c>
      <c r="F219" t="inlineStr">
        <is>
          <t>Classroom skills for nurse educators / Carolyn Chambers Clark.</t>
        </is>
      </c>
      <c r="H219" t="inlineStr">
        <is>
          <t>No</t>
        </is>
      </c>
      <c r="I219" t="inlineStr">
        <is>
          <t>1</t>
        </is>
      </c>
      <c r="J219" t="inlineStr">
        <is>
          <t>No</t>
        </is>
      </c>
      <c r="K219" t="inlineStr">
        <is>
          <t>No</t>
        </is>
      </c>
      <c r="L219" t="inlineStr">
        <is>
          <t>0</t>
        </is>
      </c>
      <c r="M219" t="inlineStr">
        <is>
          <t>Clark, Carolyn Chambers.</t>
        </is>
      </c>
      <c r="N219" t="inlineStr">
        <is>
          <t>New York : Springer Pub. Co., c1978.</t>
        </is>
      </c>
      <c r="O219" t="inlineStr">
        <is>
          <t>1978</t>
        </is>
      </c>
      <c r="Q219" t="inlineStr">
        <is>
          <t>eng</t>
        </is>
      </c>
      <c r="R219" t="inlineStr">
        <is>
          <t>nyu</t>
        </is>
      </c>
      <c r="S219" t="inlineStr">
        <is>
          <t>Springer series on the teaching of nursing ; 4</t>
        </is>
      </c>
      <c r="T219" t="inlineStr">
        <is>
          <t xml:space="preserve">WY </t>
        </is>
      </c>
      <c r="U219" t="n">
        <v>5</v>
      </c>
      <c r="V219" t="n">
        <v>5</v>
      </c>
      <c r="W219" t="inlineStr">
        <is>
          <t>1994-01-18</t>
        </is>
      </c>
      <c r="X219" t="inlineStr">
        <is>
          <t>1994-01-18</t>
        </is>
      </c>
      <c r="Y219" t="inlineStr">
        <is>
          <t>1988-01-08</t>
        </is>
      </c>
      <c r="Z219" t="inlineStr">
        <is>
          <t>1988-01-08</t>
        </is>
      </c>
      <c r="AA219" t="n">
        <v>198</v>
      </c>
      <c r="AB219" t="n">
        <v>156</v>
      </c>
      <c r="AC219" t="n">
        <v>409</v>
      </c>
      <c r="AD219" t="n">
        <v>3</v>
      </c>
      <c r="AE219" t="n">
        <v>5</v>
      </c>
      <c r="AF219" t="n">
        <v>6</v>
      </c>
      <c r="AG219" t="n">
        <v>20</v>
      </c>
      <c r="AH219" t="n">
        <v>1</v>
      </c>
      <c r="AI219" t="n">
        <v>5</v>
      </c>
      <c r="AJ219" t="n">
        <v>0</v>
      </c>
      <c r="AK219" t="n">
        <v>5</v>
      </c>
      <c r="AL219" t="n">
        <v>5</v>
      </c>
      <c r="AM219" t="n">
        <v>11</v>
      </c>
      <c r="AN219" t="n">
        <v>1</v>
      </c>
      <c r="AO219" t="n">
        <v>3</v>
      </c>
      <c r="AP219" t="n">
        <v>0</v>
      </c>
      <c r="AQ219" t="n">
        <v>0</v>
      </c>
      <c r="AR219" t="inlineStr">
        <is>
          <t>No</t>
        </is>
      </c>
      <c r="AS219" t="inlineStr">
        <is>
          <t>Yes</t>
        </is>
      </c>
      <c r="AT219">
        <f>HYPERLINK("http://catalog.hathitrust.org/Record/000138230","HathiTrust Record")</f>
        <v/>
      </c>
      <c r="AU219">
        <f>HYPERLINK("https://creighton-primo.hosted.exlibrisgroup.com/primo-explore/search?tab=default_tab&amp;search_scope=EVERYTHING&amp;vid=01CRU&amp;lang=en_US&amp;offset=0&amp;query=any,contains,991001039809702656","Catalog Record")</f>
        <v/>
      </c>
      <c r="AV219">
        <f>HYPERLINK("http://www.worldcat.org/oclc/3771035","WorldCat Record")</f>
        <v/>
      </c>
      <c r="AW219" t="inlineStr">
        <is>
          <t>12227664:eng</t>
        </is>
      </c>
      <c r="AX219" t="inlineStr">
        <is>
          <t>3771035</t>
        </is>
      </c>
      <c r="AY219" t="inlineStr">
        <is>
          <t>991001039809702656</t>
        </is>
      </c>
      <c r="AZ219" t="inlineStr">
        <is>
          <t>991001039809702656</t>
        </is>
      </c>
      <c r="BA219" t="inlineStr">
        <is>
          <t>2263284580002656</t>
        </is>
      </c>
      <c r="BB219" t="inlineStr">
        <is>
          <t>BOOK</t>
        </is>
      </c>
      <c r="BD219" t="inlineStr">
        <is>
          <t>9780826124319</t>
        </is>
      </c>
      <c r="BE219" t="inlineStr">
        <is>
          <t>30001000241945</t>
        </is>
      </c>
      <c r="BF219" t="inlineStr">
        <is>
          <t>893820875</t>
        </is>
      </c>
    </row>
    <row r="220">
      <c r="A220" t="inlineStr">
        <is>
          <t>No</t>
        </is>
      </c>
      <c r="B220" t="inlineStr">
        <is>
          <t>CUHSL</t>
        </is>
      </c>
      <c r="C220" t="inlineStr">
        <is>
          <t>SHELVES</t>
        </is>
      </c>
      <c r="D220" t="inlineStr">
        <is>
          <t>WY 18 C622i 1989</t>
        </is>
      </c>
      <c r="E220" t="inlineStr">
        <is>
          <t>0                      WY 0018000C  622i        1989</t>
        </is>
      </c>
      <c r="F220" t="inlineStr">
        <is>
          <t>Instruments for use in nursing education research / Gloria M. Clayton, Marion Broome.</t>
        </is>
      </c>
      <c r="H220" t="inlineStr">
        <is>
          <t>No</t>
        </is>
      </c>
      <c r="I220" t="inlineStr">
        <is>
          <t>1</t>
        </is>
      </c>
      <c r="J220" t="inlineStr">
        <is>
          <t>No</t>
        </is>
      </c>
      <c r="K220" t="inlineStr">
        <is>
          <t>No</t>
        </is>
      </c>
      <c r="L220" t="inlineStr">
        <is>
          <t>0</t>
        </is>
      </c>
      <c r="M220" t="inlineStr">
        <is>
          <t>Clayton, Gloria M.</t>
        </is>
      </c>
      <c r="N220" t="inlineStr">
        <is>
          <t>New York, NY : National League for Nursing, c1989.</t>
        </is>
      </c>
      <c r="O220" t="inlineStr">
        <is>
          <t>1989</t>
        </is>
      </c>
      <c r="Q220" t="inlineStr">
        <is>
          <t>eng</t>
        </is>
      </c>
      <c r="R220" t="inlineStr">
        <is>
          <t>nyu</t>
        </is>
      </c>
      <c r="S220" t="inlineStr">
        <is>
          <t>NLN pub. no. 15-2248</t>
        </is>
      </c>
      <c r="T220" t="inlineStr">
        <is>
          <t xml:space="preserve">WY </t>
        </is>
      </c>
      <c r="U220" t="n">
        <v>5</v>
      </c>
      <c r="V220" t="n">
        <v>5</v>
      </c>
      <c r="W220" t="inlineStr">
        <is>
          <t>1994-10-01</t>
        </is>
      </c>
      <c r="X220" t="inlineStr">
        <is>
          <t>1994-10-01</t>
        </is>
      </c>
      <c r="Y220" t="inlineStr">
        <is>
          <t>1989-09-15</t>
        </is>
      </c>
      <c r="Z220" t="inlineStr">
        <is>
          <t>1989-09-15</t>
        </is>
      </c>
      <c r="AA220" t="n">
        <v>248</v>
      </c>
      <c r="AB220" t="n">
        <v>211</v>
      </c>
      <c r="AC220" t="n">
        <v>218</v>
      </c>
      <c r="AD220" t="n">
        <v>1</v>
      </c>
      <c r="AE220" t="n">
        <v>1</v>
      </c>
      <c r="AF220" t="n">
        <v>12</v>
      </c>
      <c r="AG220" t="n">
        <v>12</v>
      </c>
      <c r="AH220" t="n">
        <v>3</v>
      </c>
      <c r="AI220" t="n">
        <v>3</v>
      </c>
      <c r="AJ220" t="n">
        <v>4</v>
      </c>
      <c r="AK220" t="n">
        <v>4</v>
      </c>
      <c r="AL220" t="n">
        <v>7</v>
      </c>
      <c r="AM220" t="n">
        <v>7</v>
      </c>
      <c r="AN220" t="n">
        <v>0</v>
      </c>
      <c r="AO220" t="n">
        <v>0</v>
      </c>
      <c r="AP220" t="n">
        <v>0</v>
      </c>
      <c r="AQ220" t="n">
        <v>0</v>
      </c>
      <c r="AR220" t="inlineStr">
        <is>
          <t>No</t>
        </is>
      </c>
      <c r="AS220" t="inlineStr">
        <is>
          <t>Yes</t>
        </is>
      </c>
      <c r="AT220">
        <f>HYPERLINK("http://catalog.hathitrust.org/Record/002506880","HathiTrust Record")</f>
        <v/>
      </c>
      <c r="AU220">
        <f>HYPERLINK("https://creighton-primo.hosted.exlibrisgroup.com/primo-explore/search?tab=default_tab&amp;search_scope=EVERYTHING&amp;vid=01CRU&amp;lang=en_US&amp;offset=0&amp;query=any,contains,991001321519702656","Catalog Record")</f>
        <v/>
      </c>
      <c r="AV220">
        <f>HYPERLINK("http://www.worldcat.org/oclc/22544342","WorldCat Record")</f>
        <v/>
      </c>
      <c r="AW220" t="inlineStr">
        <is>
          <t>24613509:eng</t>
        </is>
      </c>
      <c r="AX220" t="inlineStr">
        <is>
          <t>22544342</t>
        </is>
      </c>
      <c r="AY220" t="inlineStr">
        <is>
          <t>991001321519702656</t>
        </is>
      </c>
      <c r="AZ220" t="inlineStr">
        <is>
          <t>991001321519702656</t>
        </is>
      </c>
      <c r="BA220" t="inlineStr">
        <is>
          <t>2257056650002656</t>
        </is>
      </c>
      <c r="BB220" t="inlineStr">
        <is>
          <t>BOOK</t>
        </is>
      </c>
      <c r="BD220" t="inlineStr">
        <is>
          <t>9780887374241</t>
        </is>
      </c>
      <c r="BE220" t="inlineStr">
        <is>
          <t>30001001753674</t>
        </is>
      </c>
      <c r="BF220" t="inlineStr">
        <is>
          <t>893736461</t>
        </is>
      </c>
    </row>
    <row r="221">
      <c r="A221" t="inlineStr">
        <is>
          <t>No</t>
        </is>
      </c>
      <c r="B221" t="inlineStr">
        <is>
          <t>CUHSL</t>
        </is>
      </c>
      <c r="C221" t="inlineStr">
        <is>
          <t>SHELVES</t>
        </is>
      </c>
      <c r="D221" t="inlineStr">
        <is>
          <t>WY 18 C676e 1980</t>
        </is>
      </c>
      <c r="E221" t="inlineStr">
        <is>
          <t>0                      WY 0018000C  676e        1980</t>
        </is>
      </c>
      <c r="F221" t="inlineStr">
        <is>
          <t>Cognitive dissonance : an examination of CBHDP stated beliefs and their effect on education programs.</t>
        </is>
      </c>
      <c r="H221" t="inlineStr">
        <is>
          <t>No</t>
        </is>
      </c>
      <c r="I221" t="inlineStr">
        <is>
          <t>1</t>
        </is>
      </c>
      <c r="J221" t="inlineStr">
        <is>
          <t>No</t>
        </is>
      </c>
      <c r="K221" t="inlineStr">
        <is>
          <t>No</t>
        </is>
      </c>
      <c r="L221" t="inlineStr">
        <is>
          <t>0</t>
        </is>
      </c>
      <c r="N221" t="inlineStr">
        <is>
          <t>New York : National League for Nursing, c1981.</t>
        </is>
      </c>
      <c r="O221" t="inlineStr">
        <is>
          <t>1980</t>
        </is>
      </c>
      <c r="Q221" t="inlineStr">
        <is>
          <t>eng</t>
        </is>
      </c>
      <c r="R221" t="inlineStr">
        <is>
          <t>xxu</t>
        </is>
      </c>
      <c r="S221" t="inlineStr">
        <is>
          <t>NLN pub. no. 15-1851</t>
        </is>
      </c>
      <c r="T221" t="inlineStr">
        <is>
          <t xml:space="preserve">WY </t>
        </is>
      </c>
      <c r="U221" t="n">
        <v>1</v>
      </c>
      <c r="V221" t="n">
        <v>1</v>
      </c>
      <c r="W221" t="inlineStr">
        <is>
          <t>1990-06-12</t>
        </is>
      </c>
      <c r="X221" t="inlineStr">
        <is>
          <t>1990-06-12</t>
        </is>
      </c>
      <c r="Y221" t="inlineStr">
        <is>
          <t>1987-10-29</t>
        </is>
      </c>
      <c r="Z221" t="inlineStr">
        <is>
          <t>1987-10-29</t>
        </is>
      </c>
      <c r="AA221" t="n">
        <v>27</v>
      </c>
      <c r="AB221" t="n">
        <v>26</v>
      </c>
      <c r="AC221" t="n">
        <v>26</v>
      </c>
      <c r="AD221" t="n">
        <v>1</v>
      </c>
      <c r="AE221" t="n">
        <v>1</v>
      </c>
      <c r="AF221" t="n">
        <v>2</v>
      </c>
      <c r="AG221" t="n">
        <v>2</v>
      </c>
      <c r="AH221" t="n">
        <v>0</v>
      </c>
      <c r="AI221" t="n">
        <v>0</v>
      </c>
      <c r="AJ221" t="n">
        <v>0</v>
      </c>
      <c r="AK221" t="n">
        <v>0</v>
      </c>
      <c r="AL221" t="n">
        <v>2</v>
      </c>
      <c r="AM221" t="n">
        <v>2</v>
      </c>
      <c r="AN221" t="n">
        <v>0</v>
      </c>
      <c r="AO221" t="n">
        <v>0</v>
      </c>
      <c r="AP221" t="n">
        <v>0</v>
      </c>
      <c r="AQ221" t="n">
        <v>0</v>
      </c>
      <c r="AR221" t="inlineStr">
        <is>
          <t>No</t>
        </is>
      </c>
      <c r="AS221" t="inlineStr">
        <is>
          <t>No</t>
        </is>
      </c>
      <c r="AU221">
        <f>HYPERLINK("https://creighton-primo.hosted.exlibrisgroup.com/primo-explore/search?tab=default_tab&amp;search_scope=EVERYTHING&amp;vid=01CRU&amp;lang=en_US&amp;offset=0&amp;query=any,contains,991001373089702656","Catalog Record")</f>
        <v/>
      </c>
      <c r="AV221">
        <f>HYPERLINK("http://www.worldcat.org/oclc/7776724","WorldCat Record")</f>
        <v/>
      </c>
      <c r="AW221" t="inlineStr">
        <is>
          <t>3902365365:eng</t>
        </is>
      </c>
      <c r="AX221" t="inlineStr">
        <is>
          <t>7776724</t>
        </is>
      </c>
      <c r="AY221" t="inlineStr">
        <is>
          <t>991001373089702656</t>
        </is>
      </c>
      <c r="AZ221" t="inlineStr">
        <is>
          <t>991001373089702656</t>
        </is>
      </c>
      <c r="BA221" t="inlineStr">
        <is>
          <t>2272768230002656</t>
        </is>
      </c>
      <c r="BB221" t="inlineStr">
        <is>
          <t>BOOK</t>
        </is>
      </c>
      <c r="BE221" t="inlineStr">
        <is>
          <t>30001000461964</t>
        </is>
      </c>
      <c r="BF221" t="inlineStr">
        <is>
          <t>893649144</t>
        </is>
      </c>
    </row>
    <row r="222">
      <c r="A222" t="inlineStr">
        <is>
          <t>No</t>
        </is>
      </c>
      <c r="B222" t="inlineStr">
        <is>
          <t>CUHSL</t>
        </is>
      </c>
      <c r="C222" t="inlineStr">
        <is>
          <t>SHELVES</t>
        </is>
      </c>
      <c r="D222" t="inlineStr">
        <is>
          <t>WY 18 C676i 1980</t>
        </is>
      </c>
      <c r="E222" t="inlineStr">
        <is>
          <t>0                      WY 0018000C  676i        1980</t>
        </is>
      </c>
      <c r="F222" t="inlineStr">
        <is>
          <t>Cognitive dissonance : interpreting and implementing faculty practice roles in nursing education.</t>
        </is>
      </c>
      <c r="H222" t="inlineStr">
        <is>
          <t>No</t>
        </is>
      </c>
      <c r="I222" t="inlineStr">
        <is>
          <t>1</t>
        </is>
      </c>
      <c r="J222" t="inlineStr">
        <is>
          <t>No</t>
        </is>
      </c>
      <c r="K222" t="inlineStr">
        <is>
          <t>No</t>
        </is>
      </c>
      <c r="L222" t="inlineStr">
        <is>
          <t>0</t>
        </is>
      </c>
      <c r="N222" t="inlineStr">
        <is>
          <t>New York : National League for Nursing, c1980.</t>
        </is>
      </c>
      <c r="O222" t="inlineStr">
        <is>
          <t>1980</t>
        </is>
      </c>
      <c r="Q222" t="inlineStr">
        <is>
          <t>eng</t>
        </is>
      </c>
      <c r="R222" t="inlineStr">
        <is>
          <t>xxu</t>
        </is>
      </c>
      <c r="S222" t="inlineStr">
        <is>
          <t>NLN pub. no. 15-1831</t>
        </is>
      </c>
      <c r="T222" t="inlineStr">
        <is>
          <t xml:space="preserve">WY </t>
        </is>
      </c>
      <c r="U222" t="n">
        <v>1</v>
      </c>
      <c r="V222" t="n">
        <v>1</v>
      </c>
      <c r="W222" t="inlineStr">
        <is>
          <t>1990-06-12</t>
        </is>
      </c>
      <c r="X222" t="inlineStr">
        <is>
          <t>1990-06-12</t>
        </is>
      </c>
      <c r="Y222" t="inlineStr">
        <is>
          <t>1987-10-29</t>
        </is>
      </c>
      <c r="Z222" t="inlineStr">
        <is>
          <t>1987-10-29</t>
        </is>
      </c>
      <c r="AA222" t="n">
        <v>95</v>
      </c>
      <c r="AB222" t="n">
        <v>83</v>
      </c>
      <c r="AC222" t="n">
        <v>85</v>
      </c>
      <c r="AD222" t="n">
        <v>2</v>
      </c>
      <c r="AE222" t="n">
        <v>2</v>
      </c>
      <c r="AF222" t="n">
        <v>5</v>
      </c>
      <c r="AG222" t="n">
        <v>5</v>
      </c>
      <c r="AH222" t="n">
        <v>1</v>
      </c>
      <c r="AI222" t="n">
        <v>1</v>
      </c>
      <c r="AJ222" t="n">
        <v>0</v>
      </c>
      <c r="AK222" t="n">
        <v>0</v>
      </c>
      <c r="AL222" t="n">
        <v>3</v>
      </c>
      <c r="AM222" t="n">
        <v>3</v>
      </c>
      <c r="AN222" t="n">
        <v>1</v>
      </c>
      <c r="AO222" t="n">
        <v>1</v>
      </c>
      <c r="AP222" t="n">
        <v>0</v>
      </c>
      <c r="AQ222" t="n">
        <v>0</v>
      </c>
      <c r="AR222" t="inlineStr">
        <is>
          <t>No</t>
        </is>
      </c>
      <c r="AS222" t="inlineStr">
        <is>
          <t>Yes</t>
        </is>
      </c>
      <c r="AT222">
        <f>HYPERLINK("http://catalog.hathitrust.org/Record/002506611","HathiTrust Record")</f>
        <v/>
      </c>
      <c r="AU222">
        <f>HYPERLINK("https://creighton-primo.hosted.exlibrisgroup.com/primo-explore/search?tab=default_tab&amp;search_scope=EVERYTHING&amp;vid=01CRU&amp;lang=en_US&amp;offset=0&amp;query=any,contains,991001371559702656","Catalog Record")</f>
        <v/>
      </c>
      <c r="AV222">
        <f>HYPERLINK("http://www.worldcat.org/oclc/7693874","WorldCat Record")</f>
        <v/>
      </c>
      <c r="AW222" t="inlineStr">
        <is>
          <t>29124117:eng</t>
        </is>
      </c>
      <c r="AX222" t="inlineStr">
        <is>
          <t>7693874</t>
        </is>
      </c>
      <c r="AY222" t="inlineStr">
        <is>
          <t>991001371559702656</t>
        </is>
      </c>
      <c r="AZ222" t="inlineStr">
        <is>
          <t>991001371559702656</t>
        </is>
      </c>
      <c r="BA222" t="inlineStr">
        <is>
          <t>2269612090002656</t>
        </is>
      </c>
      <c r="BB222" t="inlineStr">
        <is>
          <t>BOOK</t>
        </is>
      </c>
      <c r="BE222" t="inlineStr">
        <is>
          <t>30001000461899</t>
        </is>
      </c>
      <c r="BF222" t="inlineStr">
        <is>
          <t>893134497</t>
        </is>
      </c>
    </row>
    <row r="223">
      <c r="A223" t="inlineStr">
        <is>
          <t>No</t>
        </is>
      </c>
      <c r="B223" t="inlineStr">
        <is>
          <t>CUHSL</t>
        </is>
      </c>
      <c r="C223" t="inlineStr">
        <is>
          <t>SHELVES</t>
        </is>
      </c>
      <c r="D223" t="inlineStr">
        <is>
          <t>WY 18 C697 1987</t>
        </is>
      </c>
      <c r="E223" t="inlineStr">
        <is>
          <t>0                      WY 0018000C  697         1987</t>
        </is>
      </c>
      <c r="F223" t="inlineStr">
        <is>
          <t>Collaboration for articulation : RN to BSN / Mary Fry Rapson, editor.</t>
        </is>
      </c>
      <c r="H223" t="inlineStr">
        <is>
          <t>No</t>
        </is>
      </c>
      <c r="I223" t="inlineStr">
        <is>
          <t>1</t>
        </is>
      </c>
      <c r="J223" t="inlineStr">
        <is>
          <t>No</t>
        </is>
      </c>
      <c r="K223" t="inlineStr">
        <is>
          <t>No</t>
        </is>
      </c>
      <c r="L223" t="inlineStr">
        <is>
          <t>0</t>
        </is>
      </c>
      <c r="N223" t="inlineStr">
        <is>
          <t>New York : National League for Nursing, c1987.</t>
        </is>
      </c>
      <c r="O223" t="inlineStr">
        <is>
          <t>1987</t>
        </is>
      </c>
      <c r="Q223" t="inlineStr">
        <is>
          <t>eng</t>
        </is>
      </c>
      <c r="R223" t="inlineStr">
        <is>
          <t>nyu</t>
        </is>
      </c>
      <c r="S223" t="inlineStr">
        <is>
          <t>Pub. (National League for Nursing) ; no.41-2182.</t>
        </is>
      </c>
      <c r="T223" t="inlineStr">
        <is>
          <t xml:space="preserve">WY </t>
        </is>
      </c>
      <c r="U223" t="n">
        <v>4</v>
      </c>
      <c r="V223" t="n">
        <v>4</v>
      </c>
      <c r="W223" t="inlineStr">
        <is>
          <t>1993-04-09</t>
        </is>
      </c>
      <c r="X223" t="inlineStr">
        <is>
          <t>1993-04-09</t>
        </is>
      </c>
      <c r="Y223" t="inlineStr">
        <is>
          <t>1988-01-12</t>
        </is>
      </c>
      <c r="Z223" t="inlineStr">
        <is>
          <t>1988-01-12</t>
        </is>
      </c>
      <c r="AA223" t="n">
        <v>218</v>
      </c>
      <c r="AB223" t="n">
        <v>197</v>
      </c>
      <c r="AC223" t="n">
        <v>204</v>
      </c>
      <c r="AD223" t="n">
        <v>4</v>
      </c>
      <c r="AE223" t="n">
        <v>4</v>
      </c>
      <c r="AF223" t="n">
        <v>13</v>
      </c>
      <c r="AG223" t="n">
        <v>13</v>
      </c>
      <c r="AH223" t="n">
        <v>5</v>
      </c>
      <c r="AI223" t="n">
        <v>5</v>
      </c>
      <c r="AJ223" t="n">
        <v>2</v>
      </c>
      <c r="AK223" t="n">
        <v>2</v>
      </c>
      <c r="AL223" t="n">
        <v>7</v>
      </c>
      <c r="AM223" t="n">
        <v>7</v>
      </c>
      <c r="AN223" t="n">
        <v>2</v>
      </c>
      <c r="AO223" t="n">
        <v>2</v>
      </c>
      <c r="AP223" t="n">
        <v>0</v>
      </c>
      <c r="AQ223" t="n">
        <v>0</v>
      </c>
      <c r="AR223" t="inlineStr">
        <is>
          <t>No</t>
        </is>
      </c>
      <c r="AS223" t="inlineStr">
        <is>
          <t>Yes</t>
        </is>
      </c>
      <c r="AT223">
        <f>HYPERLINK("http://catalog.hathitrust.org/Record/002506696","HathiTrust Record")</f>
        <v/>
      </c>
      <c r="AU223">
        <f>HYPERLINK("https://creighton-primo.hosted.exlibrisgroup.com/primo-explore/search?tab=default_tab&amp;search_scope=EVERYTHING&amp;vid=01CRU&amp;lang=en_US&amp;offset=0&amp;query=any,contains,991001536989702656","Catalog Record")</f>
        <v/>
      </c>
      <c r="AV223">
        <f>HYPERLINK("http://www.worldcat.org/oclc/15788330","WorldCat Record")</f>
        <v/>
      </c>
      <c r="AW223" t="inlineStr">
        <is>
          <t>422980277:eng</t>
        </is>
      </c>
      <c r="AX223" t="inlineStr">
        <is>
          <t>15788330</t>
        </is>
      </c>
      <c r="AY223" t="inlineStr">
        <is>
          <t>991001536989702656</t>
        </is>
      </c>
      <c r="AZ223" t="inlineStr">
        <is>
          <t>991001536989702656</t>
        </is>
      </c>
      <c r="BA223" t="inlineStr">
        <is>
          <t>2260876710002656</t>
        </is>
      </c>
      <c r="BB223" t="inlineStr">
        <is>
          <t>BOOK</t>
        </is>
      </c>
      <c r="BD223" t="inlineStr">
        <is>
          <t>9780887373657</t>
        </is>
      </c>
      <c r="BE223" t="inlineStr">
        <is>
          <t>30001000623308</t>
        </is>
      </c>
      <c r="BF223" t="inlineStr">
        <is>
          <t>893736693</t>
        </is>
      </c>
    </row>
    <row r="224">
      <c r="A224" t="inlineStr">
        <is>
          <t>No</t>
        </is>
      </c>
      <c r="B224" t="inlineStr">
        <is>
          <t>CUHSL</t>
        </is>
      </c>
      <c r="C224" t="inlineStr">
        <is>
          <t>SHELVES</t>
        </is>
      </c>
      <c r="D224" t="inlineStr">
        <is>
          <t>WY 18 C697n 1977</t>
        </is>
      </c>
      <c r="E224" t="inlineStr">
        <is>
          <t>0                      WY 0018000C  697n        1977</t>
        </is>
      </c>
      <c r="F224" t="inlineStr">
        <is>
          <t>Collaboration for quality health care : education of beginning practitioners of nursing and utilization of graduates.</t>
        </is>
      </c>
      <c r="H224" t="inlineStr">
        <is>
          <t>No</t>
        </is>
      </c>
      <c r="I224" t="inlineStr">
        <is>
          <t>1</t>
        </is>
      </c>
      <c r="J224" t="inlineStr">
        <is>
          <t>No</t>
        </is>
      </c>
      <c r="K224" t="inlineStr">
        <is>
          <t>No</t>
        </is>
      </c>
      <c r="L224" t="inlineStr">
        <is>
          <t>0</t>
        </is>
      </c>
      <c r="N224" t="inlineStr">
        <is>
          <t>New York : National League for Nursing, c1977.</t>
        </is>
      </c>
      <c r="O224" t="inlineStr">
        <is>
          <t>1977</t>
        </is>
      </c>
      <c r="Q224" t="inlineStr">
        <is>
          <t>eng</t>
        </is>
      </c>
      <c r="R224" t="inlineStr">
        <is>
          <t>nyu</t>
        </is>
      </c>
      <c r="S224" t="inlineStr">
        <is>
          <t>NLN pub. no. 14-1654</t>
        </is>
      </c>
      <c r="T224" t="inlineStr">
        <is>
          <t xml:space="preserve">WY </t>
        </is>
      </c>
      <c r="U224" t="n">
        <v>1</v>
      </c>
      <c r="V224" t="n">
        <v>1</v>
      </c>
      <c r="W224" t="inlineStr">
        <is>
          <t>1990-04-24</t>
        </is>
      </c>
      <c r="X224" t="inlineStr">
        <is>
          <t>1990-04-24</t>
        </is>
      </c>
      <c r="Y224" t="inlineStr">
        <is>
          <t>1987-10-14</t>
        </is>
      </c>
      <c r="Z224" t="inlineStr">
        <is>
          <t>1987-10-14</t>
        </is>
      </c>
      <c r="AA224" t="n">
        <v>117</v>
      </c>
      <c r="AB224" t="n">
        <v>105</v>
      </c>
      <c r="AC224" t="n">
        <v>107</v>
      </c>
      <c r="AD224" t="n">
        <v>3</v>
      </c>
      <c r="AE224" t="n">
        <v>3</v>
      </c>
      <c r="AF224" t="n">
        <v>6</v>
      </c>
      <c r="AG224" t="n">
        <v>6</v>
      </c>
      <c r="AH224" t="n">
        <v>0</v>
      </c>
      <c r="AI224" t="n">
        <v>0</v>
      </c>
      <c r="AJ224" t="n">
        <v>1</v>
      </c>
      <c r="AK224" t="n">
        <v>1</v>
      </c>
      <c r="AL224" t="n">
        <v>5</v>
      </c>
      <c r="AM224" t="n">
        <v>5</v>
      </c>
      <c r="AN224" t="n">
        <v>1</v>
      </c>
      <c r="AO224" t="n">
        <v>1</v>
      </c>
      <c r="AP224" t="n">
        <v>0</v>
      </c>
      <c r="AQ224" t="n">
        <v>0</v>
      </c>
      <c r="AR224" t="inlineStr">
        <is>
          <t>No</t>
        </is>
      </c>
      <c r="AS224" t="inlineStr">
        <is>
          <t>Yes</t>
        </is>
      </c>
      <c r="AT224">
        <f>HYPERLINK("http://catalog.hathitrust.org/Record/000019346","HathiTrust Record")</f>
        <v/>
      </c>
      <c r="AU224">
        <f>HYPERLINK("https://creighton-primo.hosted.exlibrisgroup.com/primo-explore/search?tab=default_tab&amp;search_scope=EVERYTHING&amp;vid=01CRU&amp;lang=en_US&amp;offset=0&amp;query=any,contains,991001363499702656","Catalog Record")</f>
        <v/>
      </c>
      <c r="AV224">
        <f>HYPERLINK("http://www.worldcat.org/oclc/2738944","WorldCat Record")</f>
        <v/>
      </c>
      <c r="AW224" t="inlineStr">
        <is>
          <t>904544503:eng</t>
        </is>
      </c>
      <c r="AX224" t="inlineStr">
        <is>
          <t>2738944</t>
        </is>
      </c>
      <c r="AY224" t="inlineStr">
        <is>
          <t>991001363499702656</t>
        </is>
      </c>
      <c r="AZ224" t="inlineStr">
        <is>
          <t>991001363499702656</t>
        </is>
      </c>
      <c r="BA224" t="inlineStr">
        <is>
          <t>2258816860002656</t>
        </is>
      </c>
      <c r="BB224" t="inlineStr">
        <is>
          <t>BOOK</t>
        </is>
      </c>
      <c r="BE224" t="inlineStr">
        <is>
          <t>30001000461048</t>
        </is>
      </c>
      <c r="BF224" t="inlineStr">
        <is>
          <t>893287368</t>
        </is>
      </c>
    </row>
    <row r="225">
      <c r="A225" t="inlineStr">
        <is>
          <t>No</t>
        </is>
      </c>
      <c r="B225" t="inlineStr">
        <is>
          <t>CUHSL</t>
        </is>
      </c>
      <c r="C225" t="inlineStr">
        <is>
          <t>SHELVES</t>
        </is>
      </c>
      <c r="D225" t="inlineStr">
        <is>
          <t>WY 18 C7345 1978</t>
        </is>
      </c>
      <c r="E225" t="inlineStr">
        <is>
          <t>0                      WY 0018000C  7345        1978</t>
        </is>
      </c>
      <c r="F225" t="inlineStr">
        <is>
          <t>The Community college and continuing education for health care personnel.</t>
        </is>
      </c>
      <c r="H225" t="inlineStr">
        <is>
          <t>No</t>
        </is>
      </c>
      <c r="I225" t="inlineStr">
        <is>
          <t>1</t>
        </is>
      </c>
      <c r="J225" t="inlineStr">
        <is>
          <t>No</t>
        </is>
      </c>
      <c r="K225" t="inlineStr">
        <is>
          <t>No</t>
        </is>
      </c>
      <c r="L225" t="inlineStr">
        <is>
          <t>0</t>
        </is>
      </c>
      <c r="N225" t="inlineStr">
        <is>
          <t>New York : National League for Nursing, c1978.</t>
        </is>
      </c>
      <c r="O225" t="inlineStr">
        <is>
          <t>1978</t>
        </is>
      </c>
      <c r="Q225" t="inlineStr">
        <is>
          <t>eng</t>
        </is>
      </c>
      <c r="R225" t="inlineStr">
        <is>
          <t>nyu</t>
        </is>
      </c>
      <c r="S225" t="inlineStr">
        <is>
          <t>NLN pub. no. 23-1710</t>
        </is>
      </c>
      <c r="T225" t="inlineStr">
        <is>
          <t xml:space="preserve">WY </t>
        </is>
      </c>
      <c r="U225" t="n">
        <v>4</v>
      </c>
      <c r="V225" t="n">
        <v>4</v>
      </c>
      <c r="W225" t="inlineStr">
        <is>
          <t>1990-08-20</t>
        </is>
      </c>
      <c r="X225" t="inlineStr">
        <is>
          <t>1990-08-20</t>
        </is>
      </c>
      <c r="Y225" t="inlineStr">
        <is>
          <t>1987-11-05</t>
        </is>
      </c>
      <c r="Z225" t="inlineStr">
        <is>
          <t>1987-11-05</t>
        </is>
      </c>
      <c r="AA225" t="n">
        <v>90</v>
      </c>
      <c r="AB225" t="n">
        <v>81</v>
      </c>
      <c r="AC225" t="n">
        <v>83</v>
      </c>
      <c r="AD225" t="n">
        <v>2</v>
      </c>
      <c r="AE225" t="n">
        <v>2</v>
      </c>
      <c r="AF225" t="n">
        <v>1</v>
      </c>
      <c r="AG225" t="n">
        <v>1</v>
      </c>
      <c r="AH225" t="n">
        <v>0</v>
      </c>
      <c r="AI225" t="n">
        <v>0</v>
      </c>
      <c r="AJ225" t="n">
        <v>0</v>
      </c>
      <c r="AK225" t="n">
        <v>0</v>
      </c>
      <c r="AL225" t="n">
        <v>1</v>
      </c>
      <c r="AM225" t="n">
        <v>1</v>
      </c>
      <c r="AN225" t="n">
        <v>0</v>
      </c>
      <c r="AO225" t="n">
        <v>0</v>
      </c>
      <c r="AP225" t="n">
        <v>0</v>
      </c>
      <c r="AQ225" t="n">
        <v>0</v>
      </c>
      <c r="AR225" t="inlineStr">
        <is>
          <t>No</t>
        </is>
      </c>
      <c r="AS225" t="inlineStr">
        <is>
          <t>Yes</t>
        </is>
      </c>
      <c r="AT225">
        <f>HYPERLINK("http://catalog.hathitrust.org/Record/000703960","HathiTrust Record")</f>
        <v/>
      </c>
      <c r="AU225">
        <f>HYPERLINK("https://creighton-primo.hosted.exlibrisgroup.com/primo-explore/search?tab=default_tab&amp;search_scope=EVERYTHING&amp;vid=01CRU&amp;lang=en_US&amp;offset=0&amp;query=any,contains,991001388299702656","Catalog Record")</f>
        <v/>
      </c>
      <c r="AV225">
        <f>HYPERLINK("http://www.worldcat.org/oclc/3972961","WorldCat Record")</f>
        <v/>
      </c>
      <c r="AW225" t="inlineStr">
        <is>
          <t>13456926:eng</t>
        </is>
      </c>
      <c r="AX225" t="inlineStr">
        <is>
          <t>3972961</t>
        </is>
      </c>
      <c r="AY225" t="inlineStr">
        <is>
          <t>991001388299702656</t>
        </is>
      </c>
      <c r="AZ225" t="inlineStr">
        <is>
          <t>991001388299702656</t>
        </is>
      </c>
      <c r="BA225" t="inlineStr">
        <is>
          <t>2265802150002656</t>
        </is>
      </c>
      <c r="BB225" t="inlineStr">
        <is>
          <t>BOOK</t>
        </is>
      </c>
      <c r="BE225" t="inlineStr">
        <is>
          <t>30001000464281</t>
        </is>
      </c>
      <c r="BF225" t="inlineStr">
        <is>
          <t>893455736</t>
        </is>
      </c>
    </row>
    <row r="226">
      <c r="A226" t="inlineStr">
        <is>
          <t>No</t>
        </is>
      </c>
      <c r="B226" t="inlineStr">
        <is>
          <t>CUHSL</t>
        </is>
      </c>
      <c r="C226" t="inlineStr">
        <is>
          <t>SHELVES</t>
        </is>
      </c>
      <c r="D226" t="inlineStr">
        <is>
          <t>WY 18 C737 1979</t>
        </is>
      </c>
      <c r="E226" t="inlineStr">
        <is>
          <t>0                      WY 0018000C  737         1979</t>
        </is>
      </c>
      <c r="F226" t="inlineStr">
        <is>
          <t>Competency-based curriculum and instruction / Carol Jean (Willts) Peterson ... [et al.].</t>
        </is>
      </c>
      <c r="H226" t="inlineStr">
        <is>
          <t>No</t>
        </is>
      </c>
      <c r="I226" t="inlineStr">
        <is>
          <t>1</t>
        </is>
      </c>
      <c r="J226" t="inlineStr">
        <is>
          <t>No</t>
        </is>
      </c>
      <c r="K226" t="inlineStr">
        <is>
          <t>No</t>
        </is>
      </c>
      <c r="L226" t="inlineStr">
        <is>
          <t>0</t>
        </is>
      </c>
      <c r="N226" t="inlineStr">
        <is>
          <t>New York : National League for Nursing, c1979.</t>
        </is>
      </c>
      <c r="O226" t="inlineStr">
        <is>
          <t>1979</t>
        </is>
      </c>
      <c r="Q226" t="inlineStr">
        <is>
          <t>eng</t>
        </is>
      </c>
      <c r="R226" t="inlineStr">
        <is>
          <t>nyu</t>
        </is>
      </c>
      <c r="S226" t="inlineStr">
        <is>
          <t>League exchange ; no. 122</t>
        </is>
      </c>
      <c r="T226" t="inlineStr">
        <is>
          <t xml:space="preserve">WY </t>
        </is>
      </c>
      <c r="U226" t="n">
        <v>2</v>
      </c>
      <c r="V226" t="n">
        <v>2</v>
      </c>
      <c r="W226" t="inlineStr">
        <is>
          <t>1990-06-25</t>
        </is>
      </c>
      <c r="X226" t="inlineStr">
        <is>
          <t>1990-06-25</t>
        </is>
      </c>
      <c r="Y226" t="inlineStr">
        <is>
          <t>1987-11-04</t>
        </is>
      </c>
      <c r="Z226" t="inlineStr">
        <is>
          <t>1987-11-04</t>
        </is>
      </c>
      <c r="AA226" t="n">
        <v>117</v>
      </c>
      <c r="AB226" t="n">
        <v>106</v>
      </c>
      <c r="AC226" t="n">
        <v>108</v>
      </c>
      <c r="AD226" t="n">
        <v>2</v>
      </c>
      <c r="AE226" t="n">
        <v>2</v>
      </c>
      <c r="AF226" t="n">
        <v>4</v>
      </c>
      <c r="AG226" t="n">
        <v>4</v>
      </c>
      <c r="AH226" t="n">
        <v>0</v>
      </c>
      <c r="AI226" t="n">
        <v>0</v>
      </c>
      <c r="AJ226" t="n">
        <v>0</v>
      </c>
      <c r="AK226" t="n">
        <v>0</v>
      </c>
      <c r="AL226" t="n">
        <v>3</v>
      </c>
      <c r="AM226" t="n">
        <v>3</v>
      </c>
      <c r="AN226" t="n">
        <v>0</v>
      </c>
      <c r="AO226" t="n">
        <v>0</v>
      </c>
      <c r="AP226" t="n">
        <v>1</v>
      </c>
      <c r="AQ226" t="n">
        <v>1</v>
      </c>
      <c r="AR226" t="inlineStr">
        <is>
          <t>No</t>
        </is>
      </c>
      <c r="AS226" t="inlineStr">
        <is>
          <t>Yes</t>
        </is>
      </c>
      <c r="AT226">
        <f>HYPERLINK("http://catalog.hathitrust.org/Record/000302181","HathiTrust Record")</f>
        <v/>
      </c>
      <c r="AU226">
        <f>HYPERLINK("https://creighton-primo.hosted.exlibrisgroup.com/primo-explore/search?tab=default_tab&amp;search_scope=EVERYTHING&amp;vid=01CRU&amp;lang=en_US&amp;offset=0&amp;query=any,contains,991001388599702656","Catalog Record")</f>
        <v/>
      </c>
      <c r="AV226">
        <f>HYPERLINK("http://www.worldcat.org/oclc/5023534","WorldCat Record")</f>
        <v/>
      </c>
      <c r="AW226" t="inlineStr">
        <is>
          <t>15190037:eng</t>
        </is>
      </c>
      <c r="AX226" t="inlineStr">
        <is>
          <t>5023534</t>
        </is>
      </c>
      <c r="AY226" t="inlineStr">
        <is>
          <t>991001388599702656</t>
        </is>
      </c>
      <c r="AZ226" t="inlineStr">
        <is>
          <t>991001388599702656</t>
        </is>
      </c>
      <c r="BA226" t="inlineStr">
        <is>
          <t>2269007550002656</t>
        </is>
      </c>
      <c r="BB226" t="inlineStr">
        <is>
          <t>BOOK</t>
        </is>
      </c>
      <c r="BE226" t="inlineStr">
        <is>
          <t>30001000464364</t>
        </is>
      </c>
      <c r="BF226" t="inlineStr">
        <is>
          <t>893364047</t>
        </is>
      </c>
    </row>
    <row r="227">
      <c r="A227" t="inlineStr">
        <is>
          <t>No</t>
        </is>
      </c>
      <c r="B227" t="inlineStr">
        <is>
          <t>CUHSL</t>
        </is>
      </c>
      <c r="C227" t="inlineStr">
        <is>
          <t>SHELVES</t>
        </is>
      </c>
      <c r="D227" t="inlineStr">
        <is>
          <t>WY 18 C766 1974</t>
        </is>
      </c>
      <c r="E227" t="inlineStr">
        <is>
          <t>0                      WY 0018000C  766         1974</t>
        </is>
      </c>
      <c r="F227" t="inlineStr">
        <is>
          <t>Converting threats into challenges--adaptations in baccalaureate and graduate education in nursing : papers presented at the thirteenth conference of the Council of Baccalaureate and Higher Degree Programs, Atlanta, Georgia, November 1974.</t>
        </is>
      </c>
      <c r="H227" t="inlineStr">
        <is>
          <t>No</t>
        </is>
      </c>
      <c r="I227" t="inlineStr">
        <is>
          <t>1</t>
        </is>
      </c>
      <c r="J227" t="inlineStr">
        <is>
          <t>No</t>
        </is>
      </c>
      <c r="K227" t="inlineStr">
        <is>
          <t>No</t>
        </is>
      </c>
      <c r="L227" t="inlineStr">
        <is>
          <t>0</t>
        </is>
      </c>
      <c r="N227" t="inlineStr">
        <is>
          <t>New York : Dept. of Baccalaureate and Higher Degree Programs, National League for Nursing, c1975.</t>
        </is>
      </c>
      <c r="O227" t="inlineStr">
        <is>
          <t>1975</t>
        </is>
      </c>
      <c r="Q227" t="inlineStr">
        <is>
          <t>eng</t>
        </is>
      </c>
      <c r="R227" t="inlineStr">
        <is>
          <t>nyu</t>
        </is>
      </c>
      <c r="S227" t="inlineStr">
        <is>
          <t>NLN pub. no. 15-1571</t>
        </is>
      </c>
      <c r="T227" t="inlineStr">
        <is>
          <t xml:space="preserve">WY </t>
        </is>
      </c>
      <c r="U227" t="n">
        <v>1</v>
      </c>
      <c r="V227" t="n">
        <v>1</v>
      </c>
      <c r="W227" t="inlineStr">
        <is>
          <t>1990-04-24</t>
        </is>
      </c>
      <c r="X227" t="inlineStr">
        <is>
          <t>1990-04-24</t>
        </is>
      </c>
      <c r="Y227" t="inlineStr">
        <is>
          <t>1987-10-21</t>
        </is>
      </c>
      <c r="Z227" t="inlineStr">
        <is>
          <t>1987-10-21</t>
        </is>
      </c>
      <c r="AA227" t="n">
        <v>60</v>
      </c>
      <c r="AB227" t="n">
        <v>55</v>
      </c>
      <c r="AC227" t="n">
        <v>57</v>
      </c>
      <c r="AD227" t="n">
        <v>2</v>
      </c>
      <c r="AE227" t="n">
        <v>2</v>
      </c>
      <c r="AF227" t="n">
        <v>2</v>
      </c>
      <c r="AG227" t="n">
        <v>2</v>
      </c>
      <c r="AH227" t="n">
        <v>0</v>
      </c>
      <c r="AI227" t="n">
        <v>0</v>
      </c>
      <c r="AJ227" t="n">
        <v>0</v>
      </c>
      <c r="AK227" t="n">
        <v>0</v>
      </c>
      <c r="AL227" t="n">
        <v>1</v>
      </c>
      <c r="AM227" t="n">
        <v>1</v>
      </c>
      <c r="AN227" t="n">
        <v>1</v>
      </c>
      <c r="AO227" t="n">
        <v>1</v>
      </c>
      <c r="AP227" t="n">
        <v>0</v>
      </c>
      <c r="AQ227" t="n">
        <v>0</v>
      </c>
      <c r="AR227" t="inlineStr">
        <is>
          <t>No</t>
        </is>
      </c>
      <c r="AS227" t="inlineStr">
        <is>
          <t>Yes</t>
        </is>
      </c>
      <c r="AT227">
        <f>HYPERLINK("http://catalog.hathitrust.org/Record/000040932","HathiTrust Record")</f>
        <v/>
      </c>
      <c r="AU227">
        <f>HYPERLINK("https://creighton-primo.hosted.exlibrisgroup.com/primo-explore/search?tab=default_tab&amp;search_scope=EVERYTHING&amp;vid=01CRU&amp;lang=en_US&amp;offset=0&amp;query=any,contains,991001368899702656","Catalog Record")</f>
        <v/>
      </c>
      <c r="AV227">
        <f>HYPERLINK("http://www.worldcat.org/oclc/1659939","WorldCat Record")</f>
        <v/>
      </c>
      <c r="AW227" t="inlineStr">
        <is>
          <t>2468733:eng</t>
        </is>
      </c>
      <c r="AX227" t="inlineStr">
        <is>
          <t>1659939</t>
        </is>
      </c>
      <c r="AY227" t="inlineStr">
        <is>
          <t>991001368899702656</t>
        </is>
      </c>
      <c r="AZ227" t="inlineStr">
        <is>
          <t>991001368899702656</t>
        </is>
      </c>
      <c r="BA227" t="inlineStr">
        <is>
          <t>2256984240002656</t>
        </is>
      </c>
      <c r="BB227" t="inlineStr">
        <is>
          <t>BOOK</t>
        </is>
      </c>
      <c r="BE227" t="inlineStr">
        <is>
          <t>30001000461550</t>
        </is>
      </c>
      <c r="BF227" t="inlineStr">
        <is>
          <t>893741075</t>
        </is>
      </c>
    </row>
    <row r="228">
      <c r="A228" t="inlineStr">
        <is>
          <t>No</t>
        </is>
      </c>
      <c r="B228" t="inlineStr">
        <is>
          <t>CUHSL</t>
        </is>
      </c>
      <c r="C228" t="inlineStr">
        <is>
          <t>SHELVES</t>
        </is>
      </c>
      <c r="D228" t="inlineStr">
        <is>
          <t>WY 18 C7966 1985</t>
        </is>
      </c>
      <c r="E228" t="inlineStr">
        <is>
          <t>0                      WY 0018000C  7966        1985</t>
        </is>
      </c>
      <c r="F228" t="inlineStr">
        <is>
          <t>Core curriculum for critical care nursing.</t>
        </is>
      </c>
      <c r="H228" t="inlineStr">
        <is>
          <t>No</t>
        </is>
      </c>
      <c r="I228" t="inlineStr">
        <is>
          <t>1</t>
        </is>
      </c>
      <c r="J228" t="inlineStr">
        <is>
          <t>No</t>
        </is>
      </c>
      <c r="K228" t="inlineStr">
        <is>
          <t>No</t>
        </is>
      </c>
      <c r="L228" t="inlineStr">
        <is>
          <t>0</t>
        </is>
      </c>
      <c r="N228" t="inlineStr">
        <is>
          <t>Philadelphia : Saunders, c1985.</t>
        </is>
      </c>
      <c r="O228" t="inlineStr">
        <is>
          <t>1985</t>
        </is>
      </c>
      <c r="P228" t="inlineStr">
        <is>
          <t>3rd ed. / editors, JoAnn Grif Alspach, Susan Williams.</t>
        </is>
      </c>
      <c r="Q228" t="inlineStr">
        <is>
          <t>eng</t>
        </is>
      </c>
      <c r="R228" t="inlineStr">
        <is>
          <t>xxu</t>
        </is>
      </c>
      <c r="T228" t="inlineStr">
        <is>
          <t xml:space="preserve">WY </t>
        </is>
      </c>
      <c r="U228" t="n">
        <v>7</v>
      </c>
      <c r="V228" t="n">
        <v>7</v>
      </c>
      <c r="W228" t="inlineStr">
        <is>
          <t>1991-09-20</t>
        </is>
      </c>
      <c r="X228" t="inlineStr">
        <is>
          <t>1991-09-20</t>
        </is>
      </c>
      <c r="Y228" t="inlineStr">
        <is>
          <t>1987-12-28</t>
        </is>
      </c>
      <c r="Z228" t="inlineStr">
        <is>
          <t>1987-12-28</t>
        </is>
      </c>
      <c r="AA228" t="n">
        <v>204</v>
      </c>
      <c r="AB228" t="n">
        <v>171</v>
      </c>
      <c r="AC228" t="n">
        <v>173</v>
      </c>
      <c r="AD228" t="n">
        <v>2</v>
      </c>
      <c r="AE228" t="n">
        <v>2</v>
      </c>
      <c r="AF228" t="n">
        <v>1</v>
      </c>
      <c r="AG228" t="n">
        <v>1</v>
      </c>
      <c r="AH228" t="n">
        <v>0</v>
      </c>
      <c r="AI228" t="n">
        <v>0</v>
      </c>
      <c r="AJ228" t="n">
        <v>0</v>
      </c>
      <c r="AK228" t="n">
        <v>0</v>
      </c>
      <c r="AL228" t="n">
        <v>1</v>
      </c>
      <c r="AM228" t="n">
        <v>1</v>
      </c>
      <c r="AN228" t="n">
        <v>0</v>
      </c>
      <c r="AO228" t="n">
        <v>0</v>
      </c>
      <c r="AP228" t="n">
        <v>0</v>
      </c>
      <c r="AQ228" t="n">
        <v>0</v>
      </c>
      <c r="AR228" t="inlineStr">
        <is>
          <t>No</t>
        </is>
      </c>
      <c r="AS228" t="inlineStr">
        <is>
          <t>Yes</t>
        </is>
      </c>
      <c r="AT228">
        <f>HYPERLINK("http://catalog.hathitrust.org/Record/000460083","HathiTrust Record")</f>
        <v/>
      </c>
      <c r="AU228">
        <f>HYPERLINK("https://creighton-primo.hosted.exlibrisgroup.com/primo-explore/search?tab=default_tab&amp;search_scope=EVERYTHING&amp;vid=01CRU&amp;lang=en_US&amp;offset=0&amp;query=any,contains,991000923009702656","Catalog Record")</f>
        <v/>
      </c>
      <c r="AV228">
        <f>HYPERLINK("http://www.worldcat.org/oclc/11315663","WorldCat Record")</f>
        <v/>
      </c>
      <c r="AW228" t="inlineStr">
        <is>
          <t>9936582200:eng</t>
        </is>
      </c>
      <c r="AX228" t="inlineStr">
        <is>
          <t>11315663</t>
        </is>
      </c>
      <c r="AY228" t="inlineStr">
        <is>
          <t>991000923009702656</t>
        </is>
      </c>
      <c r="AZ228" t="inlineStr">
        <is>
          <t>991000923009702656</t>
        </is>
      </c>
      <c r="BA228" t="inlineStr">
        <is>
          <t>2262202850002656</t>
        </is>
      </c>
      <c r="BB228" t="inlineStr">
        <is>
          <t>BOOK</t>
        </is>
      </c>
      <c r="BD228" t="inlineStr">
        <is>
          <t>9780721611419</t>
        </is>
      </c>
      <c r="BE228" t="inlineStr">
        <is>
          <t>30001000850182</t>
        </is>
      </c>
      <c r="BF228" t="inlineStr">
        <is>
          <t>893632502</t>
        </is>
      </c>
    </row>
    <row r="229">
      <c r="A229" t="inlineStr">
        <is>
          <t>No</t>
        </is>
      </c>
      <c r="B229" t="inlineStr">
        <is>
          <t>CUHSL</t>
        </is>
      </c>
      <c r="C229" t="inlineStr">
        <is>
          <t>SHELVES</t>
        </is>
      </c>
      <c r="D229" t="inlineStr">
        <is>
          <t>WY 18 C7966 1986 Suppl.</t>
        </is>
      </c>
      <c r="E229" t="inlineStr">
        <is>
          <t>0                      WY 0018000C  7966        1986                                        Suppl.</t>
        </is>
      </c>
      <c r="F229" t="inlineStr">
        <is>
          <t>Study guide to Core curriculum for critical care nursing / Maureen A. Harvey.</t>
        </is>
      </c>
      <c r="G229" t="inlineStr">
        <is>
          <t>Suppl.*</t>
        </is>
      </c>
      <c r="H229" t="inlineStr">
        <is>
          <t>No</t>
        </is>
      </c>
      <c r="I229" t="inlineStr">
        <is>
          <t>1</t>
        </is>
      </c>
      <c r="J229" t="inlineStr">
        <is>
          <t>No</t>
        </is>
      </c>
      <c r="K229" t="inlineStr">
        <is>
          <t>No</t>
        </is>
      </c>
      <c r="L229" t="inlineStr">
        <is>
          <t>0</t>
        </is>
      </c>
      <c r="M229" t="inlineStr">
        <is>
          <t>Harvey, Maureen A.</t>
        </is>
      </c>
      <c r="N229" t="inlineStr">
        <is>
          <t>Philadelphia : Saunders, c1986.</t>
        </is>
      </c>
      <c r="O229" t="inlineStr">
        <is>
          <t>1986</t>
        </is>
      </c>
      <c r="Q229" t="inlineStr">
        <is>
          <t>eng</t>
        </is>
      </c>
      <c r="R229" t="inlineStr">
        <is>
          <t>xxu</t>
        </is>
      </c>
      <c r="T229" t="inlineStr">
        <is>
          <t xml:space="preserve">WY </t>
        </is>
      </c>
      <c r="U229" t="n">
        <v>1</v>
      </c>
      <c r="V229" t="n">
        <v>1</v>
      </c>
      <c r="W229" t="inlineStr">
        <is>
          <t>1992-01-24</t>
        </is>
      </c>
      <c r="X229" t="inlineStr">
        <is>
          <t>1992-01-24</t>
        </is>
      </c>
      <c r="Y229" t="inlineStr">
        <is>
          <t>1987-12-28</t>
        </is>
      </c>
      <c r="Z229" t="inlineStr">
        <is>
          <t>1987-12-28</t>
        </is>
      </c>
      <c r="AA229" t="n">
        <v>41</v>
      </c>
      <c r="AB229" t="n">
        <v>31</v>
      </c>
      <c r="AC229" t="n">
        <v>76</v>
      </c>
      <c r="AD229" t="n">
        <v>1</v>
      </c>
      <c r="AE229" t="n">
        <v>1</v>
      </c>
      <c r="AF229" t="n">
        <v>1</v>
      </c>
      <c r="AG229" t="n">
        <v>1</v>
      </c>
      <c r="AH229" t="n">
        <v>0</v>
      </c>
      <c r="AI229" t="n">
        <v>0</v>
      </c>
      <c r="AJ229" t="n">
        <v>0</v>
      </c>
      <c r="AK229" t="n">
        <v>0</v>
      </c>
      <c r="AL229" t="n">
        <v>1</v>
      </c>
      <c r="AM229" t="n">
        <v>1</v>
      </c>
      <c r="AN229" t="n">
        <v>0</v>
      </c>
      <c r="AO229" t="n">
        <v>0</v>
      </c>
      <c r="AP229" t="n">
        <v>0</v>
      </c>
      <c r="AQ229" t="n">
        <v>0</v>
      </c>
      <c r="AR229" t="inlineStr">
        <is>
          <t>No</t>
        </is>
      </c>
      <c r="AS229" t="inlineStr">
        <is>
          <t>No</t>
        </is>
      </c>
      <c r="AU229">
        <f>HYPERLINK("https://creighton-primo.hosted.exlibrisgroup.com/primo-explore/search?tab=default_tab&amp;search_scope=EVERYTHING&amp;vid=01CRU&amp;lang=en_US&amp;offset=0&amp;query=any,contains,991001040159702656","Catalog Record")</f>
        <v/>
      </c>
      <c r="AV229">
        <f>HYPERLINK("http://www.worldcat.org/oclc/13185822","WorldCat Record")</f>
        <v/>
      </c>
      <c r="AW229" t="inlineStr">
        <is>
          <t>5861510:eng</t>
        </is>
      </c>
      <c r="AX229" t="inlineStr">
        <is>
          <t>13185822</t>
        </is>
      </c>
      <c r="AY229" t="inlineStr">
        <is>
          <t>991001040159702656</t>
        </is>
      </c>
      <c r="AZ229" t="inlineStr">
        <is>
          <t>991001040159702656</t>
        </is>
      </c>
      <c r="BA229" t="inlineStr">
        <is>
          <t>2254721600002656</t>
        </is>
      </c>
      <c r="BB229" t="inlineStr">
        <is>
          <t>BOOK</t>
        </is>
      </c>
      <c r="BD229" t="inlineStr">
        <is>
          <t>9780721618562</t>
        </is>
      </c>
      <c r="BE229" t="inlineStr">
        <is>
          <t>30001000242034</t>
        </is>
      </c>
      <c r="BF229" t="inlineStr">
        <is>
          <t>893540973</t>
        </is>
      </c>
    </row>
    <row r="230">
      <c r="A230" t="inlineStr">
        <is>
          <t>No</t>
        </is>
      </c>
      <c r="B230" t="inlineStr">
        <is>
          <t>CUHSL</t>
        </is>
      </c>
      <c r="C230" t="inlineStr">
        <is>
          <t>SHELVES</t>
        </is>
      </c>
      <c r="D230" t="inlineStr">
        <is>
          <t>WY18 C79677 2001</t>
        </is>
      </c>
      <c r="E230" t="inlineStr">
        <is>
          <t>0                      WY 0018000C  79677       2001</t>
        </is>
      </c>
      <c r="F230" t="inlineStr">
        <is>
          <t>Core curriculum for occupational &amp; environmental health nursing / American Association of Occupational Health Nurses, Inc. ; edited by Mary K. Salazar.</t>
        </is>
      </c>
      <c r="H230" t="inlineStr">
        <is>
          <t>No</t>
        </is>
      </c>
      <c r="I230" t="inlineStr">
        <is>
          <t>1</t>
        </is>
      </c>
      <c r="J230" t="inlineStr">
        <is>
          <t>No</t>
        </is>
      </c>
      <c r="K230" t="inlineStr">
        <is>
          <t>No</t>
        </is>
      </c>
      <c r="L230" t="inlineStr">
        <is>
          <t>0</t>
        </is>
      </c>
      <c r="N230" t="inlineStr">
        <is>
          <t>Philadelphia : W.B. Saunders, c2001.</t>
        </is>
      </c>
      <c r="O230" t="inlineStr">
        <is>
          <t>2001</t>
        </is>
      </c>
      <c r="P230" t="inlineStr">
        <is>
          <t>2nd ed.</t>
        </is>
      </c>
      <c r="Q230" t="inlineStr">
        <is>
          <t>eng</t>
        </is>
      </c>
      <c r="R230" t="inlineStr">
        <is>
          <t>pau</t>
        </is>
      </c>
      <c r="T230" t="inlineStr">
        <is>
          <t xml:space="preserve">WY </t>
        </is>
      </c>
      <c r="U230" t="n">
        <v>2</v>
      </c>
      <c r="V230" t="n">
        <v>2</v>
      </c>
      <c r="W230" t="inlineStr">
        <is>
          <t>2002-05-10</t>
        </is>
      </c>
      <c r="X230" t="inlineStr">
        <is>
          <t>2002-05-10</t>
        </is>
      </c>
      <c r="Y230" t="inlineStr">
        <is>
          <t>2001-12-04</t>
        </is>
      </c>
      <c r="Z230" t="inlineStr">
        <is>
          <t>2001-12-04</t>
        </is>
      </c>
      <c r="AA230" t="n">
        <v>202</v>
      </c>
      <c r="AB230" t="n">
        <v>168</v>
      </c>
      <c r="AC230" t="n">
        <v>311</v>
      </c>
      <c r="AD230" t="n">
        <v>1</v>
      </c>
      <c r="AE230" t="n">
        <v>1</v>
      </c>
      <c r="AF230" t="n">
        <v>5</v>
      </c>
      <c r="AG230" t="n">
        <v>7</v>
      </c>
      <c r="AH230" t="n">
        <v>1</v>
      </c>
      <c r="AI230" t="n">
        <v>2</v>
      </c>
      <c r="AJ230" t="n">
        <v>1</v>
      </c>
      <c r="AK230" t="n">
        <v>1</v>
      </c>
      <c r="AL230" t="n">
        <v>5</v>
      </c>
      <c r="AM230" t="n">
        <v>6</v>
      </c>
      <c r="AN230" t="n">
        <v>0</v>
      </c>
      <c r="AO230" t="n">
        <v>0</v>
      </c>
      <c r="AP230" t="n">
        <v>0</v>
      </c>
      <c r="AQ230" t="n">
        <v>0</v>
      </c>
      <c r="AR230" t="inlineStr">
        <is>
          <t>No</t>
        </is>
      </c>
      <c r="AS230" t="inlineStr">
        <is>
          <t>Yes</t>
        </is>
      </c>
      <c r="AT230">
        <f>HYPERLINK("http://catalog.hathitrust.org/Record/004175551","HathiTrust Record")</f>
        <v/>
      </c>
      <c r="AU230">
        <f>HYPERLINK("https://creighton-primo.hosted.exlibrisgroup.com/primo-explore/search?tab=default_tab&amp;search_scope=EVERYTHING&amp;vid=01CRU&amp;lang=en_US&amp;offset=0&amp;query=any,contains,991000294439702656","Catalog Record")</f>
        <v/>
      </c>
      <c r="AV230">
        <f>HYPERLINK("http://www.worldcat.org/oclc/45750279","WorldCat Record")</f>
        <v/>
      </c>
      <c r="AW230" t="inlineStr">
        <is>
          <t>436415338:eng</t>
        </is>
      </c>
      <c r="AX230" t="inlineStr">
        <is>
          <t>45750279</t>
        </is>
      </c>
      <c r="AY230" t="inlineStr">
        <is>
          <t>991000294439702656</t>
        </is>
      </c>
      <c r="AZ230" t="inlineStr">
        <is>
          <t>991000294439702656</t>
        </is>
      </c>
      <c r="BA230" t="inlineStr">
        <is>
          <t>2260265380002656</t>
        </is>
      </c>
      <c r="BB230" t="inlineStr">
        <is>
          <t>BOOK</t>
        </is>
      </c>
      <c r="BD230" t="inlineStr">
        <is>
          <t>9780721692074</t>
        </is>
      </c>
      <c r="BE230" t="inlineStr">
        <is>
          <t>30001004560704</t>
        </is>
      </c>
      <c r="BF230" t="inlineStr">
        <is>
          <t>893536989</t>
        </is>
      </c>
    </row>
    <row r="231">
      <c r="A231" t="inlineStr">
        <is>
          <t>No</t>
        </is>
      </c>
      <c r="B231" t="inlineStr">
        <is>
          <t>CUHSL</t>
        </is>
      </c>
      <c r="C231" t="inlineStr">
        <is>
          <t>SHELVES</t>
        </is>
      </c>
      <c r="D231" t="inlineStr">
        <is>
          <t>WY 18 C7968 1987</t>
        </is>
      </c>
      <c r="E231" t="inlineStr">
        <is>
          <t>0                      WY 0018000C  7968        1987</t>
        </is>
      </c>
      <c r="F231" t="inlineStr">
        <is>
          <t>Core curriculum for oncology nursing / editor, Constance R. Ziegfeld ; section editors, Joanne T. Cossman, Susan C. McMillan, Roberta A. Strohl.</t>
        </is>
      </c>
      <c r="H231" t="inlineStr">
        <is>
          <t>No</t>
        </is>
      </c>
      <c r="I231" t="inlineStr">
        <is>
          <t>1</t>
        </is>
      </c>
      <c r="J231" t="inlineStr">
        <is>
          <t>No</t>
        </is>
      </c>
      <c r="K231" t="inlineStr">
        <is>
          <t>No</t>
        </is>
      </c>
      <c r="L231" t="inlineStr">
        <is>
          <t>0</t>
        </is>
      </c>
      <c r="N231" t="inlineStr">
        <is>
          <t>Philadelphia : Saunders, c1987.</t>
        </is>
      </c>
      <c r="O231" t="inlineStr">
        <is>
          <t>1987</t>
        </is>
      </c>
      <c r="Q231" t="inlineStr">
        <is>
          <t>eng</t>
        </is>
      </c>
      <c r="R231" t="inlineStr">
        <is>
          <t>xxu</t>
        </is>
      </c>
      <c r="T231" t="inlineStr">
        <is>
          <t xml:space="preserve">WY </t>
        </is>
      </c>
      <c r="U231" t="n">
        <v>4</v>
      </c>
      <c r="V231" t="n">
        <v>4</v>
      </c>
      <c r="W231" t="inlineStr">
        <is>
          <t>1991-09-03</t>
        </is>
      </c>
      <c r="X231" t="inlineStr">
        <is>
          <t>1991-09-03</t>
        </is>
      </c>
      <c r="Y231" t="inlineStr">
        <is>
          <t>1988-02-17</t>
        </is>
      </c>
      <c r="Z231" t="inlineStr">
        <is>
          <t>1988-02-17</t>
        </is>
      </c>
      <c r="AA231" t="n">
        <v>181</v>
      </c>
      <c r="AB231" t="n">
        <v>140</v>
      </c>
      <c r="AC231" t="n">
        <v>142</v>
      </c>
      <c r="AD231" t="n">
        <v>2</v>
      </c>
      <c r="AE231" t="n">
        <v>2</v>
      </c>
      <c r="AF231" t="n">
        <v>7</v>
      </c>
      <c r="AG231" t="n">
        <v>7</v>
      </c>
      <c r="AH231" t="n">
        <v>1</v>
      </c>
      <c r="AI231" t="n">
        <v>1</v>
      </c>
      <c r="AJ231" t="n">
        <v>2</v>
      </c>
      <c r="AK231" t="n">
        <v>2</v>
      </c>
      <c r="AL231" t="n">
        <v>5</v>
      </c>
      <c r="AM231" t="n">
        <v>5</v>
      </c>
      <c r="AN231" t="n">
        <v>0</v>
      </c>
      <c r="AO231" t="n">
        <v>0</v>
      </c>
      <c r="AP231" t="n">
        <v>0</v>
      </c>
      <c r="AQ231" t="n">
        <v>0</v>
      </c>
      <c r="AR231" t="inlineStr">
        <is>
          <t>No</t>
        </is>
      </c>
      <c r="AS231" t="inlineStr">
        <is>
          <t>Yes</t>
        </is>
      </c>
      <c r="AT231">
        <f>HYPERLINK("http://catalog.hathitrust.org/Record/000821521","HathiTrust Record")</f>
        <v/>
      </c>
      <c r="AU231">
        <f>HYPERLINK("https://creighton-primo.hosted.exlibrisgroup.com/primo-explore/search?tab=default_tab&amp;search_scope=EVERYTHING&amp;vid=01CRU&amp;lang=en_US&amp;offset=0&amp;query=any,contains,991001540169702656","Catalog Record")</f>
        <v/>
      </c>
      <c r="AV231">
        <f>HYPERLINK("http://www.worldcat.org/oclc/15366701","WorldCat Record")</f>
        <v/>
      </c>
      <c r="AW231" t="inlineStr">
        <is>
          <t>1881947622:eng</t>
        </is>
      </c>
      <c r="AX231" t="inlineStr">
        <is>
          <t>15366701</t>
        </is>
      </c>
      <c r="AY231" t="inlineStr">
        <is>
          <t>991001540169702656</t>
        </is>
      </c>
      <c r="AZ231" t="inlineStr">
        <is>
          <t>991001540169702656</t>
        </is>
      </c>
      <c r="BA231" t="inlineStr">
        <is>
          <t>2266308270002656</t>
        </is>
      </c>
      <c r="BB231" t="inlineStr">
        <is>
          <t>BOOK</t>
        </is>
      </c>
      <c r="BD231" t="inlineStr">
        <is>
          <t>9780721620602</t>
        </is>
      </c>
      <c r="BE231" t="inlineStr">
        <is>
          <t>30001000624835</t>
        </is>
      </c>
      <c r="BF231" t="inlineStr">
        <is>
          <t>893134700</t>
        </is>
      </c>
    </row>
    <row r="232">
      <c r="A232" t="inlineStr">
        <is>
          <t>No</t>
        </is>
      </c>
      <c r="B232" t="inlineStr">
        <is>
          <t>CUHSL</t>
        </is>
      </c>
      <c r="C232" t="inlineStr">
        <is>
          <t>SHELVES</t>
        </is>
      </c>
      <c r="D232" t="inlineStr">
        <is>
          <t>WY 18 C836 1975</t>
        </is>
      </c>
      <c r="E232" t="inlineStr">
        <is>
          <t>0                      WY 0018000C  836         1975</t>
        </is>
      </c>
      <c r="F232" t="inlineStr">
        <is>
          <t>The Cost of nursing education : a preliminary report on methodological problems : panel discussion presented at an open forum at the 1975 NLN convention, New Orleans.</t>
        </is>
      </c>
      <c r="H232" t="inlineStr">
        <is>
          <t>No</t>
        </is>
      </c>
      <c r="I232" t="inlineStr">
        <is>
          <t>1</t>
        </is>
      </c>
      <c r="J232" t="inlineStr">
        <is>
          <t>No</t>
        </is>
      </c>
      <c r="K232" t="inlineStr">
        <is>
          <t>No</t>
        </is>
      </c>
      <c r="L232" t="inlineStr">
        <is>
          <t>0</t>
        </is>
      </c>
      <c r="N232" t="inlineStr">
        <is>
          <t>New York : Division of Nursing, National League for Nursing, c1975.</t>
        </is>
      </c>
      <c r="O232" t="inlineStr">
        <is>
          <t>1975</t>
        </is>
      </c>
      <c r="Q232" t="inlineStr">
        <is>
          <t>eng</t>
        </is>
      </c>
      <c r="R232" t="inlineStr">
        <is>
          <t>nyu</t>
        </is>
      </c>
      <c r="S232" t="inlineStr">
        <is>
          <t>NLN pub. no. 14-1591</t>
        </is>
      </c>
      <c r="T232" t="inlineStr">
        <is>
          <t xml:space="preserve">WY </t>
        </is>
      </c>
      <c r="U232" t="n">
        <v>2</v>
      </c>
      <c r="V232" t="n">
        <v>2</v>
      </c>
      <c r="W232" t="inlineStr">
        <is>
          <t>1990-04-30</t>
        </is>
      </c>
      <c r="X232" t="inlineStr">
        <is>
          <t>1990-04-30</t>
        </is>
      </c>
      <c r="Y232" t="inlineStr">
        <is>
          <t>1987-10-14</t>
        </is>
      </c>
      <c r="Z232" t="inlineStr">
        <is>
          <t>1987-10-14</t>
        </is>
      </c>
      <c r="AA232" t="n">
        <v>87</v>
      </c>
      <c r="AB232" t="n">
        <v>75</v>
      </c>
      <c r="AC232" t="n">
        <v>77</v>
      </c>
      <c r="AD232" t="n">
        <v>2</v>
      </c>
      <c r="AE232" t="n">
        <v>2</v>
      </c>
      <c r="AF232" t="n">
        <v>3</v>
      </c>
      <c r="AG232" t="n">
        <v>3</v>
      </c>
      <c r="AH232" t="n">
        <v>0</v>
      </c>
      <c r="AI232" t="n">
        <v>0</v>
      </c>
      <c r="AJ232" t="n">
        <v>0</v>
      </c>
      <c r="AK232" t="n">
        <v>0</v>
      </c>
      <c r="AL232" t="n">
        <v>2</v>
      </c>
      <c r="AM232" t="n">
        <v>2</v>
      </c>
      <c r="AN232" t="n">
        <v>1</v>
      </c>
      <c r="AO232" t="n">
        <v>1</v>
      </c>
      <c r="AP232" t="n">
        <v>0</v>
      </c>
      <c r="AQ232" t="n">
        <v>0</v>
      </c>
      <c r="AR232" t="inlineStr">
        <is>
          <t>No</t>
        </is>
      </c>
      <c r="AS232" t="inlineStr">
        <is>
          <t>Yes</t>
        </is>
      </c>
      <c r="AT232">
        <f>HYPERLINK("http://catalog.hathitrust.org/Record/001574631","HathiTrust Record")</f>
        <v/>
      </c>
      <c r="AU232">
        <f>HYPERLINK("https://creighton-primo.hosted.exlibrisgroup.com/primo-explore/search?tab=default_tab&amp;search_scope=EVERYTHING&amp;vid=01CRU&amp;lang=en_US&amp;offset=0&amp;query=any,contains,991001363299702656","Catalog Record")</f>
        <v/>
      </c>
      <c r="AV232">
        <f>HYPERLINK("http://www.worldcat.org/oclc/3073448","WorldCat Record")</f>
        <v/>
      </c>
      <c r="AW232" t="inlineStr">
        <is>
          <t>7569469:eng</t>
        </is>
      </c>
      <c r="AX232" t="inlineStr">
        <is>
          <t>3073448</t>
        </is>
      </c>
      <c r="AY232" t="inlineStr">
        <is>
          <t>991001363299702656</t>
        </is>
      </c>
      <c r="AZ232" t="inlineStr">
        <is>
          <t>991001363299702656</t>
        </is>
      </c>
      <c r="BA232" t="inlineStr">
        <is>
          <t>2267747930002656</t>
        </is>
      </c>
      <c r="BB232" t="inlineStr">
        <is>
          <t>BOOK</t>
        </is>
      </c>
      <c r="BE232" t="inlineStr">
        <is>
          <t>30001000461030</t>
        </is>
      </c>
      <c r="BF232" t="inlineStr">
        <is>
          <t>893149122</t>
        </is>
      </c>
    </row>
    <row r="233">
      <c r="A233" t="inlineStr">
        <is>
          <t>No</t>
        </is>
      </c>
      <c r="B233" t="inlineStr">
        <is>
          <t>CUHSL</t>
        </is>
      </c>
      <c r="C233" t="inlineStr">
        <is>
          <t>SHELVES</t>
        </is>
      </c>
      <c r="D233" t="inlineStr">
        <is>
          <t>WY 18 C9345 1960</t>
        </is>
      </c>
      <c r="E233" t="inlineStr">
        <is>
          <t>0                      WY 0018000C  9345        1960</t>
        </is>
      </c>
      <c r="F233" t="inlineStr">
        <is>
          <t>Criteria for the evaluation of educational programs in nursing that lead to baccalaureate or masters degrees.</t>
        </is>
      </c>
      <c r="H233" t="inlineStr">
        <is>
          <t>No</t>
        </is>
      </c>
      <c r="I233" t="inlineStr">
        <is>
          <t>1</t>
        </is>
      </c>
      <c r="J233" t="inlineStr">
        <is>
          <t>No</t>
        </is>
      </c>
      <c r="K233" t="inlineStr">
        <is>
          <t>No</t>
        </is>
      </c>
      <c r="L233" t="inlineStr">
        <is>
          <t>0</t>
        </is>
      </c>
      <c r="N233" t="inlineStr">
        <is>
          <t>New York : National League for Nursing, Dept. of Baccalaureate and Higher Degree Programs, 1960.</t>
        </is>
      </c>
      <c r="O233" t="inlineStr">
        <is>
          <t>1960</t>
        </is>
      </c>
      <c r="Q233" t="inlineStr">
        <is>
          <t>eng</t>
        </is>
      </c>
      <c r="R233" t="inlineStr">
        <is>
          <t>nyu</t>
        </is>
      </c>
      <c r="S233" t="inlineStr">
        <is>
          <t>NLN pub. no. 15-711</t>
        </is>
      </c>
      <c r="T233" t="inlineStr">
        <is>
          <t xml:space="preserve">WY </t>
        </is>
      </c>
      <c r="U233" t="n">
        <v>1</v>
      </c>
      <c r="V233" t="n">
        <v>1</v>
      </c>
      <c r="W233" t="inlineStr">
        <is>
          <t>1990-04-24</t>
        </is>
      </c>
      <c r="X233" t="inlineStr">
        <is>
          <t>1990-04-24</t>
        </is>
      </c>
      <c r="Y233" t="inlineStr">
        <is>
          <t>1987-10-20</t>
        </is>
      </c>
      <c r="Z233" t="inlineStr">
        <is>
          <t>1987-10-20</t>
        </is>
      </c>
      <c r="AA233" t="n">
        <v>39</v>
      </c>
      <c r="AB233" t="n">
        <v>36</v>
      </c>
      <c r="AC233" t="n">
        <v>43</v>
      </c>
      <c r="AD233" t="n">
        <v>1</v>
      </c>
      <c r="AE233" t="n">
        <v>1</v>
      </c>
      <c r="AF233" t="n">
        <v>1</v>
      </c>
      <c r="AG233" t="n">
        <v>1</v>
      </c>
      <c r="AH233" t="n">
        <v>0</v>
      </c>
      <c r="AI233" t="n">
        <v>0</v>
      </c>
      <c r="AJ233" t="n">
        <v>0</v>
      </c>
      <c r="AK233" t="n">
        <v>0</v>
      </c>
      <c r="AL233" t="n">
        <v>1</v>
      </c>
      <c r="AM233" t="n">
        <v>1</v>
      </c>
      <c r="AN233" t="n">
        <v>0</v>
      </c>
      <c r="AO233" t="n">
        <v>0</v>
      </c>
      <c r="AP233" t="n">
        <v>0</v>
      </c>
      <c r="AQ233" t="n">
        <v>0</v>
      </c>
      <c r="AR233" t="inlineStr">
        <is>
          <t>Yes</t>
        </is>
      </c>
      <c r="AS233" t="inlineStr">
        <is>
          <t>No</t>
        </is>
      </c>
      <c r="AT233">
        <f>HYPERLINK("http://catalog.hathitrust.org/Record/002072340","HathiTrust Record")</f>
        <v/>
      </c>
      <c r="AU233">
        <f>HYPERLINK("https://creighton-primo.hosted.exlibrisgroup.com/primo-explore/search?tab=default_tab&amp;search_scope=EVERYTHING&amp;vid=01CRU&amp;lang=en_US&amp;offset=0&amp;query=any,contains,991001364029702656","Catalog Record")</f>
        <v/>
      </c>
      <c r="AV233">
        <f>HYPERLINK("http://www.worldcat.org/oclc/7136824","WorldCat Record")</f>
        <v/>
      </c>
      <c r="AW233" t="inlineStr">
        <is>
          <t>26422369:eng</t>
        </is>
      </c>
      <c r="AX233" t="inlineStr">
        <is>
          <t>7136824</t>
        </is>
      </c>
      <c r="AY233" t="inlineStr">
        <is>
          <t>991001364029702656</t>
        </is>
      </c>
      <c r="AZ233" t="inlineStr">
        <is>
          <t>991001364029702656</t>
        </is>
      </c>
      <c r="BA233" t="inlineStr">
        <is>
          <t>2260738410002656</t>
        </is>
      </c>
      <c r="BB233" t="inlineStr">
        <is>
          <t>BOOK</t>
        </is>
      </c>
      <c r="BE233" t="inlineStr">
        <is>
          <t>30001000461147</t>
        </is>
      </c>
      <c r="BF233" t="inlineStr">
        <is>
          <t>893369330</t>
        </is>
      </c>
    </row>
    <row r="234">
      <c r="A234" t="inlineStr">
        <is>
          <t>No</t>
        </is>
      </c>
      <c r="B234" t="inlineStr">
        <is>
          <t>CUHSL</t>
        </is>
      </c>
      <c r="C234" t="inlineStr">
        <is>
          <t>SHELVES</t>
        </is>
      </c>
      <c r="D234" t="inlineStr">
        <is>
          <t>WY 18 C9347 1988</t>
        </is>
      </c>
      <c r="E234" t="inlineStr">
        <is>
          <t>0                      WY 0018000C  9347        1988</t>
        </is>
      </c>
      <c r="F234" t="inlineStr">
        <is>
          <t>Critically ill adults : nursing care planning guides / edited by Randy Marion Caine, Patricia McKay Bufalino.</t>
        </is>
      </c>
      <c r="H234" t="inlineStr">
        <is>
          <t>No</t>
        </is>
      </c>
      <c r="I234" t="inlineStr">
        <is>
          <t>1</t>
        </is>
      </c>
      <c r="J234" t="inlineStr">
        <is>
          <t>No</t>
        </is>
      </c>
      <c r="K234" t="inlineStr">
        <is>
          <t>No</t>
        </is>
      </c>
      <c r="L234" t="inlineStr">
        <is>
          <t>0</t>
        </is>
      </c>
      <c r="N234" t="inlineStr">
        <is>
          <t>Baltimore : Williams &amp; Wilkins, c1988.</t>
        </is>
      </c>
      <c r="O234" t="inlineStr">
        <is>
          <t>1988</t>
        </is>
      </c>
      <c r="Q234" t="inlineStr">
        <is>
          <t>eng</t>
        </is>
      </c>
      <c r="R234" t="inlineStr">
        <is>
          <t>xxu</t>
        </is>
      </c>
      <c r="S234" t="inlineStr">
        <is>
          <t>Applying nursing diagnosis</t>
        </is>
      </c>
      <c r="T234" t="inlineStr">
        <is>
          <t xml:space="preserve">WY </t>
        </is>
      </c>
      <c r="U234" t="n">
        <v>9</v>
      </c>
      <c r="V234" t="n">
        <v>9</v>
      </c>
      <c r="W234" t="inlineStr">
        <is>
          <t>1991-12-14</t>
        </is>
      </c>
      <c r="X234" t="inlineStr">
        <is>
          <t>1991-12-14</t>
        </is>
      </c>
      <c r="Y234" t="inlineStr">
        <is>
          <t>1989-09-29</t>
        </is>
      </c>
      <c r="Z234" t="inlineStr">
        <is>
          <t>1989-09-29</t>
        </is>
      </c>
      <c r="AA234" t="n">
        <v>130</v>
      </c>
      <c r="AB234" t="n">
        <v>91</v>
      </c>
      <c r="AC234" t="n">
        <v>93</v>
      </c>
      <c r="AD234" t="n">
        <v>1</v>
      </c>
      <c r="AE234" t="n">
        <v>1</v>
      </c>
      <c r="AF234" t="n">
        <v>2</v>
      </c>
      <c r="AG234" t="n">
        <v>2</v>
      </c>
      <c r="AH234" t="n">
        <v>0</v>
      </c>
      <c r="AI234" t="n">
        <v>0</v>
      </c>
      <c r="AJ234" t="n">
        <v>0</v>
      </c>
      <c r="AK234" t="n">
        <v>0</v>
      </c>
      <c r="AL234" t="n">
        <v>2</v>
      </c>
      <c r="AM234" t="n">
        <v>2</v>
      </c>
      <c r="AN234" t="n">
        <v>0</v>
      </c>
      <c r="AO234" t="n">
        <v>0</v>
      </c>
      <c r="AP234" t="n">
        <v>0</v>
      </c>
      <c r="AQ234" t="n">
        <v>0</v>
      </c>
      <c r="AR234" t="inlineStr">
        <is>
          <t>No</t>
        </is>
      </c>
      <c r="AS234" t="inlineStr">
        <is>
          <t>Yes</t>
        </is>
      </c>
      <c r="AT234">
        <f>HYPERLINK("http://catalog.hathitrust.org/Record/001069756","HathiTrust Record")</f>
        <v/>
      </c>
      <c r="AU234">
        <f>HYPERLINK("https://creighton-primo.hosted.exlibrisgroup.com/primo-explore/search?tab=default_tab&amp;search_scope=EVERYTHING&amp;vid=01CRU&amp;lang=en_US&amp;offset=0&amp;query=any,contains,991001354489702656","Catalog Record")</f>
        <v/>
      </c>
      <c r="AV234">
        <f>HYPERLINK("http://www.worldcat.org/oclc/17508949","WorldCat Record")</f>
        <v/>
      </c>
      <c r="AW234" t="inlineStr">
        <is>
          <t>902184583:eng</t>
        </is>
      </c>
      <c r="AX234" t="inlineStr">
        <is>
          <t>17508949</t>
        </is>
      </c>
      <c r="AY234" t="inlineStr">
        <is>
          <t>991001354489702656</t>
        </is>
      </c>
      <c r="AZ234" t="inlineStr">
        <is>
          <t>991001354489702656</t>
        </is>
      </c>
      <c r="BA234" t="inlineStr">
        <is>
          <t>2271015140002656</t>
        </is>
      </c>
      <c r="BB234" t="inlineStr">
        <is>
          <t>BOOK</t>
        </is>
      </c>
      <c r="BD234" t="inlineStr">
        <is>
          <t>9780683013511</t>
        </is>
      </c>
      <c r="BE234" t="inlineStr">
        <is>
          <t>30001001795501</t>
        </is>
      </c>
      <c r="BF234" t="inlineStr">
        <is>
          <t>893832113</t>
        </is>
      </c>
    </row>
    <row r="235">
      <c r="A235" t="inlineStr">
        <is>
          <t>No</t>
        </is>
      </c>
      <c r="B235" t="inlineStr">
        <is>
          <t>CUHSL</t>
        </is>
      </c>
      <c r="C235" t="inlineStr">
        <is>
          <t>SHELVES</t>
        </is>
      </c>
      <c r="D235" t="inlineStr">
        <is>
          <t>WY 18 C934n 1977</t>
        </is>
      </c>
      <c r="E235" t="inlineStr">
        <is>
          <t>0                      WY 0018000C  934n        1977</t>
        </is>
      </c>
      <c r="F235" t="inlineStr">
        <is>
          <t>Criteria for the appraisal of baccalaureate and higher degree programs in nursing, NLN Dept. of Baccalaureate and Higher Degree Programs.</t>
        </is>
      </c>
      <c r="H235" t="inlineStr">
        <is>
          <t>No</t>
        </is>
      </c>
      <c r="I235" t="inlineStr">
        <is>
          <t>1</t>
        </is>
      </c>
      <c r="J235" t="inlineStr">
        <is>
          <t>No</t>
        </is>
      </c>
      <c r="K235" t="inlineStr">
        <is>
          <t>No</t>
        </is>
      </c>
      <c r="L235" t="inlineStr">
        <is>
          <t>0</t>
        </is>
      </c>
      <c r="N235" t="inlineStr">
        <is>
          <t>New York : National League for Nursing, c1977.</t>
        </is>
      </c>
      <c r="O235" t="inlineStr">
        <is>
          <t>1977</t>
        </is>
      </c>
      <c r="P235" t="inlineStr">
        <is>
          <t>4th ed.</t>
        </is>
      </c>
      <c r="Q235" t="inlineStr">
        <is>
          <t>eng</t>
        </is>
      </c>
      <c r="R235" t="inlineStr">
        <is>
          <t>xxu</t>
        </is>
      </c>
      <c r="S235" t="inlineStr">
        <is>
          <t>NLN pub. no. 15-1251</t>
        </is>
      </c>
      <c r="T235" t="inlineStr">
        <is>
          <t xml:space="preserve">WY </t>
        </is>
      </c>
      <c r="U235" t="n">
        <v>2</v>
      </c>
      <c r="V235" t="n">
        <v>2</v>
      </c>
      <c r="W235" t="inlineStr">
        <is>
          <t>1990-04-24</t>
        </is>
      </c>
      <c r="X235" t="inlineStr">
        <is>
          <t>1990-04-24</t>
        </is>
      </c>
      <c r="Y235" t="inlineStr">
        <is>
          <t>1987-10-20</t>
        </is>
      </c>
      <c r="Z235" t="inlineStr">
        <is>
          <t>1987-10-20</t>
        </is>
      </c>
      <c r="AA235" t="n">
        <v>74</v>
      </c>
      <c r="AB235" t="n">
        <v>66</v>
      </c>
      <c r="AC235" t="n">
        <v>96</v>
      </c>
      <c r="AD235" t="n">
        <v>2</v>
      </c>
      <c r="AE235" t="n">
        <v>2</v>
      </c>
      <c r="AF235" t="n">
        <v>4</v>
      </c>
      <c r="AG235" t="n">
        <v>5</v>
      </c>
      <c r="AH235" t="n">
        <v>0</v>
      </c>
      <c r="AI235" t="n">
        <v>0</v>
      </c>
      <c r="AJ235" t="n">
        <v>0</v>
      </c>
      <c r="AK235" t="n">
        <v>0</v>
      </c>
      <c r="AL235" t="n">
        <v>3</v>
      </c>
      <c r="AM235" t="n">
        <v>4</v>
      </c>
      <c r="AN235" t="n">
        <v>1</v>
      </c>
      <c r="AO235" t="n">
        <v>1</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HYPERLINK("https://creighton-primo.hosted.exlibrisgroup.com/primo-explore/search?tab=default_tab&amp;search_scope=EVERYTHING&amp;vid=01CRU&amp;lang=en_US&amp;offset=0&amp;query=any,contains,991001366769702656","Catalog Record")</f>
        <v/>
      </c>
      <c r="AV235">
        <f>HYPERLINK("http://www.worldcat.org/oclc/3015664","WorldCat Record")</f>
        <v/>
      </c>
      <c r="AW235" t="inlineStr">
        <is>
          <t>1251419:eng</t>
        </is>
      </c>
      <c r="AX235" t="inlineStr">
        <is>
          <t>3015664</t>
        </is>
      </c>
      <c r="AY235" t="inlineStr">
        <is>
          <t>991001366769702656</t>
        </is>
      </c>
      <c r="AZ235" t="inlineStr">
        <is>
          <t>991001366769702656</t>
        </is>
      </c>
      <c r="BA235" t="inlineStr">
        <is>
          <t>2266051300002656</t>
        </is>
      </c>
      <c r="BB235" t="inlineStr">
        <is>
          <t>BOOK</t>
        </is>
      </c>
      <c r="BE235" t="inlineStr">
        <is>
          <t>30001000461261</t>
        </is>
      </c>
      <c r="BF235" t="inlineStr">
        <is>
          <t>893643530</t>
        </is>
      </c>
    </row>
    <row r="236">
      <c r="A236" t="inlineStr">
        <is>
          <t>No</t>
        </is>
      </c>
      <c r="B236" t="inlineStr">
        <is>
          <t>CUHSL</t>
        </is>
      </c>
      <c r="C236" t="inlineStr">
        <is>
          <t>SHELVES</t>
        </is>
      </c>
      <c r="D236" t="inlineStr">
        <is>
          <t>WY 18 C934n 1983</t>
        </is>
      </c>
      <c r="E236" t="inlineStr">
        <is>
          <t>0                      WY 0018000C  934n        1983</t>
        </is>
      </c>
      <c r="F236" t="inlineStr">
        <is>
          <t>Criteria for the evaluation of baccalaureate and higher degree programs in nursing.</t>
        </is>
      </c>
      <c r="H236" t="inlineStr">
        <is>
          <t>No</t>
        </is>
      </c>
      <c r="I236" t="inlineStr">
        <is>
          <t>1</t>
        </is>
      </c>
      <c r="J236" t="inlineStr">
        <is>
          <t>No</t>
        </is>
      </c>
      <c r="K236" t="inlineStr">
        <is>
          <t>Yes</t>
        </is>
      </c>
      <c r="L236" t="inlineStr">
        <is>
          <t>0</t>
        </is>
      </c>
      <c r="N236" t="inlineStr">
        <is>
          <t>New York : Council of Baccalaureate and Higher Degree Programs, National League for Nursing, c1983.</t>
        </is>
      </c>
      <c r="O236" t="inlineStr">
        <is>
          <t>1983</t>
        </is>
      </c>
      <c r="P236" t="inlineStr">
        <is>
          <t>5th ed.</t>
        </is>
      </c>
      <c r="Q236" t="inlineStr">
        <is>
          <t>eng</t>
        </is>
      </c>
      <c r="R236" t="inlineStr">
        <is>
          <t>xxu</t>
        </is>
      </c>
      <c r="S236" t="inlineStr">
        <is>
          <t>NLN pub. no. 15-1251</t>
        </is>
      </c>
      <c r="T236" t="inlineStr">
        <is>
          <t xml:space="preserve">WY </t>
        </is>
      </c>
      <c r="U236" t="n">
        <v>2</v>
      </c>
      <c r="V236" t="n">
        <v>2</v>
      </c>
      <c r="W236" t="inlineStr">
        <is>
          <t>1990-04-24</t>
        </is>
      </c>
      <c r="X236" t="inlineStr">
        <is>
          <t>1990-04-24</t>
        </is>
      </c>
      <c r="Y236" t="inlineStr">
        <is>
          <t>1987-10-20</t>
        </is>
      </c>
      <c r="Z236" t="inlineStr">
        <is>
          <t>1987-10-20</t>
        </is>
      </c>
      <c r="AA236" t="n">
        <v>91</v>
      </c>
      <c r="AB236" t="n">
        <v>80</v>
      </c>
      <c r="AC236" t="n">
        <v>119</v>
      </c>
      <c r="AD236" t="n">
        <v>2</v>
      </c>
      <c r="AE236" t="n">
        <v>2</v>
      </c>
      <c r="AF236" t="n">
        <v>5</v>
      </c>
      <c r="AG236" t="n">
        <v>7</v>
      </c>
      <c r="AH236" t="n">
        <v>1</v>
      </c>
      <c r="AI236" t="n">
        <v>3</v>
      </c>
      <c r="AJ236" t="n">
        <v>2</v>
      </c>
      <c r="AK236" t="n">
        <v>2</v>
      </c>
      <c r="AL236" t="n">
        <v>3</v>
      </c>
      <c r="AM236" t="n">
        <v>4</v>
      </c>
      <c r="AN236" t="n">
        <v>0</v>
      </c>
      <c r="AO236" t="n">
        <v>0</v>
      </c>
      <c r="AP236" t="n">
        <v>0</v>
      </c>
      <c r="AQ236" t="n">
        <v>0</v>
      </c>
      <c r="AR236" t="inlineStr">
        <is>
          <t>No</t>
        </is>
      </c>
      <c r="AS236" t="inlineStr">
        <is>
          <t>No</t>
        </is>
      </c>
      <c r="AU236">
        <f>HYPERLINK("https://creighton-primo.hosted.exlibrisgroup.com/primo-explore/search?tab=default_tab&amp;search_scope=EVERYTHING&amp;vid=01CRU&amp;lang=en_US&amp;offset=0&amp;query=any,contains,991001366729702656","Catalog Record")</f>
        <v/>
      </c>
      <c r="AV236">
        <f>HYPERLINK("http://www.worldcat.org/oclc/15162849","WorldCat Record")</f>
        <v/>
      </c>
      <c r="AW236" t="inlineStr">
        <is>
          <t>3855406058:eng</t>
        </is>
      </c>
      <c r="AX236" t="inlineStr">
        <is>
          <t>15162849</t>
        </is>
      </c>
      <c r="AY236" t="inlineStr">
        <is>
          <t>991001366729702656</t>
        </is>
      </c>
      <c r="AZ236" t="inlineStr">
        <is>
          <t>991001366729702656</t>
        </is>
      </c>
      <c r="BA236" t="inlineStr">
        <is>
          <t>2263915340002656</t>
        </is>
      </c>
      <c r="BB236" t="inlineStr">
        <is>
          <t>BOOK</t>
        </is>
      </c>
      <c r="BD236" t="inlineStr">
        <is>
          <t>9780887370533</t>
        </is>
      </c>
      <c r="BE236" t="inlineStr">
        <is>
          <t>30001000461238</t>
        </is>
      </c>
      <c r="BF236" t="inlineStr">
        <is>
          <t>893552411</t>
        </is>
      </c>
    </row>
    <row r="237">
      <c r="A237" t="inlineStr">
        <is>
          <t>No</t>
        </is>
      </c>
      <c r="B237" t="inlineStr">
        <is>
          <t>CUHSL</t>
        </is>
      </c>
      <c r="C237" t="inlineStr">
        <is>
          <t>SHELVES</t>
        </is>
      </c>
      <c r="D237" t="inlineStr">
        <is>
          <t>WY 18 C934n 1989</t>
        </is>
      </c>
      <c r="E237" t="inlineStr">
        <is>
          <t>0                      WY 0018000C  934n        1989</t>
        </is>
      </c>
      <c r="F237" t="inlineStr">
        <is>
          <t>Criteria for the evaluation of baccalaureate and higher degree programs in nursing / Council of Baccalaureate and Higher Degree Programs, National League for Nursing.</t>
        </is>
      </c>
      <c r="H237" t="inlineStr">
        <is>
          <t>No</t>
        </is>
      </c>
      <c r="I237" t="inlineStr">
        <is>
          <t>1</t>
        </is>
      </c>
      <c r="J237" t="inlineStr">
        <is>
          <t>No</t>
        </is>
      </c>
      <c r="K237" t="inlineStr">
        <is>
          <t>Yes</t>
        </is>
      </c>
      <c r="L237" t="inlineStr">
        <is>
          <t>0</t>
        </is>
      </c>
      <c r="N237" t="inlineStr">
        <is>
          <t>New York, : National League for Nursing, c1989.</t>
        </is>
      </c>
      <c r="O237" t="inlineStr">
        <is>
          <t>1989</t>
        </is>
      </c>
      <c r="P237" t="inlineStr">
        <is>
          <t>6th ed.</t>
        </is>
      </c>
      <c r="Q237" t="inlineStr">
        <is>
          <t>eng</t>
        </is>
      </c>
      <c r="R237" t="inlineStr">
        <is>
          <t>nyu</t>
        </is>
      </c>
      <c r="S237" t="inlineStr">
        <is>
          <t>NLN pub. no. 15-1251</t>
        </is>
      </c>
      <c r="T237" t="inlineStr">
        <is>
          <t xml:space="preserve">WY </t>
        </is>
      </c>
      <c r="U237" t="n">
        <v>3</v>
      </c>
      <c r="V237" t="n">
        <v>3</v>
      </c>
      <c r="W237" t="inlineStr">
        <is>
          <t>1989-10-30</t>
        </is>
      </c>
      <c r="X237" t="inlineStr">
        <is>
          <t>1989-10-30</t>
        </is>
      </c>
      <c r="Y237" t="inlineStr">
        <is>
          <t>1989-04-14</t>
        </is>
      </c>
      <c r="Z237" t="inlineStr">
        <is>
          <t>1989-04-14</t>
        </is>
      </c>
      <c r="AA237" t="n">
        <v>94</v>
      </c>
      <c r="AB237" t="n">
        <v>78</v>
      </c>
      <c r="AC237" t="n">
        <v>119</v>
      </c>
      <c r="AD237" t="n">
        <v>1</v>
      </c>
      <c r="AE237" t="n">
        <v>2</v>
      </c>
      <c r="AF237" t="n">
        <v>4</v>
      </c>
      <c r="AG237" t="n">
        <v>7</v>
      </c>
      <c r="AH237" t="n">
        <v>3</v>
      </c>
      <c r="AI237" t="n">
        <v>3</v>
      </c>
      <c r="AJ237" t="n">
        <v>0</v>
      </c>
      <c r="AK237" t="n">
        <v>2</v>
      </c>
      <c r="AL237" t="n">
        <v>2</v>
      </c>
      <c r="AM237" t="n">
        <v>4</v>
      </c>
      <c r="AN237" t="n">
        <v>0</v>
      </c>
      <c r="AO237" t="n">
        <v>0</v>
      </c>
      <c r="AP237" t="n">
        <v>0</v>
      </c>
      <c r="AQ237" t="n">
        <v>0</v>
      </c>
      <c r="AR237" t="inlineStr">
        <is>
          <t>No</t>
        </is>
      </c>
      <c r="AS237" t="inlineStr">
        <is>
          <t>No</t>
        </is>
      </c>
      <c r="AU237">
        <f>HYPERLINK("https://creighton-primo.hosted.exlibrisgroup.com/primo-explore/search?tab=default_tab&amp;search_scope=EVERYTHING&amp;vid=01CRU&amp;lang=en_US&amp;offset=0&amp;query=any,contains,991001245259702656","Catalog Record")</f>
        <v/>
      </c>
      <c r="AV237">
        <f>HYPERLINK("http://www.worldcat.org/oclc/20895455","WorldCat Record")</f>
        <v/>
      </c>
      <c r="AW237" t="inlineStr">
        <is>
          <t>3855406058:eng</t>
        </is>
      </c>
      <c r="AX237" t="inlineStr">
        <is>
          <t>20895455</t>
        </is>
      </c>
      <c r="AY237" t="inlineStr">
        <is>
          <t>991001245259702656</t>
        </is>
      </c>
      <c r="AZ237" t="inlineStr">
        <is>
          <t>991001245259702656</t>
        </is>
      </c>
      <c r="BA237" t="inlineStr">
        <is>
          <t>2270864300002656</t>
        </is>
      </c>
      <c r="BB237" t="inlineStr">
        <is>
          <t>BOOK</t>
        </is>
      </c>
      <c r="BD237" t="inlineStr">
        <is>
          <t>9780887374654</t>
        </is>
      </c>
      <c r="BE237" t="inlineStr">
        <is>
          <t>30001001676966</t>
        </is>
      </c>
      <c r="BF237" t="inlineStr">
        <is>
          <t>893287314</t>
        </is>
      </c>
    </row>
    <row r="238">
      <c r="A238" t="inlineStr">
        <is>
          <t>No</t>
        </is>
      </c>
      <c r="B238" t="inlineStr">
        <is>
          <t>CUHSL</t>
        </is>
      </c>
      <c r="C238" t="inlineStr">
        <is>
          <t>SHELVES</t>
        </is>
      </c>
      <c r="D238" t="inlineStr">
        <is>
          <t>WY 18 C968 1976</t>
        </is>
      </c>
      <c r="E238" t="inlineStr">
        <is>
          <t>0                      WY 0018000C  968         1976</t>
        </is>
      </c>
      <c r="F238" t="inlineStr">
        <is>
          <t>Cultural dimensions in the baccalaureate nursing curriculum : Workshops on cultural dimensions in the baccalaureate nursing curriculum / NLN Council of Baccalaureate and Higher Degree Programs.</t>
        </is>
      </c>
      <c r="H238" t="inlineStr">
        <is>
          <t>No</t>
        </is>
      </c>
      <c r="I238" t="inlineStr">
        <is>
          <t>1</t>
        </is>
      </c>
      <c r="J238" t="inlineStr">
        <is>
          <t>No</t>
        </is>
      </c>
      <c r="K238" t="inlineStr">
        <is>
          <t>No</t>
        </is>
      </c>
      <c r="L238" t="inlineStr">
        <is>
          <t>0</t>
        </is>
      </c>
      <c r="N238" t="inlineStr">
        <is>
          <t>-- New York : National League for Nursing, c1977.</t>
        </is>
      </c>
      <c r="O238" t="inlineStr">
        <is>
          <t>1977</t>
        </is>
      </c>
      <c r="Q238" t="inlineStr">
        <is>
          <t>eng</t>
        </is>
      </c>
      <c r="R238" t="inlineStr">
        <is>
          <t>nyu</t>
        </is>
      </c>
      <c r="S238" t="inlineStr">
        <is>
          <t>National League for Nursing publication ; no. 15-1662</t>
        </is>
      </c>
      <c r="T238" t="inlineStr">
        <is>
          <t xml:space="preserve">WY </t>
        </is>
      </c>
      <c r="U238" t="n">
        <v>1</v>
      </c>
      <c r="V238" t="n">
        <v>1</v>
      </c>
      <c r="W238" t="inlineStr">
        <is>
          <t>1990-09-06</t>
        </is>
      </c>
      <c r="X238" t="inlineStr">
        <is>
          <t>1990-09-06</t>
        </is>
      </c>
      <c r="Y238" t="inlineStr">
        <is>
          <t>1987-10-26</t>
        </is>
      </c>
      <c r="Z238" t="inlineStr">
        <is>
          <t>1987-10-26</t>
        </is>
      </c>
      <c r="AA238" t="n">
        <v>126</v>
      </c>
      <c r="AB238" t="n">
        <v>111</v>
      </c>
      <c r="AC238" t="n">
        <v>113</v>
      </c>
      <c r="AD238" t="n">
        <v>4</v>
      </c>
      <c r="AE238" t="n">
        <v>4</v>
      </c>
      <c r="AF238" t="n">
        <v>6</v>
      </c>
      <c r="AG238" t="n">
        <v>6</v>
      </c>
      <c r="AH238" t="n">
        <v>0</v>
      </c>
      <c r="AI238" t="n">
        <v>0</v>
      </c>
      <c r="AJ238" t="n">
        <v>1</v>
      </c>
      <c r="AK238" t="n">
        <v>1</v>
      </c>
      <c r="AL238" t="n">
        <v>4</v>
      </c>
      <c r="AM238" t="n">
        <v>4</v>
      </c>
      <c r="AN238" t="n">
        <v>2</v>
      </c>
      <c r="AO238" t="n">
        <v>2</v>
      </c>
      <c r="AP238" t="n">
        <v>0</v>
      </c>
      <c r="AQ238" t="n">
        <v>0</v>
      </c>
      <c r="AR238" t="inlineStr">
        <is>
          <t>No</t>
        </is>
      </c>
      <c r="AS238" t="inlineStr">
        <is>
          <t>Yes</t>
        </is>
      </c>
      <c r="AT238">
        <f>HYPERLINK("http://catalog.hathitrust.org/Record/000701792","HathiTrust Record")</f>
        <v/>
      </c>
      <c r="AU238">
        <f>HYPERLINK("https://creighton-primo.hosted.exlibrisgroup.com/primo-explore/search?tab=default_tab&amp;search_scope=EVERYTHING&amp;vid=01CRU&amp;lang=en_US&amp;offset=0&amp;query=any,contains,991001370569702656","Catalog Record")</f>
        <v/>
      </c>
      <c r="AV238">
        <f>HYPERLINK("http://www.worldcat.org/oclc/38239539","WorldCat Record")</f>
        <v/>
      </c>
      <c r="AW238" t="inlineStr">
        <is>
          <t>42406506:eng</t>
        </is>
      </c>
      <c r="AX238" t="inlineStr">
        <is>
          <t>38239539</t>
        </is>
      </c>
      <c r="AY238" t="inlineStr">
        <is>
          <t>991001370569702656</t>
        </is>
      </c>
      <c r="AZ238" t="inlineStr">
        <is>
          <t>991001370569702656</t>
        </is>
      </c>
      <c r="BA238" t="inlineStr">
        <is>
          <t>2255812100002656</t>
        </is>
      </c>
      <c r="BB238" t="inlineStr">
        <is>
          <t>BOOK</t>
        </is>
      </c>
      <c r="BE238" t="inlineStr">
        <is>
          <t>30001000461717</t>
        </is>
      </c>
      <c r="BF238" t="inlineStr">
        <is>
          <t>893727514</t>
        </is>
      </c>
    </row>
    <row r="239">
      <c r="A239" t="inlineStr">
        <is>
          <t>No</t>
        </is>
      </c>
      <c r="B239" t="inlineStr">
        <is>
          <t>CUHSL</t>
        </is>
      </c>
      <c r="C239" t="inlineStr">
        <is>
          <t>SHELVES</t>
        </is>
      </c>
      <c r="D239" t="inlineStr">
        <is>
          <t>WY 18 C975 1974</t>
        </is>
      </c>
      <c r="E239" t="inlineStr">
        <is>
          <t>0                      WY 0018000C  975         1974</t>
        </is>
      </c>
      <c r="F239" t="inlineStr">
        <is>
          <t>Curriculum evaluation.</t>
        </is>
      </c>
      <c r="H239" t="inlineStr">
        <is>
          <t>No</t>
        </is>
      </c>
      <c r="I239" t="inlineStr">
        <is>
          <t>1</t>
        </is>
      </c>
      <c r="J239" t="inlineStr">
        <is>
          <t>No</t>
        </is>
      </c>
      <c r="K239" t="inlineStr">
        <is>
          <t>No</t>
        </is>
      </c>
      <c r="L239" t="inlineStr">
        <is>
          <t>0</t>
        </is>
      </c>
      <c r="N239" t="inlineStr">
        <is>
          <t>New York : Dept. of Baccalaureate and Higher Degree Programs, National League for Nursing, [1974]</t>
        </is>
      </c>
      <c r="O239" t="inlineStr">
        <is>
          <t>1974</t>
        </is>
      </c>
      <c r="Q239" t="inlineStr">
        <is>
          <t>eng</t>
        </is>
      </c>
      <c r="R239" t="inlineStr">
        <is>
          <t>nyu</t>
        </is>
      </c>
      <c r="S239" t="inlineStr">
        <is>
          <t>Faculty-curriculum development ; pt. 2</t>
        </is>
      </c>
      <c r="T239" t="inlineStr">
        <is>
          <t xml:space="preserve">WY </t>
        </is>
      </c>
      <c r="U239" t="n">
        <v>3</v>
      </c>
      <c r="V239" t="n">
        <v>3</v>
      </c>
      <c r="W239" t="inlineStr">
        <is>
          <t>1990-04-06</t>
        </is>
      </c>
      <c r="X239" t="inlineStr">
        <is>
          <t>1990-04-06</t>
        </is>
      </c>
      <c r="Y239" t="inlineStr">
        <is>
          <t>1987-10-21</t>
        </is>
      </c>
      <c r="Z239" t="inlineStr">
        <is>
          <t>1987-10-21</t>
        </is>
      </c>
      <c r="AA239" t="n">
        <v>55</v>
      </c>
      <c r="AB239" t="n">
        <v>48</v>
      </c>
      <c r="AC239" t="n">
        <v>48</v>
      </c>
      <c r="AD239" t="n">
        <v>1</v>
      </c>
      <c r="AE239" t="n">
        <v>1</v>
      </c>
      <c r="AF239" t="n">
        <v>3</v>
      </c>
      <c r="AG239" t="n">
        <v>3</v>
      </c>
      <c r="AH239" t="n">
        <v>0</v>
      </c>
      <c r="AI239" t="n">
        <v>0</v>
      </c>
      <c r="AJ239" t="n">
        <v>0</v>
      </c>
      <c r="AK239" t="n">
        <v>0</v>
      </c>
      <c r="AL239" t="n">
        <v>3</v>
      </c>
      <c r="AM239" t="n">
        <v>3</v>
      </c>
      <c r="AN239" t="n">
        <v>0</v>
      </c>
      <c r="AO239" t="n">
        <v>0</v>
      </c>
      <c r="AP239" t="n">
        <v>0</v>
      </c>
      <c r="AQ239" t="n">
        <v>0</v>
      </c>
      <c r="AR239" t="inlineStr">
        <is>
          <t>No</t>
        </is>
      </c>
      <c r="AS239" t="inlineStr">
        <is>
          <t>No</t>
        </is>
      </c>
      <c r="AU239">
        <f>HYPERLINK("https://creighton-primo.hosted.exlibrisgroup.com/primo-explore/search?tab=default_tab&amp;search_scope=EVERYTHING&amp;vid=01CRU&amp;lang=en_US&amp;offset=0&amp;query=any,contains,991001368649702656","Catalog Record")</f>
        <v/>
      </c>
      <c r="AV239">
        <f>HYPERLINK("http://www.worldcat.org/oclc/1734167","WorldCat Record")</f>
        <v/>
      </c>
      <c r="AW239" t="inlineStr">
        <is>
          <t>2713427:eng</t>
        </is>
      </c>
      <c r="AX239" t="inlineStr">
        <is>
          <t>1734167</t>
        </is>
      </c>
      <c r="AY239" t="inlineStr">
        <is>
          <t>991001368649702656</t>
        </is>
      </c>
      <c r="AZ239" t="inlineStr">
        <is>
          <t>991001368649702656</t>
        </is>
      </c>
      <c r="BA239" t="inlineStr">
        <is>
          <t>2255529140002656</t>
        </is>
      </c>
      <c r="BB239" t="inlineStr">
        <is>
          <t>BOOK</t>
        </is>
      </c>
      <c r="BE239" t="inlineStr">
        <is>
          <t>30001000461519</t>
        </is>
      </c>
      <c r="BF239" t="inlineStr">
        <is>
          <t>893651997</t>
        </is>
      </c>
    </row>
    <row r="240">
      <c r="A240" t="inlineStr">
        <is>
          <t>No</t>
        </is>
      </c>
      <c r="B240" t="inlineStr">
        <is>
          <t>CUHSL</t>
        </is>
      </c>
      <c r="C240" t="inlineStr">
        <is>
          <t>SHELVES</t>
        </is>
      </c>
      <c r="D240" t="inlineStr">
        <is>
          <t>WY 18 C975r 1975</t>
        </is>
      </c>
      <c r="E240" t="inlineStr">
        <is>
          <t>0                      WY 0018000C  975r        1975</t>
        </is>
      </c>
      <c r="F240" t="inlineStr">
        <is>
          <t>Curriculum revision in baccalaureate nursing education.</t>
        </is>
      </c>
      <c r="H240" t="inlineStr">
        <is>
          <t>No</t>
        </is>
      </c>
      <c r="I240" t="inlineStr">
        <is>
          <t>1</t>
        </is>
      </c>
      <c r="J240" t="inlineStr">
        <is>
          <t>No</t>
        </is>
      </c>
      <c r="K240" t="inlineStr">
        <is>
          <t>No</t>
        </is>
      </c>
      <c r="L240" t="inlineStr">
        <is>
          <t>0</t>
        </is>
      </c>
      <c r="N240" t="inlineStr">
        <is>
          <t>New York : Dept. of Baccalaureate and Higher Degree Programs, National League for Nursing, c1975.</t>
        </is>
      </c>
      <c r="O240" t="inlineStr">
        <is>
          <t>1975</t>
        </is>
      </c>
      <c r="Q240" t="inlineStr">
        <is>
          <t>eng</t>
        </is>
      </c>
      <c r="R240" t="inlineStr">
        <is>
          <t>nyu</t>
        </is>
      </c>
      <c r="S240" t="inlineStr">
        <is>
          <t>Faculty-curriculum development ; pt. 6</t>
        </is>
      </c>
      <c r="T240" t="inlineStr">
        <is>
          <t xml:space="preserve">WY </t>
        </is>
      </c>
      <c r="U240" t="n">
        <v>4</v>
      </c>
      <c r="V240" t="n">
        <v>4</v>
      </c>
      <c r="W240" t="inlineStr">
        <is>
          <t>1992-08-25</t>
        </is>
      </c>
      <c r="X240" t="inlineStr">
        <is>
          <t>1992-08-25</t>
        </is>
      </c>
      <c r="Y240" t="inlineStr">
        <is>
          <t>1987-10-21</t>
        </is>
      </c>
      <c r="Z240" t="inlineStr">
        <is>
          <t>1987-10-21</t>
        </is>
      </c>
      <c r="AA240" t="n">
        <v>56</v>
      </c>
      <c r="AB240" t="n">
        <v>50</v>
      </c>
      <c r="AC240" t="n">
        <v>50</v>
      </c>
      <c r="AD240" t="n">
        <v>2</v>
      </c>
      <c r="AE240" t="n">
        <v>2</v>
      </c>
      <c r="AF240" t="n">
        <v>3</v>
      </c>
      <c r="AG240" t="n">
        <v>3</v>
      </c>
      <c r="AH240" t="n">
        <v>0</v>
      </c>
      <c r="AI240" t="n">
        <v>0</v>
      </c>
      <c r="AJ240" t="n">
        <v>0</v>
      </c>
      <c r="AK240" t="n">
        <v>0</v>
      </c>
      <c r="AL240" t="n">
        <v>2</v>
      </c>
      <c r="AM240" t="n">
        <v>2</v>
      </c>
      <c r="AN240" t="n">
        <v>1</v>
      </c>
      <c r="AO240" t="n">
        <v>1</v>
      </c>
      <c r="AP240" t="n">
        <v>0</v>
      </c>
      <c r="AQ240" t="n">
        <v>0</v>
      </c>
      <c r="AR240" t="inlineStr">
        <is>
          <t>No</t>
        </is>
      </c>
      <c r="AS240" t="inlineStr">
        <is>
          <t>No</t>
        </is>
      </c>
      <c r="AU240">
        <f>HYPERLINK("https://creighton-primo.hosted.exlibrisgroup.com/primo-explore/search?tab=default_tab&amp;search_scope=EVERYTHING&amp;vid=01CRU&amp;lang=en_US&amp;offset=0&amp;query=any,contains,991001369039702656","Catalog Record")</f>
        <v/>
      </c>
      <c r="AV240">
        <f>HYPERLINK("http://www.worldcat.org/oclc/2006235","WorldCat Record")</f>
        <v/>
      </c>
      <c r="AW240" t="inlineStr">
        <is>
          <t>2618017:eng</t>
        </is>
      </c>
      <c r="AX240" t="inlineStr">
        <is>
          <t>2006235</t>
        </is>
      </c>
      <c r="AY240" t="inlineStr">
        <is>
          <t>991001369039702656</t>
        </is>
      </c>
      <c r="AZ240" t="inlineStr">
        <is>
          <t>991001369039702656</t>
        </is>
      </c>
      <c r="BA240" t="inlineStr">
        <is>
          <t>2262462790002656</t>
        </is>
      </c>
      <c r="BB240" t="inlineStr">
        <is>
          <t>BOOK</t>
        </is>
      </c>
      <c r="BD240" t="inlineStr">
        <is>
          <t>9780887372025</t>
        </is>
      </c>
      <c r="BE240" t="inlineStr">
        <is>
          <t>30001000461584</t>
        </is>
      </c>
      <c r="BF240" t="inlineStr">
        <is>
          <t>893638269</t>
        </is>
      </c>
    </row>
    <row r="241">
      <c r="A241" t="inlineStr">
        <is>
          <t>No</t>
        </is>
      </c>
      <c r="B241" t="inlineStr">
        <is>
          <t>CUHSL</t>
        </is>
      </c>
      <c r="C241" t="inlineStr">
        <is>
          <t>SHELVES</t>
        </is>
      </c>
      <c r="D241" t="inlineStr">
        <is>
          <t>WY 18 C976 1986</t>
        </is>
      </c>
      <c r="E241" t="inlineStr">
        <is>
          <t>0                      WY 0018000C  976         1986</t>
        </is>
      </c>
      <c r="F241" t="inlineStr">
        <is>
          <t>Curriculum revisited, an update of curriculum design / Elisabeth A. Pennington, editor.</t>
        </is>
      </c>
      <c r="H241" t="inlineStr">
        <is>
          <t>No</t>
        </is>
      </c>
      <c r="I241" t="inlineStr">
        <is>
          <t>1</t>
        </is>
      </c>
      <c r="J241" t="inlineStr">
        <is>
          <t>No</t>
        </is>
      </c>
      <c r="K241" t="inlineStr">
        <is>
          <t>No</t>
        </is>
      </c>
      <c r="L241" t="inlineStr">
        <is>
          <t>0</t>
        </is>
      </c>
      <c r="N241" t="inlineStr">
        <is>
          <t>New York : National League for Nursing, c1986.</t>
        </is>
      </c>
      <c r="O241" t="inlineStr">
        <is>
          <t>1986</t>
        </is>
      </c>
      <c r="Q241" t="inlineStr">
        <is>
          <t>eng</t>
        </is>
      </c>
      <c r="R241" t="inlineStr">
        <is>
          <t>nyu</t>
        </is>
      </c>
      <c r="S241" t="inlineStr">
        <is>
          <t>NLN pub. no. 15-2165</t>
        </is>
      </c>
      <c r="T241" t="inlineStr">
        <is>
          <t xml:space="preserve">WY </t>
        </is>
      </c>
      <c r="U241" t="n">
        <v>2</v>
      </c>
      <c r="V241" t="n">
        <v>2</v>
      </c>
      <c r="W241" t="inlineStr">
        <is>
          <t>1993-01-28</t>
        </is>
      </c>
      <c r="X241" t="inlineStr">
        <is>
          <t>1993-01-28</t>
        </is>
      </c>
      <c r="Y241" t="inlineStr">
        <is>
          <t>1987-10-29</t>
        </is>
      </c>
      <c r="Z241" t="inlineStr">
        <is>
          <t>1987-10-29</t>
        </is>
      </c>
      <c r="AA241" t="n">
        <v>159</v>
      </c>
      <c r="AB241" t="n">
        <v>141</v>
      </c>
      <c r="AC241" t="n">
        <v>143</v>
      </c>
      <c r="AD241" t="n">
        <v>2</v>
      </c>
      <c r="AE241" t="n">
        <v>2</v>
      </c>
      <c r="AF241" t="n">
        <v>9</v>
      </c>
      <c r="AG241" t="n">
        <v>9</v>
      </c>
      <c r="AH241" t="n">
        <v>3</v>
      </c>
      <c r="AI241" t="n">
        <v>3</v>
      </c>
      <c r="AJ241" t="n">
        <v>2</v>
      </c>
      <c r="AK241" t="n">
        <v>2</v>
      </c>
      <c r="AL241" t="n">
        <v>5</v>
      </c>
      <c r="AM241" t="n">
        <v>5</v>
      </c>
      <c r="AN241" t="n">
        <v>0</v>
      </c>
      <c r="AO241" t="n">
        <v>0</v>
      </c>
      <c r="AP241" t="n">
        <v>0</v>
      </c>
      <c r="AQ241" t="n">
        <v>0</v>
      </c>
      <c r="AR241" t="inlineStr">
        <is>
          <t>No</t>
        </is>
      </c>
      <c r="AS241" t="inlineStr">
        <is>
          <t>Yes</t>
        </is>
      </c>
      <c r="AT241">
        <f>HYPERLINK("http://catalog.hathitrust.org/Record/002506688","HathiTrust Record")</f>
        <v/>
      </c>
      <c r="AU241">
        <f>HYPERLINK("https://creighton-primo.hosted.exlibrisgroup.com/primo-explore/search?tab=default_tab&amp;search_scope=EVERYTHING&amp;vid=01CRU&amp;lang=en_US&amp;offset=0&amp;query=any,contains,991001374879702656","Catalog Record")</f>
        <v/>
      </c>
      <c r="AV241">
        <f>HYPERLINK("http://www.worldcat.org/oclc/15366592","WorldCat Record")</f>
        <v/>
      </c>
      <c r="AW241" t="inlineStr">
        <is>
          <t>10099045:eng</t>
        </is>
      </c>
      <c r="AX241" t="inlineStr">
        <is>
          <t>15366592</t>
        </is>
      </c>
      <c r="AY241" t="inlineStr">
        <is>
          <t>991001374879702656</t>
        </is>
      </c>
      <c r="AZ241" t="inlineStr">
        <is>
          <t>991001374879702656</t>
        </is>
      </c>
      <c r="BA241" t="inlineStr">
        <is>
          <t>2260759340002656</t>
        </is>
      </c>
      <c r="BB241" t="inlineStr">
        <is>
          <t>BOOK</t>
        </is>
      </c>
      <c r="BD241" t="inlineStr">
        <is>
          <t>9780887373381</t>
        </is>
      </c>
      <c r="BE241" t="inlineStr">
        <is>
          <t>30001000462079</t>
        </is>
      </c>
      <c r="BF241" t="inlineStr">
        <is>
          <t>893816340</t>
        </is>
      </c>
    </row>
    <row r="242">
      <c r="A242" t="inlineStr">
        <is>
          <t>No</t>
        </is>
      </c>
      <c r="B242" t="inlineStr">
        <is>
          <t>CUHSL</t>
        </is>
      </c>
      <c r="C242" t="inlineStr">
        <is>
          <t>SHELVES</t>
        </is>
      </c>
      <c r="D242" t="inlineStr">
        <is>
          <t>WY 18 C9764 1978</t>
        </is>
      </c>
      <c r="E242" t="inlineStr">
        <is>
          <t>0                      WY 0018000C  9764        1978</t>
        </is>
      </c>
      <c r="F242" t="inlineStr">
        <is>
          <t>Curriculum development and its implementation through a conceptual framework.</t>
        </is>
      </c>
      <c r="H242" t="inlineStr">
        <is>
          <t>No</t>
        </is>
      </c>
      <c r="I242" t="inlineStr">
        <is>
          <t>1</t>
        </is>
      </c>
      <c r="J242" t="inlineStr">
        <is>
          <t>No</t>
        </is>
      </c>
      <c r="K242" t="inlineStr">
        <is>
          <t>No</t>
        </is>
      </c>
      <c r="L242" t="inlineStr">
        <is>
          <t>0</t>
        </is>
      </c>
      <c r="N242" t="inlineStr">
        <is>
          <t>New York : National League for Nursing, c1978.</t>
        </is>
      </c>
      <c r="O242" t="inlineStr">
        <is>
          <t>1978</t>
        </is>
      </c>
      <c r="Q242" t="inlineStr">
        <is>
          <t>eng</t>
        </is>
      </c>
      <c r="R242" t="inlineStr">
        <is>
          <t>nyu</t>
        </is>
      </c>
      <c r="S242" t="inlineStr">
        <is>
          <t>NLN pub. no. 23-1723</t>
        </is>
      </c>
      <c r="T242" t="inlineStr">
        <is>
          <t xml:space="preserve">WY </t>
        </is>
      </c>
      <c r="U242" t="n">
        <v>2</v>
      </c>
      <c r="V242" t="n">
        <v>2</v>
      </c>
      <c r="W242" t="inlineStr">
        <is>
          <t>1994-07-26</t>
        </is>
      </c>
      <c r="X242" t="inlineStr">
        <is>
          <t>1994-07-26</t>
        </is>
      </c>
      <c r="Y242" t="inlineStr">
        <is>
          <t>1987-11-09</t>
        </is>
      </c>
      <c r="Z242" t="inlineStr">
        <is>
          <t>1987-11-09</t>
        </is>
      </c>
      <c r="AA242" t="n">
        <v>102</v>
      </c>
      <c r="AB242" t="n">
        <v>87</v>
      </c>
      <c r="AC242" t="n">
        <v>89</v>
      </c>
      <c r="AD242" t="n">
        <v>1</v>
      </c>
      <c r="AE242" t="n">
        <v>1</v>
      </c>
      <c r="AF242" t="n">
        <v>2</v>
      </c>
      <c r="AG242" t="n">
        <v>2</v>
      </c>
      <c r="AH242" t="n">
        <v>0</v>
      </c>
      <c r="AI242" t="n">
        <v>0</v>
      </c>
      <c r="AJ242" t="n">
        <v>0</v>
      </c>
      <c r="AK242" t="n">
        <v>0</v>
      </c>
      <c r="AL242" t="n">
        <v>2</v>
      </c>
      <c r="AM242" t="n">
        <v>2</v>
      </c>
      <c r="AN242" t="n">
        <v>0</v>
      </c>
      <c r="AO242" t="n">
        <v>0</v>
      </c>
      <c r="AP242" t="n">
        <v>0</v>
      </c>
      <c r="AQ242" t="n">
        <v>0</v>
      </c>
      <c r="AR242" t="inlineStr">
        <is>
          <t>No</t>
        </is>
      </c>
      <c r="AS242" t="inlineStr">
        <is>
          <t>Yes</t>
        </is>
      </c>
      <c r="AT242">
        <f>HYPERLINK("http://catalog.hathitrust.org/Record/000178654","HathiTrust Record")</f>
        <v/>
      </c>
      <c r="AU242">
        <f>HYPERLINK("https://creighton-primo.hosted.exlibrisgroup.com/primo-explore/search?tab=default_tab&amp;search_scope=EVERYTHING&amp;vid=01CRU&amp;lang=en_US&amp;offset=0&amp;query=any,contains,991001388369702656","Catalog Record")</f>
        <v/>
      </c>
      <c r="AV242">
        <f>HYPERLINK("http://www.worldcat.org/oclc/4642188","WorldCat Record")</f>
        <v/>
      </c>
      <c r="AW242" t="inlineStr">
        <is>
          <t>13914001:eng</t>
        </is>
      </c>
      <c r="AX242" t="inlineStr">
        <is>
          <t>4642188</t>
        </is>
      </c>
      <c r="AY242" t="inlineStr">
        <is>
          <t>991001388369702656</t>
        </is>
      </c>
      <c r="AZ242" t="inlineStr">
        <is>
          <t>991001388369702656</t>
        </is>
      </c>
      <c r="BA242" t="inlineStr">
        <is>
          <t>2258021200002656</t>
        </is>
      </c>
      <c r="BB242" t="inlineStr">
        <is>
          <t>BOOK</t>
        </is>
      </c>
      <c r="BE242" t="inlineStr">
        <is>
          <t>30001000464307</t>
        </is>
      </c>
      <c r="BF242" t="inlineStr">
        <is>
          <t>893552426</t>
        </is>
      </c>
    </row>
    <row r="243">
      <c r="A243" t="inlineStr">
        <is>
          <t>No</t>
        </is>
      </c>
      <c r="B243" t="inlineStr">
        <is>
          <t>CUHSL</t>
        </is>
      </c>
      <c r="C243" t="inlineStr">
        <is>
          <t>SHELVES</t>
        </is>
      </c>
      <c r="D243" t="inlineStr">
        <is>
          <t>WY 18 C9765 1974</t>
        </is>
      </c>
      <c r="E243" t="inlineStr">
        <is>
          <t>0                      WY 0018000C  9765        1974</t>
        </is>
      </c>
      <c r="F243" t="inlineStr">
        <is>
          <t>Curriculum relevance in a changing health care system : papers presented at four 1974 workshops of the Department of Diploma Programs, held at Chicago, Denver, New York, and Washington, D. C.</t>
        </is>
      </c>
      <c r="H243" t="inlineStr">
        <is>
          <t>No</t>
        </is>
      </c>
      <c r="I243" t="inlineStr">
        <is>
          <t>1</t>
        </is>
      </c>
      <c r="J243" t="inlineStr">
        <is>
          <t>No</t>
        </is>
      </c>
      <c r="K243" t="inlineStr">
        <is>
          <t>No</t>
        </is>
      </c>
      <c r="L243" t="inlineStr">
        <is>
          <t>0</t>
        </is>
      </c>
      <c r="N243" t="inlineStr">
        <is>
          <t>New York : National League for Nursing, Dept. of Diploma Programs, c1975.</t>
        </is>
      </c>
      <c r="O243" t="inlineStr">
        <is>
          <t>1974</t>
        </is>
      </c>
      <c r="Q243" t="inlineStr">
        <is>
          <t>eng</t>
        </is>
      </c>
      <c r="R243" t="inlineStr">
        <is>
          <t>xxu</t>
        </is>
      </c>
      <c r="S243" t="inlineStr">
        <is>
          <t>NLN pub. no. 16-1564</t>
        </is>
      </c>
      <c r="T243" t="inlineStr">
        <is>
          <t xml:space="preserve">WY </t>
        </is>
      </c>
      <c r="U243" t="n">
        <v>2</v>
      </c>
      <c r="V243" t="n">
        <v>2</v>
      </c>
      <c r="W243" t="inlineStr">
        <is>
          <t>1990-06-12</t>
        </is>
      </c>
      <c r="X243" t="inlineStr">
        <is>
          <t>1990-06-12</t>
        </is>
      </c>
      <c r="Y243" t="inlineStr">
        <is>
          <t>1987-10-29</t>
        </is>
      </c>
      <c r="Z243" t="inlineStr">
        <is>
          <t>1987-10-29</t>
        </is>
      </c>
      <c r="AA243" t="n">
        <v>99</v>
      </c>
      <c r="AB243" t="n">
        <v>87</v>
      </c>
      <c r="AC243" t="n">
        <v>89</v>
      </c>
      <c r="AD243" t="n">
        <v>3</v>
      </c>
      <c r="AE243" t="n">
        <v>3</v>
      </c>
      <c r="AF243" t="n">
        <v>2</v>
      </c>
      <c r="AG243" t="n">
        <v>2</v>
      </c>
      <c r="AH243" t="n">
        <v>0</v>
      </c>
      <c r="AI243" t="n">
        <v>0</v>
      </c>
      <c r="AJ243" t="n">
        <v>0</v>
      </c>
      <c r="AK243" t="n">
        <v>0</v>
      </c>
      <c r="AL243" t="n">
        <v>1</v>
      </c>
      <c r="AM243" t="n">
        <v>1</v>
      </c>
      <c r="AN243" t="n">
        <v>1</v>
      </c>
      <c r="AO243" t="n">
        <v>1</v>
      </c>
      <c r="AP243" t="n">
        <v>0</v>
      </c>
      <c r="AQ243" t="n">
        <v>0</v>
      </c>
      <c r="AR243" t="inlineStr">
        <is>
          <t>No</t>
        </is>
      </c>
      <c r="AS243" t="inlineStr">
        <is>
          <t>Yes</t>
        </is>
      </c>
      <c r="AT243">
        <f>HYPERLINK("http://catalog.hathitrust.org/Record/000026132","HathiTrust Record")</f>
        <v/>
      </c>
      <c r="AU243">
        <f>HYPERLINK("https://creighton-primo.hosted.exlibrisgroup.com/primo-explore/search?tab=default_tab&amp;search_scope=EVERYTHING&amp;vid=01CRU&amp;lang=en_US&amp;offset=0&amp;query=any,contains,991001376199702656","Catalog Record")</f>
        <v/>
      </c>
      <c r="AV243">
        <f>HYPERLINK("http://www.worldcat.org/oclc/1694484","WorldCat Record")</f>
        <v/>
      </c>
      <c r="AW243" t="inlineStr">
        <is>
          <t>2604886:eng</t>
        </is>
      </c>
      <c r="AX243" t="inlineStr">
        <is>
          <t>1694484</t>
        </is>
      </c>
      <c r="AY243" t="inlineStr">
        <is>
          <t>991001376199702656</t>
        </is>
      </c>
      <c r="AZ243" t="inlineStr">
        <is>
          <t>991001376199702656</t>
        </is>
      </c>
      <c r="BA243" t="inlineStr">
        <is>
          <t>2265808970002656</t>
        </is>
      </c>
      <c r="BB243" t="inlineStr">
        <is>
          <t>BOOK</t>
        </is>
      </c>
      <c r="BE243" t="inlineStr">
        <is>
          <t>30001000462251</t>
        </is>
      </c>
      <c r="BF243" t="inlineStr">
        <is>
          <t>893546639</t>
        </is>
      </c>
    </row>
    <row r="244">
      <c r="A244" t="inlineStr">
        <is>
          <t>No</t>
        </is>
      </c>
      <c r="B244" t="inlineStr">
        <is>
          <t>CUHSL</t>
        </is>
      </c>
      <c r="C244" t="inlineStr">
        <is>
          <t>SHELVES</t>
        </is>
      </c>
      <c r="D244" t="inlineStr">
        <is>
          <t>WY 18 C976n 1972</t>
        </is>
      </c>
      <c r="E244" t="inlineStr">
        <is>
          <t>0                      WY 0018000C  976n        1972</t>
        </is>
      </c>
      <c r="F244" t="inlineStr">
        <is>
          <t>Current issues in nursing education.</t>
        </is>
      </c>
      <c r="H244" t="inlineStr">
        <is>
          <t>No</t>
        </is>
      </c>
      <c r="I244" t="inlineStr">
        <is>
          <t>1</t>
        </is>
      </c>
      <c r="J244" t="inlineStr">
        <is>
          <t>No</t>
        </is>
      </c>
      <c r="K244" t="inlineStr">
        <is>
          <t>No</t>
        </is>
      </c>
      <c r="L244" t="inlineStr">
        <is>
          <t>0</t>
        </is>
      </c>
      <c r="N244" t="inlineStr">
        <is>
          <t>New York : Dept. of Baccalaureate and Higher Degree Programs, National League of Nursing, 1973.</t>
        </is>
      </c>
      <c r="O244" t="inlineStr">
        <is>
          <t>1973</t>
        </is>
      </c>
      <c r="Q244" t="inlineStr">
        <is>
          <t>eng</t>
        </is>
      </c>
      <c r="R244" t="inlineStr">
        <is>
          <t>nyu</t>
        </is>
      </c>
      <c r="S244" t="inlineStr">
        <is>
          <t>NLN pub. no. 15-1475</t>
        </is>
      </c>
      <c r="T244" t="inlineStr">
        <is>
          <t xml:space="preserve">WY </t>
        </is>
      </c>
      <c r="U244" t="n">
        <v>2</v>
      </c>
      <c r="V244" t="n">
        <v>2</v>
      </c>
      <c r="W244" t="inlineStr">
        <is>
          <t>1990-04-24</t>
        </is>
      </c>
      <c r="X244" t="inlineStr">
        <is>
          <t>1990-04-24</t>
        </is>
      </c>
      <c r="Y244" t="inlineStr">
        <is>
          <t>1987-10-21</t>
        </is>
      </c>
      <c r="Z244" t="inlineStr">
        <is>
          <t>1987-10-21</t>
        </is>
      </c>
      <c r="AA244" t="n">
        <v>47</v>
      </c>
      <c r="AB244" t="n">
        <v>43</v>
      </c>
      <c r="AC244" t="n">
        <v>61</v>
      </c>
      <c r="AD244" t="n">
        <v>2</v>
      </c>
      <c r="AE244" t="n">
        <v>2</v>
      </c>
      <c r="AF244" t="n">
        <v>4</v>
      </c>
      <c r="AG244" t="n">
        <v>4</v>
      </c>
      <c r="AH244" t="n">
        <v>1</v>
      </c>
      <c r="AI244" t="n">
        <v>1</v>
      </c>
      <c r="AJ244" t="n">
        <v>0</v>
      </c>
      <c r="AK244" t="n">
        <v>0</v>
      </c>
      <c r="AL244" t="n">
        <v>3</v>
      </c>
      <c r="AM244" t="n">
        <v>3</v>
      </c>
      <c r="AN244" t="n">
        <v>0</v>
      </c>
      <c r="AO244" t="n">
        <v>0</v>
      </c>
      <c r="AP244" t="n">
        <v>0</v>
      </c>
      <c r="AQ244" t="n">
        <v>0</v>
      </c>
      <c r="AR244" t="inlineStr">
        <is>
          <t>No</t>
        </is>
      </c>
      <c r="AS244" t="inlineStr">
        <is>
          <t>No</t>
        </is>
      </c>
      <c r="AU244">
        <f>HYPERLINK("https://creighton-primo.hosted.exlibrisgroup.com/primo-explore/search?tab=default_tab&amp;search_scope=EVERYTHING&amp;vid=01CRU&amp;lang=en_US&amp;offset=0&amp;query=any,contains,991001368219702656","Catalog Record")</f>
        <v/>
      </c>
      <c r="AV244">
        <f>HYPERLINK("http://www.worldcat.org/oclc/4467222","WorldCat Record")</f>
        <v/>
      </c>
      <c r="AW244" t="inlineStr">
        <is>
          <t>14681891:eng</t>
        </is>
      </c>
      <c r="AX244" t="inlineStr">
        <is>
          <t>4467222</t>
        </is>
      </c>
      <c r="AY244" t="inlineStr">
        <is>
          <t>991001368219702656</t>
        </is>
      </c>
      <c r="AZ244" t="inlineStr">
        <is>
          <t>991001368219702656</t>
        </is>
      </c>
      <c r="BA244" t="inlineStr">
        <is>
          <t>2256030950002656</t>
        </is>
      </c>
      <c r="BB244" t="inlineStr">
        <is>
          <t>BOOK</t>
        </is>
      </c>
      <c r="BE244" t="inlineStr">
        <is>
          <t>30001000461444</t>
        </is>
      </c>
      <c r="BF244" t="inlineStr">
        <is>
          <t>893743756</t>
        </is>
      </c>
    </row>
    <row r="245">
      <c r="A245" t="inlineStr">
        <is>
          <t>No</t>
        </is>
      </c>
      <c r="B245" t="inlineStr">
        <is>
          <t>CUHSL</t>
        </is>
      </c>
      <c r="C245" t="inlineStr">
        <is>
          <t>SHELVES</t>
        </is>
      </c>
      <c r="D245" t="inlineStr">
        <is>
          <t>WY 18 C976n 1973</t>
        </is>
      </c>
      <c r="E245" t="inlineStr">
        <is>
          <t>0                      WY 0018000C  976n        1973</t>
        </is>
      </c>
      <c r="F245" t="inlineStr">
        <is>
          <t>Current issues in nursing education : papers presented at the eleventh conference of the Council of Baccalaureate and Higher Degree Programs held at Kansas City, Missouri, November 14-16, 1973.</t>
        </is>
      </c>
      <c r="H245" t="inlineStr">
        <is>
          <t>No</t>
        </is>
      </c>
      <c r="I245" t="inlineStr">
        <is>
          <t>1</t>
        </is>
      </c>
      <c r="J245" t="inlineStr">
        <is>
          <t>No</t>
        </is>
      </c>
      <c r="K245" t="inlineStr">
        <is>
          <t>No</t>
        </is>
      </c>
      <c r="L245" t="inlineStr">
        <is>
          <t>0</t>
        </is>
      </c>
      <c r="N245" t="inlineStr">
        <is>
          <t>New York : National League for Nursing, Dept. of Baccalaureate and Higher Degree Programs, c1974.</t>
        </is>
      </c>
      <c r="O245" t="inlineStr">
        <is>
          <t>1974</t>
        </is>
      </c>
      <c r="Q245" t="inlineStr">
        <is>
          <t>eng</t>
        </is>
      </c>
      <c r="R245" t="inlineStr">
        <is>
          <t xml:space="preserve">xx </t>
        </is>
      </c>
      <c r="S245" t="inlineStr">
        <is>
          <t>NLN pub. no. 15-1513</t>
        </is>
      </c>
      <c r="T245" t="inlineStr">
        <is>
          <t xml:space="preserve">WY </t>
        </is>
      </c>
      <c r="U245" t="n">
        <v>1</v>
      </c>
      <c r="V245" t="n">
        <v>1</v>
      </c>
      <c r="W245" t="inlineStr">
        <is>
          <t>1990-04-24</t>
        </is>
      </c>
      <c r="X245" t="inlineStr">
        <is>
          <t>1990-04-24</t>
        </is>
      </c>
      <c r="Y245" t="inlineStr">
        <is>
          <t>1987-10-21</t>
        </is>
      </c>
      <c r="Z245" t="inlineStr">
        <is>
          <t>1987-10-21</t>
        </is>
      </c>
      <c r="AA245" t="n">
        <v>74</v>
      </c>
      <c r="AB245" t="n">
        <v>63</v>
      </c>
      <c r="AC245" t="n">
        <v>77</v>
      </c>
      <c r="AD245" t="n">
        <v>2</v>
      </c>
      <c r="AE245" t="n">
        <v>2</v>
      </c>
      <c r="AF245" t="n">
        <v>3</v>
      </c>
      <c r="AG245" t="n">
        <v>3</v>
      </c>
      <c r="AH245" t="n">
        <v>1</v>
      </c>
      <c r="AI245" t="n">
        <v>1</v>
      </c>
      <c r="AJ245" t="n">
        <v>0</v>
      </c>
      <c r="AK245" t="n">
        <v>0</v>
      </c>
      <c r="AL245" t="n">
        <v>2</v>
      </c>
      <c r="AM245" t="n">
        <v>2</v>
      </c>
      <c r="AN245" t="n">
        <v>0</v>
      </c>
      <c r="AO245" t="n">
        <v>0</v>
      </c>
      <c r="AP245" t="n">
        <v>0</v>
      </c>
      <c r="AQ245" t="n">
        <v>0</v>
      </c>
      <c r="AR245" t="inlineStr">
        <is>
          <t>No</t>
        </is>
      </c>
      <c r="AS245" t="inlineStr">
        <is>
          <t>Yes</t>
        </is>
      </c>
      <c r="AT245">
        <f>HYPERLINK("http://catalog.hathitrust.org/Record/001574542","HathiTrust Record")</f>
        <v/>
      </c>
      <c r="AU245">
        <f>HYPERLINK("https://creighton-primo.hosted.exlibrisgroup.com/primo-explore/search?tab=default_tab&amp;search_scope=EVERYTHING&amp;vid=01CRU&amp;lang=en_US&amp;offset=0&amp;query=any,contains,991001368269702656","Catalog Record")</f>
        <v/>
      </c>
      <c r="AV245">
        <f>HYPERLINK("http://www.worldcat.org/oclc/927163","WorldCat Record")</f>
        <v/>
      </c>
      <c r="AW245" t="inlineStr">
        <is>
          <t>3856462917:eng</t>
        </is>
      </c>
      <c r="AX245" t="inlineStr">
        <is>
          <t>927163</t>
        </is>
      </c>
      <c r="AY245" t="inlineStr">
        <is>
          <t>991001368269702656</t>
        </is>
      </c>
      <c r="AZ245" t="inlineStr">
        <is>
          <t>991001368269702656</t>
        </is>
      </c>
      <c r="BA245" t="inlineStr">
        <is>
          <t>2268287550002656</t>
        </is>
      </c>
      <c r="BB245" t="inlineStr">
        <is>
          <t>BOOK</t>
        </is>
      </c>
      <c r="BE245" t="inlineStr">
        <is>
          <t>30001000461451</t>
        </is>
      </c>
      <c r="BF245" t="inlineStr">
        <is>
          <t>893832124</t>
        </is>
      </c>
    </row>
    <row r="246">
      <c r="A246" t="inlineStr">
        <is>
          <t>No</t>
        </is>
      </c>
      <c r="B246" t="inlineStr">
        <is>
          <t>CUHSL</t>
        </is>
      </c>
      <c r="C246" t="inlineStr">
        <is>
          <t>SHELVES</t>
        </is>
      </c>
      <c r="D246" t="inlineStr">
        <is>
          <t>WY 18 D184p 1975</t>
        </is>
      </c>
      <c r="E246" t="inlineStr">
        <is>
          <t>0                      WY 0018000D  184p        1975</t>
        </is>
      </c>
      <c r="F246" t="inlineStr">
        <is>
          <t>Project Hope and nursing at Navajo Community College / by M. Grace Daniel.</t>
        </is>
      </c>
      <c r="H246" t="inlineStr">
        <is>
          <t>No</t>
        </is>
      </c>
      <c r="I246" t="inlineStr">
        <is>
          <t>1</t>
        </is>
      </c>
      <c r="J246" t="inlineStr">
        <is>
          <t>No</t>
        </is>
      </c>
      <c r="K246" t="inlineStr">
        <is>
          <t>No</t>
        </is>
      </c>
      <c r="L246" t="inlineStr">
        <is>
          <t>0</t>
        </is>
      </c>
      <c r="M246" t="inlineStr">
        <is>
          <t>Daniel, M. Grace.</t>
        </is>
      </c>
      <c r="N246" t="inlineStr">
        <is>
          <t>Washington : Project Hope, Dept. of Information Services, People-to-People Health Foundation, 1975</t>
        </is>
      </c>
      <c r="O246" t="inlineStr">
        <is>
          <t>1975</t>
        </is>
      </c>
      <c r="Q246" t="inlineStr">
        <is>
          <t>eng</t>
        </is>
      </c>
      <c r="R246" t="inlineStr">
        <is>
          <t>dcu</t>
        </is>
      </c>
      <c r="T246" t="inlineStr">
        <is>
          <t xml:space="preserve">WY </t>
        </is>
      </c>
      <c r="U246" t="n">
        <v>1</v>
      </c>
      <c r="V246" t="n">
        <v>1</v>
      </c>
      <c r="W246" t="inlineStr">
        <is>
          <t>1990-04-17</t>
        </is>
      </c>
      <c r="X246" t="inlineStr">
        <is>
          <t>1990-04-17</t>
        </is>
      </c>
      <c r="Y246" t="inlineStr">
        <is>
          <t>1987-12-28</t>
        </is>
      </c>
      <c r="Z246" t="inlineStr">
        <is>
          <t>1987-12-28</t>
        </is>
      </c>
      <c r="AA246" t="n">
        <v>45</v>
      </c>
      <c r="AB246" t="n">
        <v>40</v>
      </c>
      <c r="AC246" t="n">
        <v>44</v>
      </c>
      <c r="AD246" t="n">
        <v>1</v>
      </c>
      <c r="AE246" t="n">
        <v>1</v>
      </c>
      <c r="AF246" t="n">
        <v>1</v>
      </c>
      <c r="AG246" t="n">
        <v>1</v>
      </c>
      <c r="AH246" t="n">
        <v>0</v>
      </c>
      <c r="AI246" t="n">
        <v>0</v>
      </c>
      <c r="AJ246" t="n">
        <v>0</v>
      </c>
      <c r="AK246" t="n">
        <v>0</v>
      </c>
      <c r="AL246" t="n">
        <v>1</v>
      </c>
      <c r="AM246" t="n">
        <v>1</v>
      </c>
      <c r="AN246" t="n">
        <v>0</v>
      </c>
      <c r="AO246" t="n">
        <v>0</v>
      </c>
      <c r="AP246" t="n">
        <v>0</v>
      </c>
      <c r="AQ246" t="n">
        <v>0</v>
      </c>
      <c r="AR246" t="inlineStr">
        <is>
          <t>No</t>
        </is>
      </c>
      <c r="AS246" t="inlineStr">
        <is>
          <t>Yes</t>
        </is>
      </c>
      <c r="AT246">
        <f>HYPERLINK("http://catalog.hathitrust.org/Record/001574632","HathiTrust Record")</f>
        <v/>
      </c>
      <c r="AU246">
        <f>HYPERLINK("https://creighton-primo.hosted.exlibrisgroup.com/primo-explore/search?tab=default_tab&amp;search_scope=EVERYTHING&amp;vid=01CRU&amp;lang=en_US&amp;offset=0&amp;query=any,contains,991001040199702656","Catalog Record")</f>
        <v/>
      </c>
      <c r="AV246">
        <f>HYPERLINK("http://www.worldcat.org/oclc/1931268","WorldCat Record")</f>
        <v/>
      </c>
      <c r="AW246" t="inlineStr">
        <is>
          <t>2746727:eng</t>
        </is>
      </c>
      <c r="AX246" t="inlineStr">
        <is>
          <t>1931268</t>
        </is>
      </c>
      <c r="AY246" t="inlineStr">
        <is>
          <t>991001040199702656</t>
        </is>
      </c>
      <c r="AZ246" t="inlineStr">
        <is>
          <t>991001040199702656</t>
        </is>
      </c>
      <c r="BA246" t="inlineStr">
        <is>
          <t>2268085250002656</t>
        </is>
      </c>
      <c r="BB246" t="inlineStr">
        <is>
          <t>BOOK</t>
        </is>
      </c>
      <c r="BE246" t="inlineStr">
        <is>
          <t>30001000242042</t>
        </is>
      </c>
      <c r="BF246" t="inlineStr">
        <is>
          <t>893740698</t>
        </is>
      </c>
    </row>
    <row r="247">
      <c r="A247" t="inlineStr">
        <is>
          <t>No</t>
        </is>
      </c>
      <c r="B247" t="inlineStr">
        <is>
          <t>CUHSL</t>
        </is>
      </c>
      <c r="C247" t="inlineStr">
        <is>
          <t>SHELVES</t>
        </is>
      </c>
      <c r="D247" t="inlineStr">
        <is>
          <t>WY 18 D252a 1974</t>
        </is>
      </c>
      <c r="E247" t="inlineStr">
        <is>
          <t>0                      WY 0018000D  252a        1974</t>
        </is>
      </c>
      <c r="F247" t="inlineStr">
        <is>
          <t>The associate degree practitioner and nursing service needs / Grace E. Davidson, Marie Anita Brock.</t>
        </is>
      </c>
      <c r="H247" t="inlineStr">
        <is>
          <t>No</t>
        </is>
      </c>
      <c r="I247" t="inlineStr">
        <is>
          <t>1</t>
        </is>
      </c>
      <c r="J247" t="inlineStr">
        <is>
          <t>No</t>
        </is>
      </c>
      <c r="K247" t="inlineStr">
        <is>
          <t>No</t>
        </is>
      </c>
      <c r="L247" t="inlineStr">
        <is>
          <t>0</t>
        </is>
      </c>
      <c r="M247" t="inlineStr">
        <is>
          <t>Davidson, Grace E.</t>
        </is>
      </c>
      <c r="N247" t="inlineStr">
        <is>
          <t>New York : Council of Hospital and Related Institutional Nursing Services, National League for Nursing, 1974.</t>
        </is>
      </c>
      <c r="O247" t="inlineStr">
        <is>
          <t>1974</t>
        </is>
      </c>
      <c r="Q247" t="inlineStr">
        <is>
          <t>eng</t>
        </is>
      </c>
      <c r="R247" t="inlineStr">
        <is>
          <t>nyu</t>
        </is>
      </c>
      <c r="S247" t="inlineStr">
        <is>
          <t>NLN pub. no. 20-1504</t>
        </is>
      </c>
      <c r="T247" t="inlineStr">
        <is>
          <t xml:space="preserve">WY </t>
        </is>
      </c>
      <c r="U247" t="n">
        <v>1</v>
      </c>
      <c r="V247" t="n">
        <v>1</v>
      </c>
      <c r="W247" t="inlineStr">
        <is>
          <t>1990-05-04</t>
        </is>
      </c>
      <c r="X247" t="inlineStr">
        <is>
          <t>1990-05-04</t>
        </is>
      </c>
      <c r="Y247" t="inlineStr">
        <is>
          <t>1987-11-04</t>
        </is>
      </c>
      <c r="Z247" t="inlineStr">
        <is>
          <t>1987-11-04</t>
        </is>
      </c>
      <c r="AA247" t="n">
        <v>73</v>
      </c>
      <c r="AB247" t="n">
        <v>64</v>
      </c>
      <c r="AC247" t="n">
        <v>66</v>
      </c>
      <c r="AD247" t="n">
        <v>2</v>
      </c>
      <c r="AE247" t="n">
        <v>2</v>
      </c>
      <c r="AF247" t="n">
        <v>2</v>
      </c>
      <c r="AG247" t="n">
        <v>2</v>
      </c>
      <c r="AH247" t="n">
        <v>0</v>
      </c>
      <c r="AI247" t="n">
        <v>0</v>
      </c>
      <c r="AJ247" t="n">
        <v>0</v>
      </c>
      <c r="AK247" t="n">
        <v>0</v>
      </c>
      <c r="AL247" t="n">
        <v>2</v>
      </c>
      <c r="AM247" t="n">
        <v>2</v>
      </c>
      <c r="AN247" t="n">
        <v>0</v>
      </c>
      <c r="AO247" t="n">
        <v>0</v>
      </c>
      <c r="AP247" t="n">
        <v>0</v>
      </c>
      <c r="AQ247" t="n">
        <v>0</v>
      </c>
      <c r="AR247" t="inlineStr">
        <is>
          <t>No</t>
        </is>
      </c>
      <c r="AS247" t="inlineStr">
        <is>
          <t>Yes</t>
        </is>
      </c>
      <c r="AT247">
        <f>HYPERLINK("http://catalog.hathitrust.org/Record/001574698","HathiTrust Record")</f>
        <v/>
      </c>
      <c r="AU247">
        <f>HYPERLINK("https://creighton-primo.hosted.exlibrisgroup.com/primo-explore/search?tab=default_tab&amp;search_scope=EVERYTHING&amp;vid=01CRU&amp;lang=en_US&amp;offset=0&amp;query=any,contains,991001384419702656","Catalog Record")</f>
        <v/>
      </c>
      <c r="AV247">
        <f>HYPERLINK("http://www.worldcat.org/oclc/903667","WorldCat Record")</f>
        <v/>
      </c>
      <c r="AW247" t="inlineStr">
        <is>
          <t>1910195642:eng</t>
        </is>
      </c>
      <c r="AX247" t="inlineStr">
        <is>
          <t>903667</t>
        </is>
      </c>
      <c r="AY247" t="inlineStr">
        <is>
          <t>991001384419702656</t>
        </is>
      </c>
      <c r="AZ247" t="inlineStr">
        <is>
          <t>991001384419702656</t>
        </is>
      </c>
      <c r="BA247" t="inlineStr">
        <is>
          <t>2263116840002656</t>
        </is>
      </c>
      <c r="BB247" t="inlineStr">
        <is>
          <t>BOOK</t>
        </is>
      </c>
      <c r="BE247" t="inlineStr">
        <is>
          <t>30001000463424</t>
        </is>
      </c>
      <c r="BF247" t="inlineStr">
        <is>
          <t>893168154</t>
        </is>
      </c>
    </row>
    <row r="248">
      <c r="A248" t="inlineStr">
        <is>
          <t>No</t>
        </is>
      </c>
      <c r="B248" t="inlineStr">
        <is>
          <t>CUHSL</t>
        </is>
      </c>
      <c r="C248" t="inlineStr">
        <is>
          <t>SHELVES</t>
        </is>
      </c>
      <c r="D248" t="inlineStr">
        <is>
          <t>WY 18 D252c 1980</t>
        </is>
      </c>
      <c r="E248" t="inlineStr">
        <is>
          <t>0                      WY 0018000D  252c        1980</t>
        </is>
      </c>
      <c r="F248" t="inlineStr">
        <is>
          <t>The community college and associate degree nursing, 1952-1980 / [Leola Davidson, Lucille Knopf].</t>
        </is>
      </c>
      <c r="H248" t="inlineStr">
        <is>
          <t>No</t>
        </is>
      </c>
      <c r="I248" t="inlineStr">
        <is>
          <t>1</t>
        </is>
      </c>
      <c r="J248" t="inlineStr">
        <is>
          <t>No</t>
        </is>
      </c>
      <c r="K248" t="inlineStr">
        <is>
          <t>No</t>
        </is>
      </c>
      <c r="L248" t="inlineStr">
        <is>
          <t>0</t>
        </is>
      </c>
      <c r="M248" t="inlineStr">
        <is>
          <t>Davidson, Leola.</t>
        </is>
      </c>
      <c r="N248" t="inlineStr">
        <is>
          <t>New York : National League for Nursing, c1980.</t>
        </is>
      </c>
      <c r="O248" t="inlineStr">
        <is>
          <t>1980</t>
        </is>
      </c>
      <c r="Q248" t="inlineStr">
        <is>
          <t>eng</t>
        </is>
      </c>
      <c r="R248" t="inlineStr">
        <is>
          <t>xxu</t>
        </is>
      </c>
      <c r="S248" t="inlineStr">
        <is>
          <t>NLN pub. no. 23-1829</t>
        </is>
      </c>
      <c r="T248" t="inlineStr">
        <is>
          <t xml:space="preserve">WY </t>
        </is>
      </c>
      <c r="U248" t="n">
        <v>2</v>
      </c>
      <c r="V248" t="n">
        <v>2</v>
      </c>
      <c r="W248" t="inlineStr">
        <is>
          <t>2007-09-24</t>
        </is>
      </c>
      <c r="X248" t="inlineStr">
        <is>
          <t>2007-09-24</t>
        </is>
      </c>
      <c r="Y248" t="inlineStr">
        <is>
          <t>1987-11-09</t>
        </is>
      </c>
      <c r="Z248" t="inlineStr">
        <is>
          <t>1987-11-09</t>
        </is>
      </c>
      <c r="AA248" t="n">
        <v>96</v>
      </c>
      <c r="AB248" t="n">
        <v>83</v>
      </c>
      <c r="AC248" t="n">
        <v>85</v>
      </c>
      <c r="AD248" t="n">
        <v>1</v>
      </c>
      <c r="AE248" t="n">
        <v>1</v>
      </c>
      <c r="AF248" t="n">
        <v>2</v>
      </c>
      <c r="AG248" t="n">
        <v>2</v>
      </c>
      <c r="AH248" t="n">
        <v>0</v>
      </c>
      <c r="AI248" t="n">
        <v>0</v>
      </c>
      <c r="AJ248" t="n">
        <v>0</v>
      </c>
      <c r="AK248" t="n">
        <v>0</v>
      </c>
      <c r="AL248" t="n">
        <v>2</v>
      </c>
      <c r="AM248" t="n">
        <v>2</v>
      </c>
      <c r="AN248" t="n">
        <v>0</v>
      </c>
      <c r="AO248" t="n">
        <v>0</v>
      </c>
      <c r="AP248" t="n">
        <v>0</v>
      </c>
      <c r="AQ248" t="n">
        <v>0</v>
      </c>
      <c r="AR248" t="inlineStr">
        <is>
          <t>No</t>
        </is>
      </c>
      <c r="AS248" t="inlineStr">
        <is>
          <t>Yes</t>
        </is>
      </c>
      <c r="AT248">
        <f>HYPERLINK("http://catalog.hathitrust.org/Record/002505046","HathiTrust Record")</f>
        <v/>
      </c>
      <c r="AU248">
        <f>HYPERLINK("https://creighton-primo.hosted.exlibrisgroup.com/primo-explore/search?tab=default_tab&amp;search_scope=EVERYTHING&amp;vid=01CRU&amp;lang=en_US&amp;offset=0&amp;query=any,contains,991001388889702656","Catalog Record")</f>
        <v/>
      </c>
      <c r="AV248">
        <f>HYPERLINK("http://www.worldcat.org/oclc/7775571","WorldCat Record")</f>
        <v/>
      </c>
      <c r="AW248" t="inlineStr">
        <is>
          <t>29586062:eng</t>
        </is>
      </c>
      <c r="AX248" t="inlineStr">
        <is>
          <t>7775571</t>
        </is>
      </c>
      <c r="AY248" t="inlineStr">
        <is>
          <t>991001388889702656</t>
        </is>
      </c>
      <c r="AZ248" t="inlineStr">
        <is>
          <t>991001388889702656</t>
        </is>
      </c>
      <c r="BA248" t="inlineStr">
        <is>
          <t>2270030710002656</t>
        </is>
      </c>
      <c r="BB248" t="inlineStr">
        <is>
          <t>BOOK</t>
        </is>
      </c>
      <c r="BE248" t="inlineStr">
        <is>
          <t>30001000464448</t>
        </is>
      </c>
      <c r="BF248" t="inlineStr">
        <is>
          <t>893638283</t>
        </is>
      </c>
    </row>
    <row r="249">
      <c r="A249" t="inlineStr">
        <is>
          <t>No</t>
        </is>
      </c>
      <c r="B249" t="inlineStr">
        <is>
          <t>CUHSL</t>
        </is>
      </c>
      <c r="C249" t="inlineStr">
        <is>
          <t>SHELVES</t>
        </is>
      </c>
      <c r="D249" t="inlineStr">
        <is>
          <t>WY 18 D424 1978</t>
        </is>
      </c>
      <c r="E249" t="inlineStr">
        <is>
          <t>0                      WY 0018000D  424         1978</t>
        </is>
      </c>
      <c r="F249" t="inlineStr">
        <is>
          <t>Depth and scope : guides for curriculum in a technical nursing program : a study for the determination and application of unlimited depth and limited scope in a technical nursing program, Division of Nursing, Indiana University Northwest, Gary, Indiana / compiled and edited by Marjorie Sloan, project director and principal investigator, Donna Brown, project co-director, Esther Nicksic, project co-director.</t>
        </is>
      </c>
      <c r="H249" t="inlineStr">
        <is>
          <t>No</t>
        </is>
      </c>
      <c r="I249" t="inlineStr">
        <is>
          <t>1</t>
        </is>
      </c>
      <c r="J249" t="inlineStr">
        <is>
          <t>No</t>
        </is>
      </c>
      <c r="K249" t="inlineStr">
        <is>
          <t>No</t>
        </is>
      </c>
      <c r="L249" t="inlineStr">
        <is>
          <t>0</t>
        </is>
      </c>
      <c r="N249" t="inlineStr">
        <is>
          <t>New York : National League for Nursing, c1978.</t>
        </is>
      </c>
      <c r="O249" t="inlineStr">
        <is>
          <t>1978</t>
        </is>
      </c>
      <c r="Q249" t="inlineStr">
        <is>
          <t>eng</t>
        </is>
      </c>
      <c r="R249" t="inlineStr">
        <is>
          <t>nyu</t>
        </is>
      </c>
      <c r="S249" t="inlineStr">
        <is>
          <t>League exchange ; no. 117</t>
        </is>
      </c>
      <c r="T249" t="inlineStr">
        <is>
          <t xml:space="preserve">WY </t>
        </is>
      </c>
      <c r="U249" t="n">
        <v>1</v>
      </c>
      <c r="V249" t="n">
        <v>1</v>
      </c>
      <c r="W249" t="inlineStr">
        <is>
          <t>1990-08-03</t>
        </is>
      </c>
      <c r="X249" t="inlineStr">
        <is>
          <t>1990-08-03</t>
        </is>
      </c>
      <c r="Y249" t="inlineStr">
        <is>
          <t>1987-11-05</t>
        </is>
      </c>
      <c r="Z249" t="inlineStr">
        <is>
          <t>1987-11-05</t>
        </is>
      </c>
      <c r="AA249" t="n">
        <v>68</v>
      </c>
      <c r="AB249" t="n">
        <v>64</v>
      </c>
      <c r="AC249" t="n">
        <v>67</v>
      </c>
      <c r="AD249" t="n">
        <v>2</v>
      </c>
      <c r="AE249" t="n">
        <v>2</v>
      </c>
      <c r="AF249" t="n">
        <v>3</v>
      </c>
      <c r="AG249" t="n">
        <v>3</v>
      </c>
      <c r="AH249" t="n">
        <v>0</v>
      </c>
      <c r="AI249" t="n">
        <v>0</v>
      </c>
      <c r="AJ249" t="n">
        <v>0</v>
      </c>
      <c r="AK249" t="n">
        <v>0</v>
      </c>
      <c r="AL249" t="n">
        <v>3</v>
      </c>
      <c r="AM249" t="n">
        <v>3</v>
      </c>
      <c r="AN249" t="n">
        <v>0</v>
      </c>
      <c r="AO249" t="n">
        <v>0</v>
      </c>
      <c r="AP249" t="n">
        <v>0</v>
      </c>
      <c r="AQ249" t="n">
        <v>0</v>
      </c>
      <c r="AR249" t="inlineStr">
        <is>
          <t>No</t>
        </is>
      </c>
      <c r="AS249" t="inlineStr">
        <is>
          <t>No</t>
        </is>
      </c>
      <c r="AU249">
        <f>HYPERLINK("https://creighton-primo.hosted.exlibrisgroup.com/primo-explore/search?tab=default_tab&amp;search_scope=EVERYTHING&amp;vid=01CRU&amp;lang=en_US&amp;offset=0&amp;query=any,contains,991001388169702656","Catalog Record")</f>
        <v/>
      </c>
      <c r="AV249">
        <f>HYPERLINK("http://www.worldcat.org/oclc/4468337","WorldCat Record")</f>
        <v/>
      </c>
      <c r="AW249" t="inlineStr">
        <is>
          <t>14685388:eng</t>
        </is>
      </c>
      <c r="AX249" t="inlineStr">
        <is>
          <t>4468337</t>
        </is>
      </c>
      <c r="AY249" t="inlineStr">
        <is>
          <t>991001388169702656</t>
        </is>
      </c>
      <c r="AZ249" t="inlineStr">
        <is>
          <t>991001388169702656</t>
        </is>
      </c>
      <c r="BA249" t="inlineStr">
        <is>
          <t>2255647450002656</t>
        </is>
      </c>
      <c r="BB249" t="inlineStr">
        <is>
          <t>BOOK</t>
        </is>
      </c>
      <c r="BE249" t="inlineStr">
        <is>
          <t>30001000464257</t>
        </is>
      </c>
      <c r="BF249" t="inlineStr">
        <is>
          <t>893633008</t>
        </is>
      </c>
    </row>
    <row r="250">
      <c r="A250" t="inlineStr">
        <is>
          <t>No</t>
        </is>
      </c>
      <c r="B250" t="inlineStr">
        <is>
          <t>CUHSL</t>
        </is>
      </c>
      <c r="C250" t="inlineStr">
        <is>
          <t>SHELVES</t>
        </is>
      </c>
      <c r="D250" t="inlineStr">
        <is>
          <t>WY 18 D449 1952</t>
        </is>
      </c>
      <c r="E250" t="inlineStr">
        <is>
          <t>0                      WY 0018000D  449         1952</t>
        </is>
      </c>
      <c r="F250" t="inlineStr">
        <is>
          <t>Descriptions of eight collegiate basic programs in nursing.</t>
        </is>
      </c>
      <c r="H250" t="inlineStr">
        <is>
          <t>No</t>
        </is>
      </c>
      <c r="I250" t="inlineStr">
        <is>
          <t>1</t>
        </is>
      </c>
      <c r="J250" t="inlineStr">
        <is>
          <t>No</t>
        </is>
      </c>
      <c r="K250" t="inlineStr">
        <is>
          <t>No</t>
        </is>
      </c>
      <c r="L250" t="inlineStr">
        <is>
          <t>0</t>
        </is>
      </c>
      <c r="N250" t="inlineStr">
        <is>
          <t>New York : National League for Nursing Education, 1952.</t>
        </is>
      </c>
      <c r="O250" t="inlineStr">
        <is>
          <t>1952</t>
        </is>
      </c>
      <c r="Q250" t="inlineStr">
        <is>
          <t>eng</t>
        </is>
      </c>
      <c r="R250" t="inlineStr">
        <is>
          <t>nyu</t>
        </is>
      </c>
      <c r="T250" t="inlineStr">
        <is>
          <t xml:space="preserve">WY </t>
        </is>
      </c>
      <c r="U250" t="n">
        <v>1</v>
      </c>
      <c r="V250" t="n">
        <v>1</v>
      </c>
      <c r="W250" t="inlineStr">
        <is>
          <t>1990-09-11</t>
        </is>
      </c>
      <c r="X250" t="inlineStr">
        <is>
          <t>1990-09-11</t>
        </is>
      </c>
      <c r="Y250" t="inlineStr">
        <is>
          <t>1987-11-19</t>
        </is>
      </c>
      <c r="Z250" t="inlineStr">
        <is>
          <t>1987-11-19</t>
        </is>
      </c>
      <c r="AA250" t="n">
        <v>31</v>
      </c>
      <c r="AB250" t="n">
        <v>28</v>
      </c>
      <c r="AC250" t="n">
        <v>29</v>
      </c>
      <c r="AD250" t="n">
        <v>1</v>
      </c>
      <c r="AE250" t="n">
        <v>1</v>
      </c>
      <c r="AF250" t="n">
        <v>0</v>
      </c>
      <c r="AG250" t="n">
        <v>0</v>
      </c>
      <c r="AH250" t="n">
        <v>0</v>
      </c>
      <c r="AI250" t="n">
        <v>0</v>
      </c>
      <c r="AJ250" t="n">
        <v>0</v>
      </c>
      <c r="AK250" t="n">
        <v>0</v>
      </c>
      <c r="AL250" t="n">
        <v>0</v>
      </c>
      <c r="AM250" t="n">
        <v>0</v>
      </c>
      <c r="AN250" t="n">
        <v>0</v>
      </c>
      <c r="AO250" t="n">
        <v>0</v>
      </c>
      <c r="AP250" t="n">
        <v>0</v>
      </c>
      <c r="AQ250" t="n">
        <v>0</v>
      </c>
      <c r="AR250" t="inlineStr">
        <is>
          <t>No</t>
        </is>
      </c>
      <c r="AS250" t="inlineStr">
        <is>
          <t>Yes</t>
        </is>
      </c>
      <c r="AT250">
        <f>HYPERLINK("http://catalog.hathitrust.org/Record/100958492","HathiTrust Record")</f>
        <v/>
      </c>
      <c r="AU250">
        <f>HYPERLINK("https://creighton-primo.hosted.exlibrisgroup.com/primo-explore/search?tab=default_tab&amp;search_scope=EVERYTHING&amp;vid=01CRU&amp;lang=en_US&amp;offset=0&amp;query=any,contains,991001517769702656","Catalog Record")</f>
        <v/>
      </c>
      <c r="AV250">
        <f>HYPERLINK("http://www.worldcat.org/oclc/6359303","WorldCat Record")</f>
        <v/>
      </c>
      <c r="AW250" t="inlineStr">
        <is>
          <t>3029520359:eng</t>
        </is>
      </c>
      <c r="AX250" t="inlineStr">
        <is>
          <t>6359303</t>
        </is>
      </c>
      <c r="AY250" t="inlineStr">
        <is>
          <t>991001517769702656</t>
        </is>
      </c>
      <c r="AZ250" t="inlineStr">
        <is>
          <t>991001517769702656</t>
        </is>
      </c>
      <c r="BA250" t="inlineStr">
        <is>
          <t>2255383730002656</t>
        </is>
      </c>
      <c r="BB250" t="inlineStr">
        <is>
          <t>BOOK</t>
        </is>
      </c>
      <c r="BE250" t="inlineStr">
        <is>
          <t>30001000600306</t>
        </is>
      </c>
      <c r="BF250" t="inlineStr">
        <is>
          <t>893268571</t>
        </is>
      </c>
    </row>
    <row r="251">
      <c r="A251" t="inlineStr">
        <is>
          <t>No</t>
        </is>
      </c>
      <c r="B251" t="inlineStr">
        <is>
          <t>CUHSL</t>
        </is>
      </c>
      <c r="C251" t="inlineStr">
        <is>
          <t>SHELVES</t>
        </is>
      </c>
      <c r="D251" t="inlineStr">
        <is>
          <t>WY 18 D457 1979</t>
        </is>
      </c>
      <c r="E251" t="inlineStr">
        <is>
          <t>0                      WY 0018000D  457         1979</t>
        </is>
      </c>
      <c r="F251" t="inlineStr">
        <is>
          <t>Designing and building a curriculum.</t>
        </is>
      </c>
      <c r="H251" t="inlineStr">
        <is>
          <t>No</t>
        </is>
      </c>
      <c r="I251" t="inlineStr">
        <is>
          <t>1</t>
        </is>
      </c>
      <c r="J251" t="inlineStr">
        <is>
          <t>No</t>
        </is>
      </c>
      <c r="K251" t="inlineStr">
        <is>
          <t>No</t>
        </is>
      </c>
      <c r="L251" t="inlineStr">
        <is>
          <t>0</t>
        </is>
      </c>
      <c r="N251" t="inlineStr">
        <is>
          <t>New York : National League for Nursing, c1979.</t>
        </is>
      </c>
      <c r="O251" t="inlineStr">
        <is>
          <t>1979</t>
        </is>
      </c>
      <c r="Q251" t="inlineStr">
        <is>
          <t>eng</t>
        </is>
      </c>
      <c r="R251" t="inlineStr">
        <is>
          <t>nyu</t>
        </is>
      </c>
      <c r="S251" t="inlineStr">
        <is>
          <t>NLN pub. no. 16-1776</t>
        </is>
      </c>
      <c r="T251" t="inlineStr">
        <is>
          <t xml:space="preserve">WY </t>
        </is>
      </c>
      <c r="U251" t="n">
        <v>1</v>
      </c>
      <c r="V251" t="n">
        <v>1</v>
      </c>
      <c r="W251" t="inlineStr">
        <is>
          <t>1990-08-29</t>
        </is>
      </c>
      <c r="X251" t="inlineStr">
        <is>
          <t>1990-08-29</t>
        </is>
      </c>
      <c r="Y251" t="inlineStr">
        <is>
          <t>1987-10-29</t>
        </is>
      </c>
      <c r="Z251" t="inlineStr">
        <is>
          <t>1987-10-29</t>
        </is>
      </c>
      <c r="AA251" t="n">
        <v>109</v>
      </c>
      <c r="AB251" t="n">
        <v>92</v>
      </c>
      <c r="AC251" t="n">
        <v>94</v>
      </c>
      <c r="AD251" t="n">
        <v>2</v>
      </c>
      <c r="AE251" t="n">
        <v>2</v>
      </c>
      <c r="AF251" t="n">
        <v>2</v>
      </c>
      <c r="AG251" t="n">
        <v>2</v>
      </c>
      <c r="AH251" t="n">
        <v>1</v>
      </c>
      <c r="AI251" t="n">
        <v>1</v>
      </c>
      <c r="AJ251" t="n">
        <v>0</v>
      </c>
      <c r="AK251" t="n">
        <v>0</v>
      </c>
      <c r="AL251" t="n">
        <v>1</v>
      </c>
      <c r="AM251" t="n">
        <v>1</v>
      </c>
      <c r="AN251" t="n">
        <v>0</v>
      </c>
      <c r="AO251" t="n">
        <v>0</v>
      </c>
      <c r="AP251" t="n">
        <v>0</v>
      </c>
      <c r="AQ251" t="n">
        <v>0</v>
      </c>
      <c r="AR251" t="inlineStr">
        <is>
          <t>No</t>
        </is>
      </c>
      <c r="AS251" t="inlineStr">
        <is>
          <t>Yes</t>
        </is>
      </c>
      <c r="AT251">
        <f>HYPERLINK("http://catalog.hathitrust.org/Record/000759758","HathiTrust Record")</f>
        <v/>
      </c>
      <c r="AU251">
        <f>HYPERLINK("https://creighton-primo.hosted.exlibrisgroup.com/primo-explore/search?tab=default_tab&amp;search_scope=EVERYTHING&amp;vid=01CRU&amp;lang=en_US&amp;offset=0&amp;query=any,contains,991001376919702656","Catalog Record")</f>
        <v/>
      </c>
      <c r="AV251">
        <f>HYPERLINK("http://www.worldcat.org/oclc/5670891","WorldCat Record")</f>
        <v/>
      </c>
      <c r="AW251" t="inlineStr">
        <is>
          <t>18743735:eng</t>
        </is>
      </c>
      <c r="AX251" t="inlineStr">
        <is>
          <t>5670891</t>
        </is>
      </c>
      <c r="AY251" t="inlineStr">
        <is>
          <t>991001376919702656</t>
        </is>
      </c>
      <c r="AZ251" t="inlineStr">
        <is>
          <t>991001376919702656</t>
        </is>
      </c>
      <c r="BA251" t="inlineStr">
        <is>
          <t>2271876830002656</t>
        </is>
      </c>
      <c r="BB251" t="inlineStr">
        <is>
          <t>BOOK</t>
        </is>
      </c>
      <c r="BE251" t="inlineStr">
        <is>
          <t>30001000462384</t>
        </is>
      </c>
      <c r="BF251" t="inlineStr">
        <is>
          <t>893134505</t>
        </is>
      </c>
    </row>
    <row r="252">
      <c r="A252" t="inlineStr">
        <is>
          <t>No</t>
        </is>
      </c>
      <c r="B252" t="inlineStr">
        <is>
          <t>CUHSL</t>
        </is>
      </c>
      <c r="C252" t="inlineStr">
        <is>
          <t>SHELVES</t>
        </is>
      </c>
      <c r="D252" t="inlineStr">
        <is>
          <t>WY 18 D489 1967</t>
        </is>
      </c>
      <c r="E252" t="inlineStr">
        <is>
          <t>0                      WY 0018000D  489         1967</t>
        </is>
      </c>
      <c r="F252" t="inlineStr">
        <is>
          <t>Developing nursing programs in institutions of higher education : report of a conference held on October 5-6, 1967, in Louisville, Kentucky / sponsored by the Council of Associate Degree Programs and the Council of Baccalaureate and Higher Degree Programs of the National League for Nursing.</t>
        </is>
      </c>
      <c r="H252" t="inlineStr">
        <is>
          <t>No</t>
        </is>
      </c>
      <c r="I252" t="inlineStr">
        <is>
          <t>1</t>
        </is>
      </c>
      <c r="J252" t="inlineStr">
        <is>
          <t>No</t>
        </is>
      </c>
      <c r="K252" t="inlineStr">
        <is>
          <t>No</t>
        </is>
      </c>
      <c r="L252" t="inlineStr">
        <is>
          <t>0</t>
        </is>
      </c>
      <c r="N252" t="inlineStr">
        <is>
          <t>New York : National League for Nursing, 1968.</t>
        </is>
      </c>
      <c r="O252" t="inlineStr">
        <is>
          <t>1968</t>
        </is>
      </c>
      <c r="Q252" t="inlineStr">
        <is>
          <t>eng</t>
        </is>
      </c>
      <c r="R252" t="inlineStr">
        <is>
          <t xml:space="preserve">xx </t>
        </is>
      </c>
      <c r="S252" t="inlineStr">
        <is>
          <t>NLN pub. no. 15-1315</t>
        </is>
      </c>
      <c r="T252" t="inlineStr">
        <is>
          <t xml:space="preserve">WY </t>
        </is>
      </c>
      <c r="U252" t="n">
        <v>3</v>
      </c>
      <c r="V252" t="n">
        <v>3</v>
      </c>
      <c r="W252" t="inlineStr">
        <is>
          <t>1990-04-06</t>
        </is>
      </c>
      <c r="X252" t="inlineStr">
        <is>
          <t>1990-04-06</t>
        </is>
      </c>
      <c r="Y252" t="inlineStr">
        <is>
          <t>1987-10-20</t>
        </is>
      </c>
      <c r="Z252" t="inlineStr">
        <is>
          <t>1987-10-20</t>
        </is>
      </c>
      <c r="AA252" t="n">
        <v>72</v>
      </c>
      <c r="AB252" t="n">
        <v>64</v>
      </c>
      <c r="AC252" t="n">
        <v>66</v>
      </c>
      <c r="AD252" t="n">
        <v>3</v>
      </c>
      <c r="AE252" t="n">
        <v>3</v>
      </c>
      <c r="AF252" t="n">
        <v>4</v>
      </c>
      <c r="AG252" t="n">
        <v>4</v>
      </c>
      <c r="AH252" t="n">
        <v>0</v>
      </c>
      <c r="AI252" t="n">
        <v>0</v>
      </c>
      <c r="AJ252" t="n">
        <v>0</v>
      </c>
      <c r="AK252" t="n">
        <v>0</v>
      </c>
      <c r="AL252" t="n">
        <v>3</v>
      </c>
      <c r="AM252" t="n">
        <v>3</v>
      </c>
      <c r="AN252" t="n">
        <v>1</v>
      </c>
      <c r="AO252" t="n">
        <v>1</v>
      </c>
      <c r="AP252" t="n">
        <v>0</v>
      </c>
      <c r="AQ252" t="n">
        <v>0</v>
      </c>
      <c r="AR252" t="inlineStr">
        <is>
          <t>No</t>
        </is>
      </c>
      <c r="AS252" t="inlineStr">
        <is>
          <t>Yes</t>
        </is>
      </c>
      <c r="AT252">
        <f>HYPERLINK("http://catalog.hathitrust.org/Record/001574519","HathiTrust Record")</f>
        <v/>
      </c>
      <c r="AU252">
        <f>HYPERLINK("https://creighton-primo.hosted.exlibrisgroup.com/primo-explore/search?tab=default_tab&amp;search_scope=EVERYTHING&amp;vid=01CRU&amp;lang=en_US&amp;offset=0&amp;query=any,contains,991001367709702656","Catalog Record")</f>
        <v/>
      </c>
      <c r="AV252">
        <f>HYPERLINK("http://www.worldcat.org/oclc/38556","WorldCat Record")</f>
        <v/>
      </c>
      <c r="AW252" t="inlineStr">
        <is>
          <t>1207593:eng</t>
        </is>
      </c>
      <c r="AX252" t="inlineStr">
        <is>
          <t>38556</t>
        </is>
      </c>
      <c r="AY252" t="inlineStr">
        <is>
          <t>991001367709702656</t>
        </is>
      </c>
      <c r="AZ252" t="inlineStr">
        <is>
          <t>991001367709702656</t>
        </is>
      </c>
      <c r="BA252" t="inlineStr">
        <is>
          <t>2257782020002656</t>
        </is>
      </c>
      <c r="BB252" t="inlineStr">
        <is>
          <t>BOOK</t>
        </is>
      </c>
      <c r="BE252" t="inlineStr">
        <is>
          <t>30001000461345</t>
        </is>
      </c>
      <c r="BF252" t="inlineStr">
        <is>
          <t>893546631</t>
        </is>
      </c>
    </row>
    <row r="253">
      <c r="A253" t="inlineStr">
        <is>
          <t>No</t>
        </is>
      </c>
      <c r="B253" t="inlineStr">
        <is>
          <t>CUHSL</t>
        </is>
      </c>
      <c r="C253" t="inlineStr">
        <is>
          <t>SHELVES</t>
        </is>
      </c>
      <c r="D253" t="inlineStr">
        <is>
          <t>WY 18 D489 1974</t>
        </is>
      </c>
      <c r="E253" t="inlineStr">
        <is>
          <t>0                      WY 0018000D  489         1974</t>
        </is>
      </c>
      <c r="F253" t="inlineStr">
        <is>
          <t>Developing nursing programs in institutions of higher education, 1974 : papers presented at the conference jointly sponsored by the Department of Associate Degree Programs and the Department of Baccalaureate and Higher Degree Programs, New York, New York, April 29-30, 1974.</t>
        </is>
      </c>
      <c r="H253" t="inlineStr">
        <is>
          <t>No</t>
        </is>
      </c>
      <c r="I253" t="inlineStr">
        <is>
          <t>1</t>
        </is>
      </c>
      <c r="J253" t="inlineStr">
        <is>
          <t>No</t>
        </is>
      </c>
      <c r="K253" t="inlineStr">
        <is>
          <t>No</t>
        </is>
      </c>
      <c r="L253" t="inlineStr">
        <is>
          <t>0</t>
        </is>
      </c>
      <c r="N253" t="inlineStr">
        <is>
          <t>New York : National League For Nursing, [1974]</t>
        </is>
      </c>
      <c r="O253" t="inlineStr">
        <is>
          <t>1974</t>
        </is>
      </c>
      <c r="Q253" t="inlineStr">
        <is>
          <t>eng</t>
        </is>
      </c>
      <c r="R253" t="inlineStr">
        <is>
          <t>nyu</t>
        </is>
      </c>
      <c r="S253" t="inlineStr">
        <is>
          <t>NLN pub. no. 14-1533</t>
        </is>
      </c>
      <c r="T253" t="inlineStr">
        <is>
          <t xml:space="preserve">WY </t>
        </is>
      </c>
      <c r="U253" t="n">
        <v>2</v>
      </c>
      <c r="V253" t="n">
        <v>2</v>
      </c>
      <c r="W253" t="inlineStr">
        <is>
          <t>1990-04-27</t>
        </is>
      </c>
      <c r="X253" t="inlineStr">
        <is>
          <t>1990-04-27</t>
        </is>
      </c>
      <c r="Y253" t="inlineStr">
        <is>
          <t>1987-10-14</t>
        </is>
      </c>
      <c r="Z253" t="inlineStr">
        <is>
          <t>1987-10-14</t>
        </is>
      </c>
      <c r="AA253" t="n">
        <v>71</v>
      </c>
      <c r="AB253" t="n">
        <v>61</v>
      </c>
      <c r="AC253" t="n">
        <v>89</v>
      </c>
      <c r="AD253" t="n">
        <v>1</v>
      </c>
      <c r="AE253" t="n">
        <v>2</v>
      </c>
      <c r="AF253" t="n">
        <v>2</v>
      </c>
      <c r="AG253" t="n">
        <v>2</v>
      </c>
      <c r="AH253" t="n">
        <v>0</v>
      </c>
      <c r="AI253" t="n">
        <v>0</v>
      </c>
      <c r="AJ253" t="n">
        <v>0</v>
      </c>
      <c r="AK253" t="n">
        <v>0</v>
      </c>
      <c r="AL253" t="n">
        <v>2</v>
      </c>
      <c r="AM253" t="n">
        <v>2</v>
      </c>
      <c r="AN253" t="n">
        <v>0</v>
      </c>
      <c r="AO253" t="n">
        <v>0</v>
      </c>
      <c r="AP253" t="n">
        <v>0</v>
      </c>
      <c r="AQ253" t="n">
        <v>0</v>
      </c>
      <c r="AR253" t="inlineStr">
        <is>
          <t>No</t>
        </is>
      </c>
      <c r="AS253" t="inlineStr">
        <is>
          <t>Yes</t>
        </is>
      </c>
      <c r="AT253">
        <f>HYPERLINK("http://catalog.hathitrust.org/Record/001550601","HathiTrust Record")</f>
        <v/>
      </c>
      <c r="AU253">
        <f>HYPERLINK("https://creighton-primo.hosted.exlibrisgroup.com/primo-explore/search?tab=default_tab&amp;search_scope=EVERYTHING&amp;vid=01CRU&amp;lang=en_US&amp;offset=0&amp;query=any,contains,991001363199702656","Catalog Record")</f>
        <v/>
      </c>
      <c r="AV253">
        <f>HYPERLINK("http://www.worldcat.org/oclc/3241391","WorldCat Record")</f>
        <v/>
      </c>
      <c r="AW253" t="inlineStr">
        <is>
          <t>9521811:eng</t>
        </is>
      </c>
      <c r="AX253" t="inlineStr">
        <is>
          <t>3241391</t>
        </is>
      </c>
      <c r="AY253" t="inlineStr">
        <is>
          <t>991001363199702656</t>
        </is>
      </c>
      <c r="AZ253" t="inlineStr">
        <is>
          <t>991001363199702656</t>
        </is>
      </c>
      <c r="BA253" t="inlineStr">
        <is>
          <t>2269811420002656</t>
        </is>
      </c>
      <c r="BB253" t="inlineStr">
        <is>
          <t>BOOK</t>
        </is>
      </c>
      <c r="BE253" t="inlineStr">
        <is>
          <t>30001000461022</t>
        </is>
      </c>
      <c r="BF253" t="inlineStr">
        <is>
          <t>893643527</t>
        </is>
      </c>
    </row>
    <row r="254">
      <c r="A254" t="inlineStr">
        <is>
          <t>No</t>
        </is>
      </c>
      <c r="B254" t="inlineStr">
        <is>
          <t>CUHSL</t>
        </is>
      </c>
      <c r="C254" t="inlineStr">
        <is>
          <t>SHELVES</t>
        </is>
      </c>
      <c r="D254" t="inlineStr">
        <is>
          <t>WY 18 D547b 1973</t>
        </is>
      </c>
      <c r="E254" t="inlineStr">
        <is>
          <t>0                      WY 0018000D  547b        1973</t>
        </is>
      </c>
      <c r="F254" t="inlineStr">
        <is>
          <t>Bowel elimination : study guide and workbook / programmed by Doretta Dick.</t>
        </is>
      </c>
      <c r="H254" t="inlineStr">
        <is>
          <t>No</t>
        </is>
      </c>
      <c r="I254" t="inlineStr">
        <is>
          <t>1</t>
        </is>
      </c>
      <c r="J254" t="inlineStr">
        <is>
          <t>No</t>
        </is>
      </c>
      <c r="K254" t="inlineStr">
        <is>
          <t>No</t>
        </is>
      </c>
      <c r="L254" t="inlineStr">
        <is>
          <t>0</t>
        </is>
      </c>
      <c r="M254" t="inlineStr">
        <is>
          <t>Dick, Doretta.</t>
        </is>
      </c>
      <c r="O254" t="inlineStr">
        <is>
          <t>1973</t>
        </is>
      </c>
      <c r="Q254" t="inlineStr">
        <is>
          <t>eng</t>
        </is>
      </c>
      <c r="R254" t="inlineStr">
        <is>
          <t>pau</t>
        </is>
      </c>
      <c r="S254" t="inlineStr">
        <is>
          <t>A Lippincott learning system.</t>
        </is>
      </c>
      <c r="T254" t="inlineStr">
        <is>
          <t xml:space="preserve">WY </t>
        </is>
      </c>
      <c r="U254" t="n">
        <v>1</v>
      </c>
      <c r="V254" t="n">
        <v>1</v>
      </c>
      <c r="W254" t="inlineStr">
        <is>
          <t>1989-11-11</t>
        </is>
      </c>
      <c r="X254" t="inlineStr">
        <is>
          <t>1989-11-11</t>
        </is>
      </c>
      <c r="Y254" t="inlineStr">
        <is>
          <t>1987-12-28</t>
        </is>
      </c>
      <c r="Z254" t="inlineStr">
        <is>
          <t>1987-12-28</t>
        </is>
      </c>
      <c r="AA254" t="n">
        <v>3</v>
      </c>
      <c r="AB254" t="n">
        <v>3</v>
      </c>
      <c r="AC254" t="n">
        <v>4</v>
      </c>
      <c r="AD254" t="n">
        <v>1</v>
      </c>
      <c r="AE254" t="n">
        <v>1</v>
      </c>
      <c r="AF254" t="n">
        <v>1</v>
      </c>
      <c r="AG254" t="n">
        <v>1</v>
      </c>
      <c r="AH254" t="n">
        <v>0</v>
      </c>
      <c r="AI254" t="n">
        <v>0</v>
      </c>
      <c r="AJ254" t="n">
        <v>0</v>
      </c>
      <c r="AK254" t="n">
        <v>0</v>
      </c>
      <c r="AL254" t="n">
        <v>1</v>
      </c>
      <c r="AM254" t="n">
        <v>1</v>
      </c>
      <c r="AN254" t="n">
        <v>0</v>
      </c>
      <c r="AO254" t="n">
        <v>0</v>
      </c>
      <c r="AP254" t="n">
        <v>0</v>
      </c>
      <c r="AQ254" t="n">
        <v>0</v>
      </c>
      <c r="AR254" t="inlineStr">
        <is>
          <t>No</t>
        </is>
      </c>
      <c r="AS254" t="inlineStr">
        <is>
          <t>No</t>
        </is>
      </c>
      <c r="AU254">
        <f>HYPERLINK("https://creighton-primo.hosted.exlibrisgroup.com/primo-explore/search?tab=default_tab&amp;search_scope=EVERYTHING&amp;vid=01CRU&amp;lang=en_US&amp;offset=0&amp;query=any,contains,991001040239702656","Catalog Record")</f>
        <v/>
      </c>
      <c r="AV254">
        <f>HYPERLINK("http://www.worldcat.org/oclc/4851396","WorldCat Record")</f>
        <v/>
      </c>
      <c r="AW254" t="inlineStr">
        <is>
          <t>906789602:eng</t>
        </is>
      </c>
      <c r="AX254" t="inlineStr">
        <is>
          <t>4851396</t>
        </is>
      </c>
      <c r="AY254" t="inlineStr">
        <is>
          <t>991001040239702656</t>
        </is>
      </c>
      <c r="AZ254" t="inlineStr">
        <is>
          <t>991001040239702656</t>
        </is>
      </c>
      <c r="BA254" t="inlineStr">
        <is>
          <t>2272041780002656</t>
        </is>
      </c>
      <c r="BB254" t="inlineStr">
        <is>
          <t>BOOK</t>
        </is>
      </c>
      <c r="BE254" t="inlineStr">
        <is>
          <t>30001000242075</t>
        </is>
      </c>
      <c r="BF254" t="inlineStr">
        <is>
          <t>893134207</t>
        </is>
      </c>
    </row>
    <row r="255">
      <c r="A255" t="inlineStr">
        <is>
          <t>No</t>
        </is>
      </c>
      <c r="B255" t="inlineStr">
        <is>
          <t>CUHSL</t>
        </is>
      </c>
      <c r="C255" t="inlineStr">
        <is>
          <t>SHELVES</t>
        </is>
      </c>
      <c r="D255" t="inlineStr">
        <is>
          <t>WY 18 D547bm 1973</t>
        </is>
      </c>
      <c r="E255" t="inlineStr">
        <is>
          <t>0                      WY 0018000D  547bm       1973</t>
        </is>
      </c>
      <c r="F255" t="inlineStr">
        <is>
          <t>Body mechanics : study guide and workbook / programmed by Doretta Dick.</t>
        </is>
      </c>
      <c r="H255" t="inlineStr">
        <is>
          <t>No</t>
        </is>
      </c>
      <c r="I255" t="inlineStr">
        <is>
          <t>1</t>
        </is>
      </c>
      <c r="J255" t="inlineStr">
        <is>
          <t>No</t>
        </is>
      </c>
      <c r="K255" t="inlineStr">
        <is>
          <t>No</t>
        </is>
      </c>
      <c r="L255" t="inlineStr">
        <is>
          <t>0</t>
        </is>
      </c>
      <c r="M255" t="inlineStr">
        <is>
          <t>Dick, Doretta.</t>
        </is>
      </c>
      <c r="N255" t="inlineStr">
        <is>
          <t>Philadelphia : Lippincott, c1973.</t>
        </is>
      </c>
      <c r="O255" t="inlineStr">
        <is>
          <t>1973</t>
        </is>
      </c>
      <c r="Q255" t="inlineStr">
        <is>
          <t>eng</t>
        </is>
      </c>
      <c r="R255" t="inlineStr">
        <is>
          <t>pau</t>
        </is>
      </c>
      <c r="S255" t="inlineStr">
        <is>
          <t>A Lippincott learning system</t>
        </is>
      </c>
      <c r="T255" t="inlineStr">
        <is>
          <t xml:space="preserve">WY </t>
        </is>
      </c>
      <c r="U255" t="n">
        <v>4</v>
      </c>
      <c r="V255" t="n">
        <v>4</v>
      </c>
      <c r="W255" t="inlineStr">
        <is>
          <t>1996-04-15</t>
        </is>
      </c>
      <c r="X255" t="inlineStr">
        <is>
          <t>1996-04-15</t>
        </is>
      </c>
      <c r="Y255" t="inlineStr">
        <is>
          <t>1989-03-16</t>
        </is>
      </c>
      <c r="Z255" t="inlineStr">
        <is>
          <t>1989-03-16</t>
        </is>
      </c>
      <c r="AA255" t="n">
        <v>5</v>
      </c>
      <c r="AB255" t="n">
        <v>5</v>
      </c>
      <c r="AC255" t="n">
        <v>5</v>
      </c>
      <c r="AD255" t="n">
        <v>1</v>
      </c>
      <c r="AE255" t="n">
        <v>1</v>
      </c>
      <c r="AF255" t="n">
        <v>1</v>
      </c>
      <c r="AG255" t="n">
        <v>1</v>
      </c>
      <c r="AH255" t="n">
        <v>0</v>
      </c>
      <c r="AI255" t="n">
        <v>0</v>
      </c>
      <c r="AJ255" t="n">
        <v>0</v>
      </c>
      <c r="AK255" t="n">
        <v>0</v>
      </c>
      <c r="AL255" t="n">
        <v>1</v>
      </c>
      <c r="AM255" t="n">
        <v>1</v>
      </c>
      <c r="AN255" t="n">
        <v>0</v>
      </c>
      <c r="AO255" t="n">
        <v>0</v>
      </c>
      <c r="AP255" t="n">
        <v>0</v>
      </c>
      <c r="AQ255" t="n">
        <v>0</v>
      </c>
      <c r="AR255" t="inlineStr">
        <is>
          <t>No</t>
        </is>
      </c>
      <c r="AS255" t="inlineStr">
        <is>
          <t>No</t>
        </is>
      </c>
      <c r="AU255">
        <f>HYPERLINK("https://creighton-primo.hosted.exlibrisgroup.com/primo-explore/search?tab=default_tab&amp;search_scope=EVERYTHING&amp;vid=01CRU&amp;lang=en_US&amp;offset=0&amp;query=any,contains,991001041269702656","Catalog Record")</f>
        <v/>
      </c>
      <c r="AV255">
        <f>HYPERLINK("http://www.worldcat.org/oclc/4851386","WorldCat Record")</f>
        <v/>
      </c>
      <c r="AW255" t="inlineStr">
        <is>
          <t>14967790:eng</t>
        </is>
      </c>
      <c r="AX255" t="inlineStr">
        <is>
          <t>4851386</t>
        </is>
      </c>
      <c r="AY255" t="inlineStr">
        <is>
          <t>991001041269702656</t>
        </is>
      </c>
      <c r="AZ255" t="inlineStr">
        <is>
          <t>991001041269702656</t>
        </is>
      </c>
      <c r="BA255" t="inlineStr">
        <is>
          <t>2272041520002656</t>
        </is>
      </c>
      <c r="BB255" t="inlineStr">
        <is>
          <t>BOOK</t>
        </is>
      </c>
      <c r="BE255" t="inlineStr">
        <is>
          <t>30001000242430</t>
        </is>
      </c>
      <c r="BF255" t="inlineStr">
        <is>
          <t>893826411</t>
        </is>
      </c>
    </row>
    <row r="256">
      <c r="A256" t="inlineStr">
        <is>
          <t>No</t>
        </is>
      </c>
      <c r="B256" t="inlineStr">
        <is>
          <t>CUHSL</t>
        </is>
      </c>
      <c r="C256" t="inlineStr">
        <is>
          <t>SHELVES</t>
        </is>
      </c>
      <c r="D256" t="inlineStr">
        <is>
          <t>WY 18 D596 1990-91</t>
        </is>
      </c>
      <c r="E256" t="inlineStr">
        <is>
          <t>0                      WY 0018000D  596         1990                                        -91</t>
        </is>
      </c>
      <c r="F256" t="inlineStr">
        <is>
          <t>Diploma programs in nursing accredited by the NLN, 1990-91.</t>
        </is>
      </c>
      <c r="H256" t="inlineStr">
        <is>
          <t>No</t>
        </is>
      </c>
      <c r="I256" t="inlineStr">
        <is>
          <t>1</t>
        </is>
      </c>
      <c r="J256" t="inlineStr">
        <is>
          <t>No</t>
        </is>
      </c>
      <c r="K256" t="inlineStr">
        <is>
          <t>No</t>
        </is>
      </c>
      <c r="L256" t="inlineStr">
        <is>
          <t>0</t>
        </is>
      </c>
      <c r="N256" t="inlineStr">
        <is>
          <t>New York : National League for Nursing, c1990.</t>
        </is>
      </c>
      <c r="O256" t="inlineStr">
        <is>
          <t>1990</t>
        </is>
      </c>
      <c r="Q256" t="inlineStr">
        <is>
          <t>eng</t>
        </is>
      </c>
      <c r="R256" t="inlineStr">
        <is>
          <t xml:space="preserve">xx </t>
        </is>
      </c>
      <c r="S256" t="inlineStr">
        <is>
          <t>NLN pub. no. 16-1542.</t>
        </is>
      </c>
      <c r="T256" t="inlineStr">
        <is>
          <t xml:space="preserve">WY </t>
        </is>
      </c>
      <c r="U256" t="n">
        <v>1</v>
      </c>
      <c r="V256" t="n">
        <v>1</v>
      </c>
      <c r="W256" t="inlineStr">
        <is>
          <t>1991-03-20</t>
        </is>
      </c>
      <c r="X256" t="inlineStr">
        <is>
          <t>1991-03-20</t>
        </is>
      </c>
      <c r="Y256" t="inlineStr">
        <is>
          <t>1991-03-20</t>
        </is>
      </c>
      <c r="Z256" t="inlineStr">
        <is>
          <t>1991-03-20</t>
        </is>
      </c>
      <c r="AA256" t="n">
        <v>3</v>
      </c>
      <c r="AB256" t="n">
        <v>2</v>
      </c>
      <c r="AC256" t="n">
        <v>2</v>
      </c>
      <c r="AD256" t="n">
        <v>1</v>
      </c>
      <c r="AE256" t="n">
        <v>1</v>
      </c>
      <c r="AF256" t="n">
        <v>0</v>
      </c>
      <c r="AG256" t="n">
        <v>0</v>
      </c>
      <c r="AH256" t="n">
        <v>0</v>
      </c>
      <c r="AI256" t="n">
        <v>0</v>
      </c>
      <c r="AJ256" t="n">
        <v>0</v>
      </c>
      <c r="AK256" t="n">
        <v>0</v>
      </c>
      <c r="AL256" t="n">
        <v>0</v>
      </c>
      <c r="AM256" t="n">
        <v>0</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HYPERLINK("https://creighton-primo.hosted.exlibrisgroup.com/primo-explore/search?tab=default_tab&amp;search_scope=EVERYTHING&amp;vid=01CRU&amp;lang=en_US&amp;offset=0&amp;query=any,contains,991000822499702656","Catalog Record")</f>
        <v/>
      </c>
      <c r="AV256">
        <f>HYPERLINK("http://www.worldcat.org/oclc/23812695","WorldCat Record")</f>
        <v/>
      </c>
      <c r="AW256" t="inlineStr">
        <is>
          <t>24999002:eng</t>
        </is>
      </c>
      <c r="AX256" t="inlineStr">
        <is>
          <t>23812695</t>
        </is>
      </c>
      <c r="AY256" t="inlineStr">
        <is>
          <t>991000822499702656</t>
        </is>
      </c>
      <c r="AZ256" t="inlineStr">
        <is>
          <t>991000822499702656</t>
        </is>
      </c>
      <c r="BA256" t="inlineStr">
        <is>
          <t>2266954880002656</t>
        </is>
      </c>
      <c r="BB256" t="inlineStr">
        <is>
          <t>BOOK</t>
        </is>
      </c>
      <c r="BE256" t="inlineStr">
        <is>
          <t>30001002087775</t>
        </is>
      </c>
      <c r="BF256" t="inlineStr">
        <is>
          <t>893557292</t>
        </is>
      </c>
    </row>
    <row r="257">
      <c r="A257" t="inlineStr">
        <is>
          <t>No</t>
        </is>
      </c>
      <c r="B257" t="inlineStr">
        <is>
          <t>CUHSL</t>
        </is>
      </c>
      <c r="C257" t="inlineStr">
        <is>
          <t>SHELVES</t>
        </is>
      </c>
      <c r="D257" t="inlineStr">
        <is>
          <t>WY 18 D614 1977</t>
        </is>
      </c>
      <c r="E257" t="inlineStr">
        <is>
          <t>0                      WY 0018000D  614         1977</t>
        </is>
      </c>
      <c r="F257" t="inlineStr">
        <is>
          <t>Distortions in body image in illness and disability / consultant, Marie Scott Brown.</t>
        </is>
      </c>
      <c r="H257" t="inlineStr">
        <is>
          <t>No</t>
        </is>
      </c>
      <c r="I257" t="inlineStr">
        <is>
          <t>1</t>
        </is>
      </c>
      <c r="J257" t="inlineStr">
        <is>
          <t>No</t>
        </is>
      </c>
      <c r="K257" t="inlineStr">
        <is>
          <t>No</t>
        </is>
      </c>
      <c r="L257" t="inlineStr">
        <is>
          <t>0</t>
        </is>
      </c>
      <c r="N257" t="inlineStr">
        <is>
          <t>-- New York : Wiley, c1977.</t>
        </is>
      </c>
      <c r="O257" t="inlineStr">
        <is>
          <t>1977</t>
        </is>
      </c>
      <c r="Q257" t="inlineStr">
        <is>
          <t>eng</t>
        </is>
      </c>
      <c r="R257" t="inlineStr">
        <is>
          <t>nyu</t>
        </is>
      </c>
      <c r="S257" t="inlineStr">
        <is>
          <t>A Wiley medical publication</t>
        </is>
      </c>
      <c r="T257" t="inlineStr">
        <is>
          <t xml:space="preserve">WY </t>
        </is>
      </c>
      <c r="U257" t="n">
        <v>1</v>
      </c>
      <c r="V257" t="n">
        <v>1</v>
      </c>
      <c r="W257" t="inlineStr">
        <is>
          <t>2001-11-25</t>
        </is>
      </c>
      <c r="X257" t="inlineStr">
        <is>
          <t>2001-11-25</t>
        </is>
      </c>
      <c r="Y257" t="inlineStr">
        <is>
          <t>1987-12-28</t>
        </is>
      </c>
      <c r="Z257" t="inlineStr">
        <is>
          <t>1987-12-28</t>
        </is>
      </c>
      <c r="AA257" t="n">
        <v>162</v>
      </c>
      <c r="AB257" t="n">
        <v>116</v>
      </c>
      <c r="AC257" t="n">
        <v>118</v>
      </c>
      <c r="AD257" t="n">
        <v>3</v>
      </c>
      <c r="AE257" t="n">
        <v>3</v>
      </c>
      <c r="AF257" t="n">
        <v>5</v>
      </c>
      <c r="AG257" t="n">
        <v>5</v>
      </c>
      <c r="AH257" t="n">
        <v>0</v>
      </c>
      <c r="AI257" t="n">
        <v>0</v>
      </c>
      <c r="AJ257" t="n">
        <v>1</v>
      </c>
      <c r="AK257" t="n">
        <v>1</v>
      </c>
      <c r="AL257" t="n">
        <v>2</v>
      </c>
      <c r="AM257" t="n">
        <v>2</v>
      </c>
      <c r="AN257" t="n">
        <v>2</v>
      </c>
      <c r="AO257" t="n">
        <v>2</v>
      </c>
      <c r="AP257" t="n">
        <v>0</v>
      </c>
      <c r="AQ257" t="n">
        <v>0</v>
      </c>
      <c r="AR257" t="inlineStr">
        <is>
          <t>No</t>
        </is>
      </c>
      <c r="AS257" t="inlineStr">
        <is>
          <t>Yes</t>
        </is>
      </c>
      <c r="AT257">
        <f>HYPERLINK("http://catalog.hathitrust.org/Record/000738522","HathiTrust Record")</f>
        <v/>
      </c>
      <c r="AU257">
        <f>HYPERLINK("https://creighton-primo.hosted.exlibrisgroup.com/primo-explore/search?tab=default_tab&amp;search_scope=EVERYTHING&amp;vid=01CRU&amp;lang=en_US&amp;offset=0&amp;query=any,contains,991001037839702656","Catalog Record")</f>
        <v/>
      </c>
      <c r="AV257">
        <f>HYPERLINK("http://www.worldcat.org/oclc/2911222","WorldCat Record")</f>
        <v/>
      </c>
      <c r="AW257" t="inlineStr">
        <is>
          <t>355376022:eng</t>
        </is>
      </c>
      <c r="AX257" t="inlineStr">
        <is>
          <t>2911222</t>
        </is>
      </c>
      <c r="AY257" t="inlineStr">
        <is>
          <t>991001037839702656</t>
        </is>
      </c>
      <c r="AZ257" t="inlineStr">
        <is>
          <t>991001037839702656</t>
        </is>
      </c>
      <c r="BA257" t="inlineStr">
        <is>
          <t>2266253680002656</t>
        </is>
      </c>
      <c r="BB257" t="inlineStr">
        <is>
          <t>BOOK</t>
        </is>
      </c>
      <c r="BD257" t="inlineStr">
        <is>
          <t>9780471021698</t>
        </is>
      </c>
      <c r="BE257" t="inlineStr">
        <is>
          <t>30001000241135</t>
        </is>
      </c>
      <c r="BF257" t="inlineStr">
        <is>
          <t>893268007</t>
        </is>
      </c>
    </row>
    <row r="258">
      <c r="A258" t="inlineStr">
        <is>
          <t>No</t>
        </is>
      </c>
      <c r="B258" t="inlineStr">
        <is>
          <t>CUHSL</t>
        </is>
      </c>
      <c r="C258" t="inlineStr">
        <is>
          <t>SHELVES</t>
        </is>
      </c>
      <c r="D258" t="inlineStr">
        <is>
          <t>WY 18 D636n 1982</t>
        </is>
      </c>
      <c r="E258" t="inlineStr">
        <is>
          <t>0                      WY 0018000D  636n        1982</t>
        </is>
      </c>
      <c r="F258" t="inlineStr">
        <is>
          <t>Nursing decisions : experiences in clinical problem solving / developed by the Docent Corporation, Pleasantville, New York.</t>
        </is>
      </c>
      <c r="G258" t="inlineStr">
        <is>
          <t>V. 1</t>
        </is>
      </c>
      <c r="H258" t="inlineStr">
        <is>
          <t>Yes</t>
        </is>
      </c>
      <c r="I258" t="inlineStr">
        <is>
          <t>1</t>
        </is>
      </c>
      <c r="J258" t="inlineStr">
        <is>
          <t>No</t>
        </is>
      </c>
      <c r="K258" t="inlineStr">
        <is>
          <t>No</t>
        </is>
      </c>
      <c r="L258" t="inlineStr">
        <is>
          <t>0</t>
        </is>
      </c>
      <c r="M258" t="inlineStr">
        <is>
          <t>Docent Corporation.</t>
        </is>
      </c>
      <c r="N258" t="inlineStr">
        <is>
          <t>Philadelphia : Lippincott, c1982.</t>
        </is>
      </c>
      <c r="O258" t="inlineStr">
        <is>
          <t>1982</t>
        </is>
      </c>
      <c r="Q258" t="inlineStr">
        <is>
          <t>eng</t>
        </is>
      </c>
      <c r="R258" t="inlineStr">
        <is>
          <t>xxu</t>
        </is>
      </c>
      <c r="T258" t="inlineStr">
        <is>
          <t xml:space="preserve">WY </t>
        </is>
      </c>
      <c r="U258" t="n">
        <v>2</v>
      </c>
      <c r="V258" t="n">
        <v>5</v>
      </c>
      <c r="W258" t="inlineStr">
        <is>
          <t>1991-06-19</t>
        </is>
      </c>
      <c r="X258" t="inlineStr">
        <is>
          <t>1991-06-19</t>
        </is>
      </c>
      <c r="Y258" t="inlineStr">
        <is>
          <t>1987-12-28</t>
        </is>
      </c>
      <c r="Z258" t="inlineStr">
        <is>
          <t>1987-12-28</t>
        </is>
      </c>
      <c r="AA258" t="n">
        <v>52</v>
      </c>
      <c r="AB258" t="n">
        <v>40</v>
      </c>
      <c r="AC258" t="n">
        <v>40</v>
      </c>
      <c r="AD258" t="n">
        <v>1</v>
      </c>
      <c r="AE258" t="n">
        <v>1</v>
      </c>
      <c r="AF258" t="n">
        <v>0</v>
      </c>
      <c r="AG258" t="n">
        <v>0</v>
      </c>
      <c r="AH258" t="n">
        <v>0</v>
      </c>
      <c r="AI258" t="n">
        <v>0</v>
      </c>
      <c r="AJ258" t="n">
        <v>0</v>
      </c>
      <c r="AK258" t="n">
        <v>0</v>
      </c>
      <c r="AL258" t="n">
        <v>0</v>
      </c>
      <c r="AM258" t="n">
        <v>0</v>
      </c>
      <c r="AN258" t="n">
        <v>0</v>
      </c>
      <c r="AO258" t="n">
        <v>0</v>
      </c>
      <c r="AP258" t="n">
        <v>0</v>
      </c>
      <c r="AQ258" t="n">
        <v>0</v>
      </c>
      <c r="AR258" t="inlineStr">
        <is>
          <t>No</t>
        </is>
      </c>
      <c r="AS258" t="inlineStr">
        <is>
          <t>No</t>
        </is>
      </c>
      <c r="AU258">
        <f>HYPERLINK("https://creighton-primo.hosted.exlibrisgroup.com/primo-explore/search?tab=default_tab&amp;search_scope=EVERYTHING&amp;vid=01CRU&amp;lang=en_US&amp;offset=0&amp;query=any,contains,991001037929702656","Catalog Record")</f>
        <v/>
      </c>
      <c r="AV258">
        <f>HYPERLINK("http://www.worldcat.org/oclc/7740463","WorldCat Record")</f>
        <v/>
      </c>
      <c r="AW258" t="inlineStr">
        <is>
          <t>471027:eng</t>
        </is>
      </c>
      <c r="AX258" t="inlineStr">
        <is>
          <t>7740463</t>
        </is>
      </c>
      <c r="AY258" t="inlineStr">
        <is>
          <t>991001037929702656</t>
        </is>
      </c>
      <c r="AZ258" t="inlineStr">
        <is>
          <t>991001037929702656</t>
        </is>
      </c>
      <c r="BA258" t="inlineStr">
        <is>
          <t>2264236880002656</t>
        </is>
      </c>
      <c r="BB258" t="inlineStr">
        <is>
          <t>BOOK</t>
        </is>
      </c>
      <c r="BD258" t="inlineStr">
        <is>
          <t>9780397542772</t>
        </is>
      </c>
      <c r="BE258" t="inlineStr">
        <is>
          <t>30001000241150</t>
        </is>
      </c>
      <c r="BF258" t="inlineStr">
        <is>
          <t>893363680</t>
        </is>
      </c>
    </row>
    <row r="259">
      <c r="A259" t="inlineStr">
        <is>
          <t>No</t>
        </is>
      </c>
      <c r="B259" t="inlineStr">
        <is>
          <t>CUHSL</t>
        </is>
      </c>
      <c r="C259" t="inlineStr">
        <is>
          <t>SHELVES</t>
        </is>
      </c>
      <c r="D259" t="inlineStr">
        <is>
          <t>WY 18 D636n 1982</t>
        </is>
      </c>
      <c r="E259" t="inlineStr">
        <is>
          <t>0                      WY 0018000D  636n        1982</t>
        </is>
      </c>
      <c r="F259" t="inlineStr">
        <is>
          <t>Nursing decisions : experiences in clinical problem solving / developed by the Docent Corporation, Pleasantville, New York.</t>
        </is>
      </c>
      <c r="G259" t="inlineStr">
        <is>
          <t>V. 2</t>
        </is>
      </c>
      <c r="H259" t="inlineStr">
        <is>
          <t>Yes</t>
        </is>
      </c>
      <c r="I259" t="inlineStr">
        <is>
          <t>1</t>
        </is>
      </c>
      <c r="J259" t="inlineStr">
        <is>
          <t>No</t>
        </is>
      </c>
      <c r="K259" t="inlineStr">
        <is>
          <t>No</t>
        </is>
      </c>
      <c r="L259" t="inlineStr">
        <is>
          <t>0</t>
        </is>
      </c>
      <c r="M259" t="inlineStr">
        <is>
          <t>Docent Corporation.</t>
        </is>
      </c>
      <c r="N259" t="inlineStr">
        <is>
          <t>Philadelphia : Lippincott, c1982.</t>
        </is>
      </c>
      <c r="O259" t="inlineStr">
        <is>
          <t>1982</t>
        </is>
      </c>
      <c r="Q259" t="inlineStr">
        <is>
          <t>eng</t>
        </is>
      </c>
      <c r="R259" t="inlineStr">
        <is>
          <t>xxu</t>
        </is>
      </c>
      <c r="T259" t="inlineStr">
        <is>
          <t xml:space="preserve">WY </t>
        </is>
      </c>
      <c r="U259" t="n">
        <v>2</v>
      </c>
      <c r="V259" t="n">
        <v>5</v>
      </c>
      <c r="X259" t="inlineStr">
        <is>
          <t>1991-06-19</t>
        </is>
      </c>
      <c r="Y259" t="inlineStr">
        <is>
          <t>1987-12-28</t>
        </is>
      </c>
      <c r="Z259" t="inlineStr">
        <is>
          <t>1987-12-28</t>
        </is>
      </c>
      <c r="AA259" t="n">
        <v>52</v>
      </c>
      <c r="AB259" t="n">
        <v>40</v>
      </c>
      <c r="AC259" t="n">
        <v>40</v>
      </c>
      <c r="AD259" t="n">
        <v>1</v>
      </c>
      <c r="AE259" t="n">
        <v>1</v>
      </c>
      <c r="AF259" t="n">
        <v>0</v>
      </c>
      <c r="AG259" t="n">
        <v>0</v>
      </c>
      <c r="AH259" t="n">
        <v>0</v>
      </c>
      <c r="AI259" t="n">
        <v>0</v>
      </c>
      <c r="AJ259" t="n">
        <v>0</v>
      </c>
      <c r="AK259" t="n">
        <v>0</v>
      </c>
      <c r="AL259" t="n">
        <v>0</v>
      </c>
      <c r="AM259" t="n">
        <v>0</v>
      </c>
      <c r="AN259" t="n">
        <v>0</v>
      </c>
      <c r="AO259" t="n">
        <v>0</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HYPERLINK("https://creighton-primo.hosted.exlibrisgroup.com/primo-explore/search?tab=default_tab&amp;search_scope=EVERYTHING&amp;vid=01CRU&amp;lang=en_US&amp;offset=0&amp;query=any,contains,991001037929702656","Catalog Record")</f>
        <v/>
      </c>
      <c r="AV259">
        <f>HYPERLINK("http://www.worldcat.org/oclc/7740463","WorldCat Record")</f>
        <v/>
      </c>
      <c r="AW259" t="inlineStr">
        <is>
          <t>471027:eng</t>
        </is>
      </c>
      <c r="AX259" t="inlineStr">
        <is>
          <t>7740463</t>
        </is>
      </c>
      <c r="AY259" t="inlineStr">
        <is>
          <t>991001037929702656</t>
        </is>
      </c>
      <c r="AZ259" t="inlineStr">
        <is>
          <t>991001037929702656</t>
        </is>
      </c>
      <c r="BA259" t="inlineStr">
        <is>
          <t>2264236880002656</t>
        </is>
      </c>
      <c r="BB259" t="inlineStr">
        <is>
          <t>BOOK</t>
        </is>
      </c>
      <c r="BD259" t="inlineStr">
        <is>
          <t>9780397542772</t>
        </is>
      </c>
      <c r="BE259" t="inlineStr">
        <is>
          <t>30001000241168</t>
        </is>
      </c>
      <c r="BF259" t="inlineStr">
        <is>
          <t>893358155</t>
        </is>
      </c>
    </row>
    <row r="260">
      <c r="A260" t="inlineStr">
        <is>
          <t>No</t>
        </is>
      </c>
      <c r="B260" t="inlineStr">
        <is>
          <t>CUHSL</t>
        </is>
      </c>
      <c r="C260" t="inlineStr">
        <is>
          <t>SHELVES</t>
        </is>
      </c>
      <c r="D260" t="inlineStr">
        <is>
          <t>WY 18 D636n 1982</t>
        </is>
      </c>
      <c r="E260" t="inlineStr">
        <is>
          <t>0                      WY 0018000D  636n        1982</t>
        </is>
      </c>
      <c r="F260" t="inlineStr">
        <is>
          <t>Nursing decisions : experiences in clinical problem solving / developed by the Docent Corporation, Pleasantville, New York.</t>
        </is>
      </c>
      <c r="G260" t="inlineStr">
        <is>
          <t>V. 3</t>
        </is>
      </c>
      <c r="H260" t="inlineStr">
        <is>
          <t>Yes</t>
        </is>
      </c>
      <c r="I260" t="inlineStr">
        <is>
          <t>1</t>
        </is>
      </c>
      <c r="J260" t="inlineStr">
        <is>
          <t>No</t>
        </is>
      </c>
      <c r="K260" t="inlineStr">
        <is>
          <t>No</t>
        </is>
      </c>
      <c r="L260" t="inlineStr">
        <is>
          <t>0</t>
        </is>
      </c>
      <c r="M260" t="inlineStr">
        <is>
          <t>Docent Corporation.</t>
        </is>
      </c>
      <c r="N260" t="inlineStr">
        <is>
          <t>Philadelphia : Lippincott, c1982.</t>
        </is>
      </c>
      <c r="O260" t="inlineStr">
        <is>
          <t>1982</t>
        </is>
      </c>
      <c r="Q260" t="inlineStr">
        <is>
          <t>eng</t>
        </is>
      </c>
      <c r="R260" t="inlineStr">
        <is>
          <t>xxu</t>
        </is>
      </c>
      <c r="T260" t="inlineStr">
        <is>
          <t xml:space="preserve">WY </t>
        </is>
      </c>
      <c r="U260" t="n">
        <v>1</v>
      </c>
      <c r="V260" t="n">
        <v>5</v>
      </c>
      <c r="W260" t="inlineStr">
        <is>
          <t>1990-04-21</t>
        </is>
      </c>
      <c r="X260" t="inlineStr">
        <is>
          <t>1991-06-19</t>
        </is>
      </c>
      <c r="Y260" t="inlineStr">
        <is>
          <t>1987-12-28</t>
        </is>
      </c>
      <c r="Z260" t="inlineStr">
        <is>
          <t>1987-12-28</t>
        </is>
      </c>
      <c r="AA260" t="n">
        <v>52</v>
      </c>
      <c r="AB260" t="n">
        <v>40</v>
      </c>
      <c r="AC260" t="n">
        <v>40</v>
      </c>
      <c r="AD260" t="n">
        <v>1</v>
      </c>
      <c r="AE260" t="n">
        <v>1</v>
      </c>
      <c r="AF260" t="n">
        <v>0</v>
      </c>
      <c r="AG260" t="n">
        <v>0</v>
      </c>
      <c r="AH260" t="n">
        <v>0</v>
      </c>
      <c r="AI260" t="n">
        <v>0</v>
      </c>
      <c r="AJ260" t="n">
        <v>0</v>
      </c>
      <c r="AK260" t="n">
        <v>0</v>
      </c>
      <c r="AL260" t="n">
        <v>0</v>
      </c>
      <c r="AM260" t="n">
        <v>0</v>
      </c>
      <c r="AN260" t="n">
        <v>0</v>
      </c>
      <c r="AO260" t="n">
        <v>0</v>
      </c>
      <c r="AP260" t="n">
        <v>0</v>
      </c>
      <c r="AQ260" t="n">
        <v>0</v>
      </c>
      <c r="AR260" t="inlineStr">
        <is>
          <t>No</t>
        </is>
      </c>
      <c r="AS260" t="inlineStr">
        <is>
          <t>No</t>
        </is>
      </c>
      <c r="AU260">
        <f>HYPERLINK("https://creighton-primo.hosted.exlibrisgroup.com/primo-explore/search?tab=default_tab&amp;search_scope=EVERYTHING&amp;vid=01CRU&amp;lang=en_US&amp;offset=0&amp;query=any,contains,991001037929702656","Catalog Record")</f>
        <v/>
      </c>
      <c r="AV260">
        <f>HYPERLINK("http://www.worldcat.org/oclc/7740463","WorldCat Record")</f>
        <v/>
      </c>
      <c r="AW260" t="inlineStr">
        <is>
          <t>471027:eng</t>
        </is>
      </c>
      <c r="AX260" t="inlineStr">
        <is>
          <t>7740463</t>
        </is>
      </c>
      <c r="AY260" t="inlineStr">
        <is>
          <t>991001037929702656</t>
        </is>
      </c>
      <c r="AZ260" t="inlineStr">
        <is>
          <t>991001037929702656</t>
        </is>
      </c>
      <c r="BA260" t="inlineStr">
        <is>
          <t>2264236880002656</t>
        </is>
      </c>
      <c r="BB260" t="inlineStr">
        <is>
          <t>BOOK</t>
        </is>
      </c>
      <c r="BD260" t="inlineStr">
        <is>
          <t>9780397542772</t>
        </is>
      </c>
      <c r="BE260" t="inlineStr">
        <is>
          <t>30001000241176</t>
        </is>
      </c>
      <c r="BF260" t="inlineStr">
        <is>
          <t>893374219</t>
        </is>
      </c>
    </row>
    <row r="261">
      <c r="A261" t="inlineStr">
        <is>
          <t>No</t>
        </is>
      </c>
      <c r="B261" t="inlineStr">
        <is>
          <t>CUHSL</t>
        </is>
      </c>
      <c r="C261" t="inlineStr">
        <is>
          <t>SHELVES</t>
        </is>
      </c>
      <c r="D261" t="inlineStr">
        <is>
          <t>WY 18 D637e 1989</t>
        </is>
      </c>
      <c r="E261" t="inlineStr">
        <is>
          <t>0                      WY 0018000D  637e        1989</t>
        </is>
      </c>
      <c r="F261" t="inlineStr">
        <is>
          <t>Doctoral education in nursing : history, process, and outcome / Sylvia E. Hart, editor.</t>
        </is>
      </c>
      <c r="H261" t="inlineStr">
        <is>
          <t>No</t>
        </is>
      </c>
      <c r="I261" t="inlineStr">
        <is>
          <t>1</t>
        </is>
      </c>
      <c r="J261" t="inlineStr">
        <is>
          <t>No</t>
        </is>
      </c>
      <c r="K261" t="inlineStr">
        <is>
          <t>No</t>
        </is>
      </c>
      <c r="L261" t="inlineStr">
        <is>
          <t>0</t>
        </is>
      </c>
      <c r="N261" t="inlineStr">
        <is>
          <t>New York : National League for Nursing, c1989.</t>
        </is>
      </c>
      <c r="O261" t="inlineStr">
        <is>
          <t>1989</t>
        </is>
      </c>
      <c r="Q261" t="inlineStr">
        <is>
          <t>eng</t>
        </is>
      </c>
      <c r="R261" t="inlineStr">
        <is>
          <t>nyu</t>
        </is>
      </c>
      <c r="S261" t="inlineStr">
        <is>
          <t>NLN pub. no. 15-2238</t>
        </is>
      </c>
      <c r="T261" t="inlineStr">
        <is>
          <t xml:space="preserve">WY </t>
        </is>
      </c>
      <c r="U261" t="n">
        <v>5</v>
      </c>
      <c r="V261" t="n">
        <v>5</v>
      </c>
      <c r="W261" t="inlineStr">
        <is>
          <t>1997-08-11</t>
        </is>
      </c>
      <c r="X261" t="inlineStr">
        <is>
          <t>1997-08-11</t>
        </is>
      </c>
      <c r="Y261" t="inlineStr">
        <is>
          <t>1989-05-11</t>
        </is>
      </c>
      <c r="Z261" t="inlineStr">
        <is>
          <t>1989-05-11</t>
        </is>
      </c>
      <c r="AA261" t="n">
        <v>201</v>
      </c>
      <c r="AB261" t="n">
        <v>178</v>
      </c>
      <c r="AC261" t="n">
        <v>180</v>
      </c>
      <c r="AD261" t="n">
        <v>2</v>
      </c>
      <c r="AE261" t="n">
        <v>2</v>
      </c>
      <c r="AF261" t="n">
        <v>10</v>
      </c>
      <c r="AG261" t="n">
        <v>10</v>
      </c>
      <c r="AH261" t="n">
        <v>4</v>
      </c>
      <c r="AI261" t="n">
        <v>4</v>
      </c>
      <c r="AJ261" t="n">
        <v>3</v>
      </c>
      <c r="AK261" t="n">
        <v>3</v>
      </c>
      <c r="AL261" t="n">
        <v>4</v>
      </c>
      <c r="AM261" t="n">
        <v>4</v>
      </c>
      <c r="AN261" t="n">
        <v>0</v>
      </c>
      <c r="AO261" t="n">
        <v>0</v>
      </c>
      <c r="AP261" t="n">
        <v>0</v>
      </c>
      <c r="AQ261" t="n">
        <v>0</v>
      </c>
      <c r="AR261" t="inlineStr">
        <is>
          <t>No</t>
        </is>
      </c>
      <c r="AS261" t="inlineStr">
        <is>
          <t>Yes</t>
        </is>
      </c>
      <c r="AT261">
        <f>HYPERLINK("http://catalog.hathitrust.org/Record/002506746","HathiTrust Record")</f>
        <v/>
      </c>
      <c r="AU261">
        <f>HYPERLINK("https://creighton-primo.hosted.exlibrisgroup.com/primo-explore/search?tab=default_tab&amp;search_scope=EVERYTHING&amp;vid=01CRU&amp;lang=en_US&amp;offset=0&amp;query=any,contains,991001248589702656","Catalog Record")</f>
        <v/>
      </c>
      <c r="AV261">
        <f>HYPERLINK("http://www.worldcat.org/oclc/19713774","WorldCat Record")</f>
        <v/>
      </c>
      <c r="AW261" t="inlineStr">
        <is>
          <t>423027122:eng</t>
        </is>
      </c>
      <c r="AX261" t="inlineStr">
        <is>
          <t>19713774</t>
        </is>
      </c>
      <c r="AY261" t="inlineStr">
        <is>
          <t>991001248589702656</t>
        </is>
      </c>
      <c r="AZ261" t="inlineStr">
        <is>
          <t>991001248589702656</t>
        </is>
      </c>
      <c r="BA261" t="inlineStr">
        <is>
          <t>2259726670002656</t>
        </is>
      </c>
      <c r="BB261" t="inlineStr">
        <is>
          <t>BOOK</t>
        </is>
      </c>
      <c r="BD261" t="inlineStr">
        <is>
          <t>9780887374203</t>
        </is>
      </c>
      <c r="BE261" t="inlineStr">
        <is>
          <t>30001001678228</t>
        </is>
      </c>
      <c r="BF261" t="inlineStr">
        <is>
          <t>893727373</t>
        </is>
      </c>
    </row>
    <row r="262">
      <c r="A262" t="inlineStr">
        <is>
          <t>No</t>
        </is>
      </c>
      <c r="B262" t="inlineStr">
        <is>
          <t>CUHSL</t>
        </is>
      </c>
      <c r="C262" t="inlineStr">
        <is>
          <t>SHELVES</t>
        </is>
      </c>
      <c r="D262" t="inlineStr">
        <is>
          <t>WY 18 E2455 1980</t>
        </is>
      </c>
      <c r="E262" t="inlineStr">
        <is>
          <t>0                      WY 0018000E  2455        1980</t>
        </is>
      </c>
      <c r="F262" t="inlineStr">
        <is>
          <t>Education in genetics : nurses and social workers : proceedings of a workshop, January 1980, Arlington, Virginia / Irene Forsman, Kathleen Kirk Bishop, editors.</t>
        </is>
      </c>
      <c r="H262" t="inlineStr">
        <is>
          <t>No</t>
        </is>
      </c>
      <c r="I262" t="inlineStr">
        <is>
          <t>1</t>
        </is>
      </c>
      <c r="J262" t="inlineStr">
        <is>
          <t>No</t>
        </is>
      </c>
      <c r="K262" t="inlineStr">
        <is>
          <t>No</t>
        </is>
      </c>
      <c r="L262" t="inlineStr">
        <is>
          <t>0</t>
        </is>
      </c>
      <c r="N262" t="inlineStr">
        <is>
          <t>Rockville, Md. : U.S. Health Services Administration, Bureau of Community Health Services, Office for Maternal and Child Health, 1981.</t>
        </is>
      </c>
      <c r="O262" t="inlineStr">
        <is>
          <t>1981</t>
        </is>
      </c>
      <c r="Q262" t="inlineStr">
        <is>
          <t>eng</t>
        </is>
      </c>
      <c r="R262" t="inlineStr">
        <is>
          <t>mdu</t>
        </is>
      </c>
      <c r="S262" t="inlineStr">
        <is>
          <t>DHHS publication ; no. (HSA) 81-5120A</t>
        </is>
      </c>
      <c r="T262" t="inlineStr">
        <is>
          <t xml:space="preserve">WY </t>
        </is>
      </c>
      <c r="U262" t="n">
        <v>2</v>
      </c>
      <c r="V262" t="n">
        <v>2</v>
      </c>
      <c r="W262" t="inlineStr">
        <is>
          <t>1989-11-06</t>
        </is>
      </c>
      <c r="X262" t="inlineStr">
        <is>
          <t>1989-11-06</t>
        </is>
      </c>
      <c r="Y262" t="inlineStr">
        <is>
          <t>1987-12-28</t>
        </is>
      </c>
      <c r="Z262" t="inlineStr">
        <is>
          <t>1987-12-28</t>
        </is>
      </c>
      <c r="AA262" t="n">
        <v>9</v>
      </c>
      <c r="AB262" t="n">
        <v>9</v>
      </c>
      <c r="AC262" t="n">
        <v>9</v>
      </c>
      <c r="AD262" t="n">
        <v>1</v>
      </c>
      <c r="AE262" t="n">
        <v>1</v>
      </c>
      <c r="AF262" t="n">
        <v>0</v>
      </c>
      <c r="AG262" t="n">
        <v>0</v>
      </c>
      <c r="AH262" t="n">
        <v>0</v>
      </c>
      <c r="AI262" t="n">
        <v>0</v>
      </c>
      <c r="AJ262" t="n">
        <v>0</v>
      </c>
      <c r="AK262" t="n">
        <v>0</v>
      </c>
      <c r="AL262" t="n">
        <v>0</v>
      </c>
      <c r="AM262" t="n">
        <v>0</v>
      </c>
      <c r="AN262" t="n">
        <v>0</v>
      </c>
      <c r="AO262" t="n">
        <v>0</v>
      </c>
      <c r="AP262" t="n">
        <v>0</v>
      </c>
      <c r="AQ262" t="n">
        <v>0</v>
      </c>
      <c r="AR262" t="inlineStr">
        <is>
          <t>No</t>
        </is>
      </c>
      <c r="AS262" t="inlineStr">
        <is>
          <t>No</t>
        </is>
      </c>
      <c r="AU262">
        <f>HYPERLINK("https://creighton-primo.hosted.exlibrisgroup.com/primo-explore/search?tab=default_tab&amp;search_scope=EVERYTHING&amp;vid=01CRU&amp;lang=en_US&amp;offset=0&amp;query=any,contains,991001038059702656","Catalog Record")</f>
        <v/>
      </c>
      <c r="AV262">
        <f>HYPERLINK("http://www.worldcat.org/oclc/7960715","WorldCat Record")</f>
        <v/>
      </c>
      <c r="AW262" t="inlineStr">
        <is>
          <t>30093296:eng</t>
        </is>
      </c>
      <c r="AX262" t="inlineStr">
        <is>
          <t>7960715</t>
        </is>
      </c>
      <c r="AY262" t="inlineStr">
        <is>
          <t>991001038059702656</t>
        </is>
      </c>
      <c r="AZ262" t="inlineStr">
        <is>
          <t>991001038059702656</t>
        </is>
      </c>
      <c r="BA262" t="inlineStr">
        <is>
          <t>2263311180002656</t>
        </is>
      </c>
      <c r="BB262" t="inlineStr">
        <is>
          <t>BOOK</t>
        </is>
      </c>
      <c r="BE262" t="inlineStr">
        <is>
          <t>30001000241192</t>
        </is>
      </c>
      <c r="BF262" t="inlineStr">
        <is>
          <t>893268008</t>
        </is>
      </c>
    </row>
    <row r="263">
      <c r="A263" t="inlineStr">
        <is>
          <t>No</t>
        </is>
      </c>
      <c r="B263" t="inlineStr">
        <is>
          <t>CUHSL</t>
        </is>
      </c>
      <c r="C263" t="inlineStr">
        <is>
          <t>SHELVES</t>
        </is>
      </c>
      <c r="D263" t="inlineStr">
        <is>
          <t>WY 18 E25 1959</t>
        </is>
      </c>
      <c r="E263" t="inlineStr">
        <is>
          <t>0                      WY 0018000E  25          1959</t>
        </is>
      </c>
      <c r="F263" t="inlineStr">
        <is>
          <t>Education for nursing past, present, and future : papers presented at the anniversary celebration, Division of Nursing Education, Teachers College, Columbia University.</t>
        </is>
      </c>
      <c r="H263" t="inlineStr">
        <is>
          <t>No</t>
        </is>
      </c>
      <c r="I263" t="inlineStr">
        <is>
          <t>1</t>
        </is>
      </c>
      <c r="J263" t="inlineStr">
        <is>
          <t>No</t>
        </is>
      </c>
      <c r="K263" t="inlineStr">
        <is>
          <t>No</t>
        </is>
      </c>
      <c r="L263" t="inlineStr">
        <is>
          <t>0</t>
        </is>
      </c>
      <c r="N263" t="inlineStr">
        <is>
          <t>New York : National League for Nursing, 1959.</t>
        </is>
      </c>
      <c r="O263" t="inlineStr">
        <is>
          <t>1959</t>
        </is>
      </c>
      <c r="Q263" t="inlineStr">
        <is>
          <t>eng</t>
        </is>
      </c>
      <c r="R263" t="inlineStr">
        <is>
          <t>nyu</t>
        </is>
      </c>
      <c r="S263" t="inlineStr">
        <is>
          <t>League exchange ; no.43</t>
        </is>
      </c>
      <c r="T263" t="inlineStr">
        <is>
          <t xml:space="preserve">WY </t>
        </is>
      </c>
      <c r="U263" t="n">
        <v>1</v>
      </c>
      <c r="V263" t="n">
        <v>1</v>
      </c>
      <c r="W263" t="inlineStr">
        <is>
          <t>1990-05-04</t>
        </is>
      </c>
      <c r="X263" t="inlineStr">
        <is>
          <t>1990-05-04</t>
        </is>
      </c>
      <c r="Y263" t="inlineStr">
        <is>
          <t>1987-10-13</t>
        </is>
      </c>
      <c r="Z263" t="inlineStr">
        <is>
          <t>1987-10-13</t>
        </is>
      </c>
      <c r="AA263" t="n">
        <v>44</v>
      </c>
      <c r="AB263" t="n">
        <v>41</v>
      </c>
      <c r="AC263" t="n">
        <v>43</v>
      </c>
      <c r="AD263" t="n">
        <v>2</v>
      </c>
      <c r="AE263" t="n">
        <v>2</v>
      </c>
      <c r="AF263" t="n">
        <v>3</v>
      </c>
      <c r="AG263" t="n">
        <v>3</v>
      </c>
      <c r="AH263" t="n">
        <v>0</v>
      </c>
      <c r="AI263" t="n">
        <v>0</v>
      </c>
      <c r="AJ263" t="n">
        <v>0</v>
      </c>
      <c r="AK263" t="n">
        <v>0</v>
      </c>
      <c r="AL263" t="n">
        <v>2</v>
      </c>
      <c r="AM263" t="n">
        <v>2</v>
      </c>
      <c r="AN263" t="n">
        <v>1</v>
      </c>
      <c r="AO263" t="n">
        <v>1</v>
      </c>
      <c r="AP263" t="n">
        <v>0</v>
      </c>
      <c r="AQ263" t="n">
        <v>0</v>
      </c>
      <c r="AR263" t="inlineStr">
        <is>
          <t>No</t>
        </is>
      </c>
      <c r="AS263" t="inlineStr">
        <is>
          <t>No</t>
        </is>
      </c>
      <c r="AT263">
        <f>HYPERLINK("http://catalog.hathitrust.org/Record/002072046","HathiTrust Record")</f>
        <v/>
      </c>
      <c r="AU263">
        <f>HYPERLINK("https://creighton-primo.hosted.exlibrisgroup.com/primo-explore/search?tab=default_tab&amp;search_scope=EVERYTHING&amp;vid=01CRU&amp;lang=en_US&amp;offset=0&amp;query=any,contains,991001361949702656","Catalog Record")</f>
        <v/>
      </c>
      <c r="AV263">
        <f>HYPERLINK("http://www.worldcat.org/oclc/1167558","WorldCat Record")</f>
        <v/>
      </c>
      <c r="AW263" t="inlineStr">
        <is>
          <t>2106265:eng</t>
        </is>
      </c>
      <c r="AX263" t="inlineStr">
        <is>
          <t>1167558</t>
        </is>
      </c>
      <c r="AY263" t="inlineStr">
        <is>
          <t>991001361949702656</t>
        </is>
      </c>
      <c r="AZ263" t="inlineStr">
        <is>
          <t>991001361949702656</t>
        </is>
      </c>
      <c r="BA263" t="inlineStr">
        <is>
          <t>2266408130002656</t>
        </is>
      </c>
      <c r="BB263" t="inlineStr">
        <is>
          <t>BOOK</t>
        </is>
      </c>
      <c r="BE263" t="inlineStr">
        <is>
          <t>30001000460909</t>
        </is>
      </c>
      <c r="BF263" t="inlineStr">
        <is>
          <t>893821145</t>
        </is>
      </c>
    </row>
    <row r="264">
      <c r="A264" t="inlineStr">
        <is>
          <t>No</t>
        </is>
      </c>
      <c r="B264" t="inlineStr">
        <is>
          <t>CUHSL</t>
        </is>
      </c>
      <c r="C264" t="inlineStr">
        <is>
          <t>SHELVES</t>
        </is>
      </c>
      <c r="D264" t="inlineStr">
        <is>
          <t>WY 18 E92 1977</t>
        </is>
      </c>
      <c r="E264" t="inlineStr">
        <is>
          <t>0                      WY 0018000E  92          1977</t>
        </is>
      </c>
      <c r="F264" t="inlineStr">
        <is>
          <t>Evaluation of teaching effectiveness.</t>
        </is>
      </c>
      <c r="H264" t="inlineStr">
        <is>
          <t>No</t>
        </is>
      </c>
      <c r="I264" t="inlineStr">
        <is>
          <t>1</t>
        </is>
      </c>
      <c r="J264" t="inlineStr">
        <is>
          <t>No</t>
        </is>
      </c>
      <c r="K264" t="inlineStr">
        <is>
          <t>No</t>
        </is>
      </c>
      <c r="L264" t="inlineStr">
        <is>
          <t>0</t>
        </is>
      </c>
      <c r="N264" t="inlineStr">
        <is>
          <t>New York : National League for Nursing, c1977.</t>
        </is>
      </c>
      <c r="O264" t="inlineStr">
        <is>
          <t>1977</t>
        </is>
      </c>
      <c r="Q264" t="inlineStr">
        <is>
          <t>eng</t>
        </is>
      </c>
      <c r="R264" t="inlineStr">
        <is>
          <t>nyu</t>
        </is>
      </c>
      <c r="S264" t="inlineStr">
        <is>
          <t>NLN pub. no. 15-1680</t>
        </is>
      </c>
      <c r="T264" t="inlineStr">
        <is>
          <t xml:space="preserve">WY </t>
        </is>
      </c>
      <c r="U264" t="n">
        <v>4</v>
      </c>
      <c r="V264" t="n">
        <v>4</v>
      </c>
      <c r="W264" t="inlineStr">
        <is>
          <t>1990-04-09</t>
        </is>
      </c>
      <c r="X264" t="inlineStr">
        <is>
          <t>1990-04-09</t>
        </is>
      </c>
      <c r="Y264" t="inlineStr">
        <is>
          <t>1990-04-09</t>
        </is>
      </c>
      <c r="Z264" t="inlineStr">
        <is>
          <t>1990-04-09</t>
        </is>
      </c>
      <c r="AA264" t="n">
        <v>111</v>
      </c>
      <c r="AB264" t="n">
        <v>94</v>
      </c>
      <c r="AC264" t="n">
        <v>96</v>
      </c>
      <c r="AD264" t="n">
        <v>3</v>
      </c>
      <c r="AE264" t="n">
        <v>3</v>
      </c>
      <c r="AF264" t="n">
        <v>5</v>
      </c>
      <c r="AG264" t="n">
        <v>5</v>
      </c>
      <c r="AH264" t="n">
        <v>0</v>
      </c>
      <c r="AI264" t="n">
        <v>0</v>
      </c>
      <c r="AJ264" t="n">
        <v>0</v>
      </c>
      <c r="AK264" t="n">
        <v>0</v>
      </c>
      <c r="AL264" t="n">
        <v>4</v>
      </c>
      <c r="AM264" t="n">
        <v>4</v>
      </c>
      <c r="AN264" t="n">
        <v>1</v>
      </c>
      <c r="AO264" t="n">
        <v>1</v>
      </c>
      <c r="AP264" t="n">
        <v>0</v>
      </c>
      <c r="AQ264" t="n">
        <v>0</v>
      </c>
      <c r="AR264" t="inlineStr">
        <is>
          <t>No</t>
        </is>
      </c>
      <c r="AS264" t="inlineStr">
        <is>
          <t>Yes</t>
        </is>
      </c>
      <c r="AT264">
        <f>HYPERLINK("http://catalog.hathitrust.org/Record/001549261","HathiTrust Record")</f>
        <v/>
      </c>
      <c r="AU264">
        <f>HYPERLINK("https://creighton-primo.hosted.exlibrisgroup.com/primo-explore/search?tab=default_tab&amp;search_scope=EVERYTHING&amp;vid=01CRU&amp;lang=en_US&amp;offset=0&amp;query=any,contains,991001370669702656","Catalog Record")</f>
        <v/>
      </c>
      <c r="AV264">
        <f>HYPERLINK("http://www.worldcat.org/oclc/3441428","WorldCat Record")</f>
        <v/>
      </c>
      <c r="AW264" t="inlineStr">
        <is>
          <t>54195912:eng</t>
        </is>
      </c>
      <c r="AX264" t="inlineStr">
        <is>
          <t>3441428</t>
        </is>
      </c>
      <c r="AY264" t="inlineStr">
        <is>
          <t>991001370669702656</t>
        </is>
      </c>
      <c r="AZ264" t="inlineStr">
        <is>
          <t>991001370669702656</t>
        </is>
      </c>
      <c r="BA264" t="inlineStr">
        <is>
          <t>2269353890002656</t>
        </is>
      </c>
      <c r="BB264" t="inlineStr">
        <is>
          <t>BOOK</t>
        </is>
      </c>
      <c r="BE264" t="inlineStr">
        <is>
          <t>30001000461741</t>
        </is>
      </c>
      <c r="BF264" t="inlineStr">
        <is>
          <t>893741076</t>
        </is>
      </c>
    </row>
    <row r="265">
      <c r="A265" t="inlineStr">
        <is>
          <t>No</t>
        </is>
      </c>
      <c r="B265" t="inlineStr">
        <is>
          <t>CUHSL</t>
        </is>
      </c>
      <c r="C265" t="inlineStr">
        <is>
          <t>SHELVES</t>
        </is>
      </c>
      <c r="D265" t="inlineStr">
        <is>
          <t>WY 18 E935 1999</t>
        </is>
      </c>
      <c r="E265" t="inlineStr">
        <is>
          <t>0                      WY 0018000E  935         1999</t>
        </is>
      </c>
      <c r="F265" t="inlineStr">
        <is>
          <t>Evidence-based teaching : current research in nursing education / Kathleen R. Stevens, editor ; Virginia R. Cassidy, associate editor.</t>
        </is>
      </c>
      <c r="H265" t="inlineStr">
        <is>
          <t>No</t>
        </is>
      </c>
      <c r="I265" t="inlineStr">
        <is>
          <t>1</t>
        </is>
      </c>
      <c r="J265" t="inlineStr">
        <is>
          <t>No</t>
        </is>
      </c>
      <c r="K265" t="inlineStr">
        <is>
          <t>No</t>
        </is>
      </c>
      <c r="L265" t="inlineStr">
        <is>
          <t>0</t>
        </is>
      </c>
      <c r="N265" t="inlineStr">
        <is>
          <t>Sudbury, Mass. : Jones and Bartlett, c1999.</t>
        </is>
      </c>
      <c r="O265" t="inlineStr">
        <is>
          <t>1999</t>
        </is>
      </c>
      <c r="Q265" t="inlineStr">
        <is>
          <t>eng</t>
        </is>
      </c>
      <c r="R265" t="inlineStr">
        <is>
          <t>mau</t>
        </is>
      </c>
      <c r="T265" t="inlineStr">
        <is>
          <t xml:space="preserve">WY </t>
        </is>
      </c>
      <c r="U265" t="n">
        <v>3</v>
      </c>
      <c r="V265" t="n">
        <v>3</v>
      </c>
      <c r="W265" t="inlineStr">
        <is>
          <t>2000-03-28</t>
        </is>
      </c>
      <c r="X265" t="inlineStr">
        <is>
          <t>2000-03-28</t>
        </is>
      </c>
      <c r="Y265" t="inlineStr">
        <is>
          <t>2000-03-27</t>
        </is>
      </c>
      <c r="Z265" t="inlineStr">
        <is>
          <t>2000-03-27</t>
        </is>
      </c>
      <c r="AA265" t="n">
        <v>461</v>
      </c>
      <c r="AB265" t="n">
        <v>386</v>
      </c>
      <c r="AC265" t="n">
        <v>389</v>
      </c>
      <c r="AD265" t="n">
        <v>3</v>
      </c>
      <c r="AE265" t="n">
        <v>3</v>
      </c>
      <c r="AF265" t="n">
        <v>18</v>
      </c>
      <c r="AG265" t="n">
        <v>18</v>
      </c>
      <c r="AH265" t="n">
        <v>8</v>
      </c>
      <c r="AI265" t="n">
        <v>8</v>
      </c>
      <c r="AJ265" t="n">
        <v>4</v>
      </c>
      <c r="AK265" t="n">
        <v>4</v>
      </c>
      <c r="AL265" t="n">
        <v>8</v>
      </c>
      <c r="AM265" t="n">
        <v>8</v>
      </c>
      <c r="AN265" t="n">
        <v>1</v>
      </c>
      <c r="AO265" t="n">
        <v>1</v>
      </c>
      <c r="AP265" t="n">
        <v>0</v>
      </c>
      <c r="AQ265" t="n">
        <v>0</v>
      </c>
      <c r="AR265" t="inlineStr">
        <is>
          <t>No</t>
        </is>
      </c>
      <c r="AS265" t="inlineStr">
        <is>
          <t>Yes</t>
        </is>
      </c>
      <c r="AT265">
        <f>HYPERLINK("http://catalog.hathitrust.org/Record/003339632","HathiTrust Record")</f>
        <v/>
      </c>
      <c r="AU265">
        <f>HYPERLINK("https://creighton-primo.hosted.exlibrisgroup.com/primo-explore/search?tab=default_tab&amp;search_scope=EVERYTHING&amp;vid=01CRU&amp;lang=en_US&amp;offset=0&amp;query=any,contains,991001442889702656","Catalog Record")</f>
        <v/>
      </c>
      <c r="AV265">
        <f>HYPERLINK("http://www.worldcat.org/oclc/40776684","WorldCat Record")</f>
        <v/>
      </c>
      <c r="AW265" t="inlineStr">
        <is>
          <t>865288020:eng</t>
        </is>
      </c>
      <c r="AX265" t="inlineStr">
        <is>
          <t>40776684</t>
        </is>
      </c>
      <c r="AY265" t="inlineStr">
        <is>
          <t>991001442889702656</t>
        </is>
      </c>
      <c r="AZ265" t="inlineStr">
        <is>
          <t>991001442889702656</t>
        </is>
      </c>
      <c r="BA265" t="inlineStr">
        <is>
          <t>2259346490002656</t>
        </is>
      </c>
      <c r="BB265" t="inlineStr">
        <is>
          <t>BOOK</t>
        </is>
      </c>
      <c r="BD265" t="inlineStr">
        <is>
          <t>9780763709372</t>
        </is>
      </c>
      <c r="BE265" t="inlineStr">
        <is>
          <t>30001003883412</t>
        </is>
      </c>
      <c r="BF265" t="inlineStr">
        <is>
          <t>893633065</t>
        </is>
      </c>
    </row>
    <row r="266">
      <c r="A266" t="inlineStr">
        <is>
          <t>No</t>
        </is>
      </c>
      <c r="B266" t="inlineStr">
        <is>
          <t>CUHSL</t>
        </is>
      </c>
      <c r="C266" t="inlineStr">
        <is>
          <t>SHELVES</t>
        </is>
      </c>
      <c r="D266" t="inlineStr">
        <is>
          <t>WY 18 E93g 1985</t>
        </is>
      </c>
      <c r="E266" t="inlineStr">
        <is>
          <t>0                      WY 0018000E  93g         1985</t>
        </is>
      </c>
      <c r="F266" t="inlineStr">
        <is>
          <t>A clinical guide to pediatric nursing / Marilyn Lang Evans, Beverly Desmond Hansen.</t>
        </is>
      </c>
      <c r="H266" t="inlineStr">
        <is>
          <t>No</t>
        </is>
      </c>
      <c r="I266" t="inlineStr">
        <is>
          <t>1</t>
        </is>
      </c>
      <c r="J266" t="inlineStr">
        <is>
          <t>No</t>
        </is>
      </c>
      <c r="K266" t="inlineStr">
        <is>
          <t>No</t>
        </is>
      </c>
      <c r="L266" t="inlineStr">
        <is>
          <t>0</t>
        </is>
      </c>
      <c r="M266" t="inlineStr">
        <is>
          <t>Evans, Marilyn Lang, 1939-</t>
        </is>
      </c>
      <c r="N266" t="inlineStr">
        <is>
          <t>Norwalk, Conn. : Appleton-Century-Crofts, c1985.</t>
        </is>
      </c>
      <c r="O266" t="inlineStr">
        <is>
          <t>1985</t>
        </is>
      </c>
      <c r="P266" t="inlineStr">
        <is>
          <t>2nd ed.</t>
        </is>
      </c>
      <c r="Q266" t="inlineStr">
        <is>
          <t>eng</t>
        </is>
      </c>
      <c r="R266" t="inlineStr">
        <is>
          <t>ctu</t>
        </is>
      </c>
      <c r="T266" t="inlineStr">
        <is>
          <t xml:space="preserve">WY </t>
        </is>
      </c>
      <c r="U266" t="n">
        <v>7</v>
      </c>
      <c r="V266" t="n">
        <v>7</v>
      </c>
      <c r="W266" t="inlineStr">
        <is>
          <t>1990-03-13</t>
        </is>
      </c>
      <c r="X266" t="inlineStr">
        <is>
          <t>1990-03-13</t>
        </is>
      </c>
      <c r="Y266" t="inlineStr">
        <is>
          <t>1987-12-28</t>
        </is>
      </c>
      <c r="Z266" t="inlineStr">
        <is>
          <t>1987-12-28</t>
        </is>
      </c>
      <c r="AA266" t="n">
        <v>185</v>
      </c>
      <c r="AB266" t="n">
        <v>162</v>
      </c>
      <c r="AC266" t="n">
        <v>164</v>
      </c>
      <c r="AD266" t="n">
        <v>2</v>
      </c>
      <c r="AE266" t="n">
        <v>2</v>
      </c>
      <c r="AF266" t="n">
        <v>2</v>
      </c>
      <c r="AG266" t="n">
        <v>2</v>
      </c>
      <c r="AH266" t="n">
        <v>1</v>
      </c>
      <c r="AI266" t="n">
        <v>1</v>
      </c>
      <c r="AJ266" t="n">
        <v>0</v>
      </c>
      <c r="AK266" t="n">
        <v>0</v>
      </c>
      <c r="AL266" t="n">
        <v>2</v>
      </c>
      <c r="AM266" t="n">
        <v>2</v>
      </c>
      <c r="AN266" t="n">
        <v>0</v>
      </c>
      <c r="AO266" t="n">
        <v>0</v>
      </c>
      <c r="AP266" t="n">
        <v>0</v>
      </c>
      <c r="AQ266" t="n">
        <v>0</v>
      </c>
      <c r="AR266" t="inlineStr">
        <is>
          <t>No</t>
        </is>
      </c>
      <c r="AS266" t="inlineStr">
        <is>
          <t>Yes</t>
        </is>
      </c>
      <c r="AT266">
        <f>HYPERLINK("http://catalog.hathitrust.org/Record/000459499","HathiTrust Record")</f>
        <v/>
      </c>
      <c r="AU266">
        <f>HYPERLINK("https://creighton-primo.hosted.exlibrisgroup.com/primo-explore/search?tab=default_tab&amp;search_scope=EVERYTHING&amp;vid=01CRU&amp;lang=en_US&amp;offset=0&amp;query=any,contains,991001039269702656","Catalog Record")</f>
        <v/>
      </c>
      <c r="AV266">
        <f>HYPERLINK("http://www.worldcat.org/oclc/11068895","WorldCat Record")</f>
        <v/>
      </c>
      <c r="AW266" t="inlineStr">
        <is>
          <t>3855321254:eng</t>
        </is>
      </c>
      <c r="AX266" t="inlineStr">
        <is>
          <t>11068895</t>
        </is>
      </c>
      <c r="AY266" t="inlineStr">
        <is>
          <t>991001039269702656</t>
        </is>
      </c>
      <c r="AZ266" t="inlineStr">
        <is>
          <t>991001039269702656</t>
        </is>
      </c>
      <c r="BA266" t="inlineStr">
        <is>
          <t>2261636190002656</t>
        </is>
      </c>
      <c r="BB266" t="inlineStr">
        <is>
          <t>BOOK</t>
        </is>
      </c>
      <c r="BD266" t="inlineStr">
        <is>
          <t>9780838511299</t>
        </is>
      </c>
      <c r="BE266" t="inlineStr">
        <is>
          <t>30001000241622</t>
        </is>
      </c>
      <c r="BF266" t="inlineStr">
        <is>
          <t>893736166</t>
        </is>
      </c>
    </row>
    <row r="267">
      <c r="A267" t="inlineStr">
        <is>
          <t>No</t>
        </is>
      </c>
      <c r="B267" t="inlineStr">
        <is>
          <t>CUHSL</t>
        </is>
      </c>
      <c r="C267" t="inlineStr">
        <is>
          <t>SHELVES</t>
        </is>
      </c>
      <c r="D267" t="inlineStr">
        <is>
          <t>WY 18 F142 1975</t>
        </is>
      </c>
      <c r="E267" t="inlineStr">
        <is>
          <t>0                      WY 0018000F  142         1975</t>
        </is>
      </c>
      <c r="F267" t="inlineStr">
        <is>
          <t>Factors influencing curriculum in graduate education in nursing.</t>
        </is>
      </c>
      <c r="H267" t="inlineStr">
        <is>
          <t>No</t>
        </is>
      </c>
      <c r="I267" t="inlineStr">
        <is>
          <t>1</t>
        </is>
      </c>
      <c r="J267" t="inlineStr">
        <is>
          <t>No</t>
        </is>
      </c>
      <c r="K267" t="inlineStr">
        <is>
          <t>No</t>
        </is>
      </c>
      <c r="L267" t="inlineStr">
        <is>
          <t>0</t>
        </is>
      </c>
      <c r="N267" t="inlineStr">
        <is>
          <t>New York : Dept. of Baccalaureate and Higher Degree Programs, National League for Nursing, c1975.</t>
        </is>
      </c>
      <c r="O267" t="inlineStr">
        <is>
          <t>1975</t>
        </is>
      </c>
      <c r="Q267" t="inlineStr">
        <is>
          <t>eng</t>
        </is>
      </c>
      <c r="R267" t="inlineStr">
        <is>
          <t>nyu</t>
        </is>
      </c>
      <c r="S267" t="inlineStr">
        <is>
          <t>Curriculum in graduate education in nursing ; pt. 1</t>
        </is>
      </c>
      <c r="T267" t="inlineStr">
        <is>
          <t xml:space="preserve">WY </t>
        </is>
      </c>
      <c r="U267" t="n">
        <v>5</v>
      </c>
      <c r="V267" t="n">
        <v>5</v>
      </c>
      <c r="W267" t="inlineStr">
        <is>
          <t>1990-04-06</t>
        </is>
      </c>
      <c r="X267" t="inlineStr">
        <is>
          <t>1990-04-06</t>
        </is>
      </c>
      <c r="Y267" t="inlineStr">
        <is>
          <t>1987-10-21</t>
        </is>
      </c>
      <c r="Z267" t="inlineStr">
        <is>
          <t>1987-10-21</t>
        </is>
      </c>
      <c r="AA267" t="n">
        <v>52</v>
      </c>
      <c r="AB267" t="n">
        <v>47</v>
      </c>
      <c r="AC267" t="n">
        <v>47</v>
      </c>
      <c r="AD267" t="n">
        <v>3</v>
      </c>
      <c r="AE267" t="n">
        <v>3</v>
      </c>
      <c r="AF267" t="n">
        <v>4</v>
      </c>
      <c r="AG267" t="n">
        <v>4</v>
      </c>
      <c r="AH267" t="n">
        <v>0</v>
      </c>
      <c r="AI267" t="n">
        <v>0</v>
      </c>
      <c r="AJ267" t="n">
        <v>1</v>
      </c>
      <c r="AK267" t="n">
        <v>1</v>
      </c>
      <c r="AL267" t="n">
        <v>2</v>
      </c>
      <c r="AM267" t="n">
        <v>2</v>
      </c>
      <c r="AN267" t="n">
        <v>1</v>
      </c>
      <c r="AO267" t="n">
        <v>1</v>
      </c>
      <c r="AP267" t="n">
        <v>0</v>
      </c>
      <c r="AQ267" t="n">
        <v>0</v>
      </c>
      <c r="AR267" t="inlineStr">
        <is>
          <t>No</t>
        </is>
      </c>
      <c r="AS267" t="inlineStr">
        <is>
          <t>No</t>
        </is>
      </c>
      <c r="AU267">
        <f>HYPERLINK("https://creighton-primo.hosted.exlibrisgroup.com/primo-explore/search?tab=default_tab&amp;search_scope=EVERYTHING&amp;vid=01CRU&amp;lang=en_US&amp;offset=0&amp;query=any,contains,991001369209702656","Catalog Record")</f>
        <v/>
      </c>
      <c r="AV267">
        <f>HYPERLINK("http://www.worldcat.org/oclc/2615824","WorldCat Record")</f>
        <v/>
      </c>
      <c r="AW267" t="inlineStr">
        <is>
          <t>5573253:eng</t>
        </is>
      </c>
      <c r="AX267" t="inlineStr">
        <is>
          <t>2615824</t>
        </is>
      </c>
      <c r="AY267" t="inlineStr">
        <is>
          <t>991001369209702656</t>
        </is>
      </c>
      <c r="AZ267" t="inlineStr">
        <is>
          <t>991001369209702656</t>
        </is>
      </c>
      <c r="BA267" t="inlineStr">
        <is>
          <t>2264541810002656</t>
        </is>
      </c>
      <c r="BB267" t="inlineStr">
        <is>
          <t>BOOK</t>
        </is>
      </c>
      <c r="BE267" t="inlineStr">
        <is>
          <t>30001000461618</t>
        </is>
      </c>
      <c r="BF267" t="inlineStr">
        <is>
          <t>893649142</t>
        </is>
      </c>
    </row>
    <row r="268">
      <c r="A268" t="inlineStr">
        <is>
          <t>No</t>
        </is>
      </c>
      <c r="B268" t="inlineStr">
        <is>
          <t>CUHSL</t>
        </is>
      </c>
      <c r="C268" t="inlineStr">
        <is>
          <t>SHELVES</t>
        </is>
      </c>
      <c r="D268" t="inlineStr">
        <is>
          <t>WY 18 F143 1986</t>
        </is>
      </c>
      <c r="E268" t="inlineStr">
        <is>
          <t>0                      WY 0018000F  143         1986</t>
        </is>
      </c>
      <c r="F268" t="inlineStr">
        <is>
          <t>Faculty-curriculum development : curriculum design by nursing faculty.</t>
        </is>
      </c>
      <c r="H268" t="inlineStr">
        <is>
          <t>No</t>
        </is>
      </c>
      <c r="I268" t="inlineStr">
        <is>
          <t>1</t>
        </is>
      </c>
      <c r="J268" t="inlineStr">
        <is>
          <t>No</t>
        </is>
      </c>
      <c r="K268" t="inlineStr">
        <is>
          <t>No</t>
        </is>
      </c>
      <c r="L268" t="inlineStr">
        <is>
          <t>0</t>
        </is>
      </c>
      <c r="N268" t="inlineStr">
        <is>
          <t>New York : National League for Nursing, c1986.</t>
        </is>
      </c>
      <c r="O268" t="inlineStr">
        <is>
          <t>1986</t>
        </is>
      </c>
      <c r="Q268" t="inlineStr">
        <is>
          <t>eng</t>
        </is>
      </c>
      <c r="R268" t="inlineStr">
        <is>
          <t>nyu</t>
        </is>
      </c>
      <c r="S268" t="inlineStr">
        <is>
          <t>NLN pub. no. 15-2164</t>
        </is>
      </c>
      <c r="T268" t="inlineStr">
        <is>
          <t xml:space="preserve">WY </t>
        </is>
      </c>
      <c r="U268" t="n">
        <v>4</v>
      </c>
      <c r="V268" t="n">
        <v>4</v>
      </c>
      <c r="W268" t="inlineStr">
        <is>
          <t>1992-07-23</t>
        </is>
      </c>
      <c r="X268" t="inlineStr">
        <is>
          <t>1992-07-23</t>
        </is>
      </c>
      <c r="Y268" t="inlineStr">
        <is>
          <t>1987-12-28</t>
        </is>
      </c>
      <c r="Z268" t="inlineStr">
        <is>
          <t>1987-12-28</t>
        </is>
      </c>
      <c r="AA268" t="n">
        <v>229</v>
      </c>
      <c r="AB268" t="n">
        <v>193</v>
      </c>
      <c r="AC268" t="n">
        <v>225</v>
      </c>
      <c r="AD268" t="n">
        <v>2</v>
      </c>
      <c r="AE268" t="n">
        <v>2</v>
      </c>
      <c r="AF268" t="n">
        <v>8</v>
      </c>
      <c r="AG268" t="n">
        <v>10</v>
      </c>
      <c r="AH268" t="n">
        <v>3</v>
      </c>
      <c r="AI268" t="n">
        <v>3</v>
      </c>
      <c r="AJ268" t="n">
        <v>2</v>
      </c>
      <c r="AK268" t="n">
        <v>3</v>
      </c>
      <c r="AL268" t="n">
        <v>4</v>
      </c>
      <c r="AM268" t="n">
        <v>5</v>
      </c>
      <c r="AN268" t="n">
        <v>0</v>
      </c>
      <c r="AO268" t="n">
        <v>0</v>
      </c>
      <c r="AP268" t="n">
        <v>0</v>
      </c>
      <c r="AQ268" t="n">
        <v>0</v>
      </c>
      <c r="AR268" t="inlineStr">
        <is>
          <t>No</t>
        </is>
      </c>
      <c r="AS268" t="inlineStr">
        <is>
          <t>Yes</t>
        </is>
      </c>
      <c r="AT268">
        <f>HYPERLINK("http://catalog.hathitrust.org/Record/002506678","HathiTrust Record")</f>
        <v/>
      </c>
      <c r="AU268">
        <f>HYPERLINK("https://creighton-primo.hosted.exlibrisgroup.com/primo-explore/search?tab=default_tab&amp;search_scope=EVERYTHING&amp;vid=01CRU&amp;lang=en_US&amp;offset=0&amp;query=any,contains,991001039299702656","Catalog Record")</f>
        <v/>
      </c>
      <c r="AV268">
        <f>HYPERLINK("http://www.worldcat.org/oclc/14633352","WorldCat Record")</f>
        <v/>
      </c>
      <c r="AW268" t="inlineStr">
        <is>
          <t>4159949570:eng</t>
        </is>
      </c>
      <c r="AX268" t="inlineStr">
        <is>
          <t>14633352</t>
        </is>
      </c>
      <c r="AY268" t="inlineStr">
        <is>
          <t>991001039299702656</t>
        </is>
      </c>
      <c r="AZ268" t="inlineStr">
        <is>
          <t>991001039299702656</t>
        </is>
      </c>
      <c r="BA268" t="inlineStr">
        <is>
          <t>2265586800002656</t>
        </is>
      </c>
      <c r="BB268" t="inlineStr">
        <is>
          <t>BOOK</t>
        </is>
      </c>
      <c r="BD268" t="inlineStr">
        <is>
          <t>9780887373374</t>
        </is>
      </c>
      <c r="BE268" t="inlineStr">
        <is>
          <t>30001000241630</t>
        </is>
      </c>
      <c r="BF268" t="inlineStr">
        <is>
          <t>893273623</t>
        </is>
      </c>
    </row>
    <row r="269">
      <c r="A269" t="inlineStr">
        <is>
          <t>No</t>
        </is>
      </c>
      <c r="B269" t="inlineStr">
        <is>
          <t>CUHSL</t>
        </is>
      </c>
      <c r="C269" t="inlineStr">
        <is>
          <t>SHELVES</t>
        </is>
      </c>
      <c r="D269" t="inlineStr">
        <is>
          <t>WY 18 F595 1979</t>
        </is>
      </c>
      <c r="E269" t="inlineStr">
        <is>
          <t>0                      WY 0018000F  595         1979</t>
        </is>
      </c>
      <c r="F269" t="inlineStr">
        <is>
          <t>Instruments for use in nursing education research / [edited by] Mary Jane Ward and Mark E. Fetler.</t>
        </is>
      </c>
      <c r="H269" t="inlineStr">
        <is>
          <t>No</t>
        </is>
      </c>
      <c r="I269" t="inlineStr">
        <is>
          <t>1</t>
        </is>
      </c>
      <c r="J269" t="inlineStr">
        <is>
          <t>No</t>
        </is>
      </c>
      <c r="K269" t="inlineStr">
        <is>
          <t>No</t>
        </is>
      </c>
      <c r="L269" t="inlineStr">
        <is>
          <t>0</t>
        </is>
      </c>
      <c r="N269" t="inlineStr">
        <is>
          <t>Boulder, Colo. : Western Interstate Commission for Higher Education, 1979.</t>
        </is>
      </c>
      <c r="O269" t="inlineStr">
        <is>
          <t>1979</t>
        </is>
      </c>
      <c r="Q269" t="inlineStr">
        <is>
          <t>eng</t>
        </is>
      </c>
      <c r="R269" t="inlineStr">
        <is>
          <t>xxu</t>
        </is>
      </c>
      <c r="T269" t="inlineStr">
        <is>
          <t xml:space="preserve">WY </t>
        </is>
      </c>
      <c r="U269" t="n">
        <v>13</v>
      </c>
      <c r="V269" t="n">
        <v>13</v>
      </c>
      <c r="W269" t="inlineStr">
        <is>
          <t>2009-01-22</t>
        </is>
      </c>
      <c r="X269" t="inlineStr">
        <is>
          <t>2009-01-22</t>
        </is>
      </c>
      <c r="Y269" t="inlineStr">
        <is>
          <t>1987-10-22</t>
        </is>
      </c>
      <c r="Z269" t="inlineStr">
        <is>
          <t>1987-10-22</t>
        </is>
      </c>
      <c r="AA269" t="n">
        <v>173</v>
      </c>
      <c r="AB269" t="n">
        <v>145</v>
      </c>
      <c r="AC269" t="n">
        <v>154</v>
      </c>
      <c r="AD269" t="n">
        <v>3</v>
      </c>
      <c r="AE269" t="n">
        <v>3</v>
      </c>
      <c r="AF269" t="n">
        <v>8</v>
      </c>
      <c r="AG269" t="n">
        <v>8</v>
      </c>
      <c r="AH269" t="n">
        <v>0</v>
      </c>
      <c r="AI269" t="n">
        <v>0</v>
      </c>
      <c r="AJ269" t="n">
        <v>3</v>
      </c>
      <c r="AK269" t="n">
        <v>3</v>
      </c>
      <c r="AL269" t="n">
        <v>4</v>
      </c>
      <c r="AM269" t="n">
        <v>4</v>
      </c>
      <c r="AN269" t="n">
        <v>2</v>
      </c>
      <c r="AO269" t="n">
        <v>2</v>
      </c>
      <c r="AP269" t="n">
        <v>0</v>
      </c>
      <c r="AQ269" t="n">
        <v>0</v>
      </c>
      <c r="AR269" t="inlineStr">
        <is>
          <t>No</t>
        </is>
      </c>
      <c r="AS269" t="inlineStr">
        <is>
          <t>No</t>
        </is>
      </c>
      <c r="AU269">
        <f>HYPERLINK("https://creighton-primo.hosted.exlibrisgroup.com/primo-explore/search?tab=default_tab&amp;search_scope=EVERYTHING&amp;vid=01CRU&amp;lang=en_US&amp;offset=0&amp;query=any,contains,991000740449702656","Catalog Record")</f>
        <v/>
      </c>
      <c r="AV269">
        <f>HYPERLINK("http://www.worldcat.org/oclc/7716571","WorldCat Record")</f>
        <v/>
      </c>
      <c r="AW269" t="inlineStr">
        <is>
          <t>7424401:eng</t>
        </is>
      </c>
      <c r="AX269" t="inlineStr">
        <is>
          <t>7716571</t>
        </is>
      </c>
      <c r="AY269" t="inlineStr">
        <is>
          <t>991000740449702656</t>
        </is>
      </c>
      <c r="AZ269" t="inlineStr">
        <is>
          <t>991000740449702656</t>
        </is>
      </c>
      <c r="BA269" t="inlineStr">
        <is>
          <t>2270585110002656</t>
        </is>
      </c>
      <c r="BB269" t="inlineStr">
        <is>
          <t>BOOK</t>
        </is>
      </c>
      <c r="BE269" t="inlineStr">
        <is>
          <t>30001000043291</t>
        </is>
      </c>
      <c r="BF269" t="inlineStr">
        <is>
          <t>893120098</t>
        </is>
      </c>
    </row>
    <row r="270">
      <c r="A270" t="inlineStr">
        <is>
          <t>No</t>
        </is>
      </c>
      <c r="B270" t="inlineStr">
        <is>
          <t>CUHSL</t>
        </is>
      </c>
      <c r="C270" t="inlineStr">
        <is>
          <t>SHELVES</t>
        </is>
      </c>
      <c r="D270" t="inlineStr">
        <is>
          <t>WY 18 F832s 1975</t>
        </is>
      </c>
      <c r="E270" t="inlineStr">
        <is>
          <t>0                      WY 0018000F  832s        1975</t>
        </is>
      </c>
      <c r="F270" t="inlineStr">
        <is>
          <t>Selective and nonselective admissions criteria in junior college nursing programs / Doris R. Franklin.</t>
        </is>
      </c>
      <c r="H270" t="inlineStr">
        <is>
          <t>No</t>
        </is>
      </c>
      <c r="I270" t="inlineStr">
        <is>
          <t>1</t>
        </is>
      </c>
      <c r="J270" t="inlineStr">
        <is>
          <t>No</t>
        </is>
      </c>
      <c r="K270" t="inlineStr">
        <is>
          <t>No</t>
        </is>
      </c>
      <c r="L270" t="inlineStr">
        <is>
          <t>0</t>
        </is>
      </c>
      <c r="M270" t="inlineStr">
        <is>
          <t>Franklin, Doris R.</t>
        </is>
      </c>
      <c r="N270" t="inlineStr">
        <is>
          <t>New York : National League for Nursing, c1975.</t>
        </is>
      </c>
      <c r="O270" t="inlineStr">
        <is>
          <t>1975</t>
        </is>
      </c>
      <c r="Q270" t="inlineStr">
        <is>
          <t>eng</t>
        </is>
      </c>
      <c r="R270" t="inlineStr">
        <is>
          <t>nyu</t>
        </is>
      </c>
      <c r="S270" t="inlineStr">
        <is>
          <t>League exchange ; no. 104</t>
        </is>
      </c>
      <c r="T270" t="inlineStr">
        <is>
          <t xml:space="preserve">WY </t>
        </is>
      </c>
      <c r="U270" t="n">
        <v>1</v>
      </c>
      <c r="V270" t="n">
        <v>1</v>
      </c>
      <c r="W270" t="inlineStr">
        <is>
          <t>1990-08-20</t>
        </is>
      </c>
      <c r="X270" t="inlineStr">
        <is>
          <t>1990-08-20</t>
        </is>
      </c>
      <c r="Y270" t="inlineStr">
        <is>
          <t>1987-11-05</t>
        </is>
      </c>
      <c r="Z270" t="inlineStr">
        <is>
          <t>1987-11-05</t>
        </is>
      </c>
      <c r="AA270" t="n">
        <v>72</v>
      </c>
      <c r="AB270" t="n">
        <v>65</v>
      </c>
      <c r="AC270" t="n">
        <v>65</v>
      </c>
      <c r="AD270" t="n">
        <v>2</v>
      </c>
      <c r="AE270" t="n">
        <v>2</v>
      </c>
      <c r="AF270" t="n">
        <v>4</v>
      </c>
      <c r="AG270" t="n">
        <v>4</v>
      </c>
      <c r="AH270" t="n">
        <v>0</v>
      </c>
      <c r="AI270" t="n">
        <v>0</v>
      </c>
      <c r="AJ270" t="n">
        <v>0</v>
      </c>
      <c r="AK270" t="n">
        <v>0</v>
      </c>
      <c r="AL270" t="n">
        <v>3</v>
      </c>
      <c r="AM270" t="n">
        <v>3</v>
      </c>
      <c r="AN270" t="n">
        <v>1</v>
      </c>
      <c r="AO270" t="n">
        <v>1</v>
      </c>
      <c r="AP270" t="n">
        <v>0</v>
      </c>
      <c r="AQ270" t="n">
        <v>0</v>
      </c>
      <c r="AR270" t="inlineStr">
        <is>
          <t>No</t>
        </is>
      </c>
      <c r="AS270" t="inlineStr">
        <is>
          <t>No</t>
        </is>
      </c>
      <c r="AU270">
        <f>HYPERLINK("https://creighton-primo.hosted.exlibrisgroup.com/primo-explore/search?tab=default_tab&amp;search_scope=EVERYTHING&amp;vid=01CRU&amp;lang=en_US&amp;offset=0&amp;query=any,contains,991001387779702656","Catalog Record")</f>
        <v/>
      </c>
      <c r="AV270">
        <f>HYPERLINK("http://www.worldcat.org/oclc/1555881","WorldCat Record")</f>
        <v/>
      </c>
      <c r="AW270" t="inlineStr">
        <is>
          <t>423054264:eng</t>
        </is>
      </c>
      <c r="AX270" t="inlineStr">
        <is>
          <t>1555881</t>
        </is>
      </c>
      <c r="AY270" t="inlineStr">
        <is>
          <t>991001387779702656</t>
        </is>
      </c>
      <c r="AZ270" t="inlineStr">
        <is>
          <t>991001387779702656</t>
        </is>
      </c>
      <c r="BA270" t="inlineStr">
        <is>
          <t>2267902160002656</t>
        </is>
      </c>
      <c r="BB270" t="inlineStr">
        <is>
          <t>BOOK</t>
        </is>
      </c>
      <c r="BE270" t="inlineStr">
        <is>
          <t>30001000464166</t>
        </is>
      </c>
      <c r="BF270" t="inlineStr">
        <is>
          <t>893451125</t>
        </is>
      </c>
    </row>
    <row r="271">
      <c r="A271" t="inlineStr">
        <is>
          <t>No</t>
        </is>
      </c>
      <c r="B271" t="inlineStr">
        <is>
          <t>CUHSL</t>
        </is>
      </c>
      <c r="C271" t="inlineStr">
        <is>
          <t>SHELVES</t>
        </is>
      </c>
      <c r="D271" t="inlineStr">
        <is>
          <t>WY 18 F911f 1992</t>
        </is>
      </c>
      <c r="E271" t="inlineStr">
        <is>
          <t>0                      WY 0018000F  911f        1992</t>
        </is>
      </c>
      <c r="F271" t="inlineStr">
        <is>
          <t>Family nursing : theory and practice / Marilyn M. Friedman.</t>
        </is>
      </c>
      <c r="H271" t="inlineStr">
        <is>
          <t>No</t>
        </is>
      </c>
      <c r="I271" t="inlineStr">
        <is>
          <t>1</t>
        </is>
      </c>
      <c r="J271" t="inlineStr">
        <is>
          <t>No</t>
        </is>
      </c>
      <c r="K271" t="inlineStr">
        <is>
          <t>Yes</t>
        </is>
      </c>
      <c r="L271" t="inlineStr">
        <is>
          <t>1</t>
        </is>
      </c>
      <c r="M271" t="inlineStr">
        <is>
          <t>Friedman, Marilyn M.</t>
        </is>
      </c>
      <c r="N271" t="inlineStr">
        <is>
          <t>Norwalk, Conn. : Appleton &amp; Lange, c1992.</t>
        </is>
      </c>
      <c r="O271" t="inlineStr">
        <is>
          <t>1992</t>
        </is>
      </c>
      <c r="P271" t="inlineStr">
        <is>
          <t>3rd ed.</t>
        </is>
      </c>
      <c r="Q271" t="inlineStr">
        <is>
          <t>eng</t>
        </is>
      </c>
      <c r="R271" t="inlineStr">
        <is>
          <t>xxu</t>
        </is>
      </c>
      <c r="T271" t="inlineStr">
        <is>
          <t xml:space="preserve">WY </t>
        </is>
      </c>
      <c r="U271" t="n">
        <v>6</v>
      </c>
      <c r="V271" t="n">
        <v>6</v>
      </c>
      <c r="W271" t="inlineStr">
        <is>
          <t>1998-01-12</t>
        </is>
      </c>
      <c r="X271" t="inlineStr">
        <is>
          <t>1998-01-12</t>
        </is>
      </c>
      <c r="Y271" t="inlineStr">
        <is>
          <t>1992-04-23</t>
        </is>
      </c>
      <c r="Z271" t="inlineStr">
        <is>
          <t>1992-04-23</t>
        </is>
      </c>
      <c r="AA271" t="n">
        <v>343</v>
      </c>
      <c r="AB271" t="n">
        <v>272</v>
      </c>
      <c r="AC271" t="n">
        <v>721</v>
      </c>
      <c r="AD271" t="n">
        <v>2</v>
      </c>
      <c r="AE271" t="n">
        <v>3</v>
      </c>
      <c r="AF271" t="n">
        <v>10</v>
      </c>
      <c r="AG271" t="n">
        <v>25</v>
      </c>
      <c r="AH271" t="n">
        <v>6</v>
      </c>
      <c r="AI271" t="n">
        <v>13</v>
      </c>
      <c r="AJ271" t="n">
        <v>2</v>
      </c>
      <c r="AK271" t="n">
        <v>4</v>
      </c>
      <c r="AL271" t="n">
        <v>6</v>
      </c>
      <c r="AM271" t="n">
        <v>14</v>
      </c>
      <c r="AN271" t="n">
        <v>0</v>
      </c>
      <c r="AO271" t="n">
        <v>1</v>
      </c>
      <c r="AP271" t="n">
        <v>0</v>
      </c>
      <c r="AQ271" t="n">
        <v>0</v>
      </c>
      <c r="AR271" t="inlineStr">
        <is>
          <t>No</t>
        </is>
      </c>
      <c r="AS271" t="inlineStr">
        <is>
          <t>Yes</t>
        </is>
      </c>
      <c r="AT271">
        <f>HYPERLINK("http://catalog.hathitrust.org/Record/002518676","HathiTrust Record")</f>
        <v/>
      </c>
      <c r="AU271">
        <f>HYPERLINK("https://creighton-primo.hosted.exlibrisgroup.com/primo-explore/search?tab=default_tab&amp;search_scope=EVERYTHING&amp;vid=01CRU&amp;lang=en_US&amp;offset=0&amp;query=any,contains,991001302519702656","Catalog Record")</f>
        <v/>
      </c>
      <c r="AV271">
        <f>HYPERLINK("http://www.worldcat.org/oclc/24540126","WorldCat Record")</f>
        <v/>
      </c>
      <c r="AW271" t="inlineStr">
        <is>
          <t>632485:eng</t>
        </is>
      </c>
      <c r="AX271" t="inlineStr">
        <is>
          <t>24540126</t>
        </is>
      </c>
      <c r="AY271" t="inlineStr">
        <is>
          <t>991001302519702656</t>
        </is>
      </c>
      <c r="AZ271" t="inlineStr">
        <is>
          <t>991001302519702656</t>
        </is>
      </c>
      <c r="BA271" t="inlineStr">
        <is>
          <t>2260755820002656</t>
        </is>
      </c>
      <c r="BB271" t="inlineStr">
        <is>
          <t>BOOK</t>
        </is>
      </c>
      <c r="BD271" t="inlineStr">
        <is>
          <t>9780838525432</t>
        </is>
      </c>
      <c r="BE271" t="inlineStr">
        <is>
          <t>30001002412403</t>
        </is>
      </c>
      <c r="BF271" t="inlineStr">
        <is>
          <t>893821106</t>
        </is>
      </c>
    </row>
    <row r="272">
      <c r="A272" t="inlineStr">
        <is>
          <t>No</t>
        </is>
      </c>
      <c r="B272" t="inlineStr">
        <is>
          <t>CUHSL</t>
        </is>
      </c>
      <c r="C272" t="inlineStr">
        <is>
          <t>SHELVES</t>
        </is>
      </c>
      <c r="D272" t="inlineStr">
        <is>
          <t>WY 18 F931 1976</t>
        </is>
      </c>
      <c r="E272" t="inlineStr">
        <is>
          <t>0                      WY 0018000F  931         1976</t>
        </is>
      </c>
      <c r="F272" t="inlineStr">
        <is>
          <t>From student to worker : the process and product.</t>
        </is>
      </c>
      <c r="H272" t="inlineStr">
        <is>
          <t>No</t>
        </is>
      </c>
      <c r="I272" t="inlineStr">
        <is>
          <t>1</t>
        </is>
      </c>
      <c r="J272" t="inlineStr">
        <is>
          <t>No</t>
        </is>
      </c>
      <c r="K272" t="inlineStr">
        <is>
          <t>No</t>
        </is>
      </c>
      <c r="L272" t="inlineStr">
        <is>
          <t>0</t>
        </is>
      </c>
      <c r="N272" t="inlineStr">
        <is>
          <t>New York : National League for Nursing, c1976.</t>
        </is>
      </c>
      <c r="O272" t="inlineStr">
        <is>
          <t>1976</t>
        </is>
      </c>
      <c r="Q272" t="inlineStr">
        <is>
          <t>eng</t>
        </is>
      </c>
      <c r="R272" t="inlineStr">
        <is>
          <t>nyu</t>
        </is>
      </c>
      <c r="S272" t="inlineStr">
        <is>
          <t>NLN pub. no. 23-1657</t>
        </is>
      </c>
      <c r="T272" t="inlineStr">
        <is>
          <t xml:space="preserve">WY </t>
        </is>
      </c>
      <c r="U272" t="n">
        <v>3</v>
      </c>
      <c r="V272" t="n">
        <v>3</v>
      </c>
      <c r="W272" t="inlineStr">
        <is>
          <t>2002-03-06</t>
        </is>
      </c>
      <c r="X272" t="inlineStr">
        <is>
          <t>2002-03-06</t>
        </is>
      </c>
      <c r="Y272" t="inlineStr">
        <is>
          <t>1987-11-05</t>
        </is>
      </c>
      <c r="Z272" t="inlineStr">
        <is>
          <t>1987-11-05</t>
        </is>
      </c>
      <c r="AA272" t="n">
        <v>64</v>
      </c>
      <c r="AB272" t="n">
        <v>58</v>
      </c>
      <c r="AC272" t="n">
        <v>61</v>
      </c>
      <c r="AD272" t="n">
        <v>2</v>
      </c>
      <c r="AE272" t="n">
        <v>2</v>
      </c>
      <c r="AF272" t="n">
        <v>3</v>
      </c>
      <c r="AG272" t="n">
        <v>3</v>
      </c>
      <c r="AH272" t="n">
        <v>0</v>
      </c>
      <c r="AI272" t="n">
        <v>0</v>
      </c>
      <c r="AJ272" t="n">
        <v>0</v>
      </c>
      <c r="AK272" t="n">
        <v>0</v>
      </c>
      <c r="AL272" t="n">
        <v>2</v>
      </c>
      <c r="AM272" t="n">
        <v>2</v>
      </c>
      <c r="AN272" t="n">
        <v>1</v>
      </c>
      <c r="AO272" t="n">
        <v>1</v>
      </c>
      <c r="AP272" t="n">
        <v>0</v>
      </c>
      <c r="AQ272" t="n">
        <v>0</v>
      </c>
      <c r="AR272" t="inlineStr">
        <is>
          <t>No</t>
        </is>
      </c>
      <c r="AS272" t="inlineStr">
        <is>
          <t>Yes</t>
        </is>
      </c>
      <c r="AT272">
        <f>HYPERLINK("http://catalog.hathitrust.org/Record/000171176","HathiTrust Record")</f>
        <v/>
      </c>
      <c r="AU272">
        <f>HYPERLINK("https://creighton-primo.hosted.exlibrisgroup.com/primo-explore/search?tab=default_tab&amp;search_scope=EVERYTHING&amp;vid=01CRU&amp;lang=en_US&amp;offset=0&amp;query=any,contains,991001387929702656","Catalog Record")</f>
        <v/>
      </c>
      <c r="AV272">
        <f>HYPERLINK("http://www.worldcat.org/oclc/2707124","WorldCat Record")</f>
        <v/>
      </c>
      <c r="AW272" t="inlineStr">
        <is>
          <t>5825792:eng</t>
        </is>
      </c>
      <c r="AX272" t="inlineStr">
        <is>
          <t>2707124</t>
        </is>
      </c>
      <c r="AY272" t="inlineStr">
        <is>
          <t>991001387929702656</t>
        </is>
      </c>
      <c r="AZ272" t="inlineStr">
        <is>
          <t>991001387929702656</t>
        </is>
      </c>
      <c r="BA272" t="inlineStr">
        <is>
          <t>2268523400002656</t>
        </is>
      </c>
      <c r="BB272" t="inlineStr">
        <is>
          <t>BOOK</t>
        </is>
      </c>
      <c r="BE272" t="inlineStr">
        <is>
          <t>30001000464190</t>
        </is>
      </c>
      <c r="BF272" t="inlineStr">
        <is>
          <t>893358526</t>
        </is>
      </c>
    </row>
    <row r="273">
      <c r="A273" t="inlineStr">
        <is>
          <t>No</t>
        </is>
      </c>
      <c r="B273" t="inlineStr">
        <is>
          <t>CUHSL</t>
        </is>
      </c>
      <c r="C273" t="inlineStr">
        <is>
          <t>SHELVES</t>
        </is>
      </c>
      <c r="D273" t="inlineStr">
        <is>
          <t>WY 18 F962 1969</t>
        </is>
      </c>
      <c r="E273" t="inlineStr">
        <is>
          <t>0                      WY 0018000F  962         1969</t>
        </is>
      </c>
      <c r="F273" t="inlineStr">
        <is>
          <t>Quality care, community service, library service : papers presented at the program meeting of the Interagency Council on Library Tools for Nursing at the 1969 convention of the National League for Nursing.</t>
        </is>
      </c>
      <c r="H273" t="inlineStr">
        <is>
          <t>No</t>
        </is>
      </c>
      <c r="I273" t="inlineStr">
        <is>
          <t>1</t>
        </is>
      </c>
      <c r="J273" t="inlineStr">
        <is>
          <t>No</t>
        </is>
      </c>
      <c r="K273" t="inlineStr">
        <is>
          <t>No</t>
        </is>
      </c>
      <c r="L273" t="inlineStr">
        <is>
          <t>0</t>
        </is>
      </c>
      <c r="M273" t="inlineStr">
        <is>
          <t>Fulcher, Jane M.</t>
        </is>
      </c>
      <c r="N273" t="inlineStr">
        <is>
          <t>New York : National League for Nursing, 1969.</t>
        </is>
      </c>
      <c r="O273" t="inlineStr">
        <is>
          <t>1969</t>
        </is>
      </c>
      <c r="Q273" t="inlineStr">
        <is>
          <t>eng</t>
        </is>
      </c>
      <c r="R273" t="inlineStr">
        <is>
          <t>nyu</t>
        </is>
      </c>
      <c r="S273" t="inlineStr">
        <is>
          <t>League exchange, no. 89</t>
        </is>
      </c>
      <c r="T273" t="inlineStr">
        <is>
          <t xml:space="preserve">WY </t>
        </is>
      </c>
      <c r="U273" t="n">
        <v>2</v>
      </c>
      <c r="V273" t="n">
        <v>2</v>
      </c>
      <c r="W273" t="inlineStr">
        <is>
          <t>1990-04-30</t>
        </is>
      </c>
      <c r="X273" t="inlineStr">
        <is>
          <t>1990-04-30</t>
        </is>
      </c>
      <c r="Y273" t="inlineStr">
        <is>
          <t>1987-10-14</t>
        </is>
      </c>
      <c r="Z273" t="inlineStr">
        <is>
          <t>1987-10-14</t>
        </is>
      </c>
      <c r="AA273" t="n">
        <v>47</v>
      </c>
      <c r="AB273" t="n">
        <v>41</v>
      </c>
      <c r="AC273" t="n">
        <v>42</v>
      </c>
      <c r="AD273" t="n">
        <v>2</v>
      </c>
      <c r="AE273" t="n">
        <v>2</v>
      </c>
      <c r="AF273" t="n">
        <v>0</v>
      </c>
      <c r="AG273" t="n">
        <v>0</v>
      </c>
      <c r="AH273" t="n">
        <v>0</v>
      </c>
      <c r="AI273" t="n">
        <v>0</v>
      </c>
      <c r="AJ273" t="n">
        <v>0</v>
      </c>
      <c r="AK273" t="n">
        <v>0</v>
      </c>
      <c r="AL273" t="n">
        <v>0</v>
      </c>
      <c r="AM273" t="n">
        <v>0</v>
      </c>
      <c r="AN273" t="n">
        <v>0</v>
      </c>
      <c r="AO273" t="n">
        <v>0</v>
      </c>
      <c r="AP273" t="n">
        <v>0</v>
      </c>
      <c r="AQ273" t="n">
        <v>0</v>
      </c>
      <c r="AR273" t="inlineStr">
        <is>
          <t>No</t>
        </is>
      </c>
      <c r="AS273" t="inlineStr">
        <is>
          <t>Yes</t>
        </is>
      </c>
      <c r="AT273">
        <f>HYPERLINK("http://catalog.hathitrust.org/Record/001107749","HathiTrust Record")</f>
        <v/>
      </c>
      <c r="AU273">
        <f>HYPERLINK("https://creighton-primo.hosted.exlibrisgroup.com/primo-explore/search?tab=default_tab&amp;search_scope=EVERYTHING&amp;vid=01CRU&amp;lang=en_US&amp;offset=0&amp;query=any,contains,991001362359702656","Catalog Record")</f>
        <v/>
      </c>
      <c r="AV273">
        <f>HYPERLINK("http://www.worldcat.org/oclc/82070","WorldCat Record")</f>
        <v/>
      </c>
      <c r="AW273" t="inlineStr">
        <is>
          <t>1267063:eng</t>
        </is>
      </c>
      <c r="AX273" t="inlineStr">
        <is>
          <t>82070</t>
        </is>
      </c>
      <c r="AY273" t="inlineStr">
        <is>
          <t>991001362359702656</t>
        </is>
      </c>
      <c r="AZ273" t="inlineStr">
        <is>
          <t>991001362359702656</t>
        </is>
      </c>
      <c r="BA273" t="inlineStr">
        <is>
          <t>2271950430002656</t>
        </is>
      </c>
      <c r="BB273" t="inlineStr">
        <is>
          <t>BOOK</t>
        </is>
      </c>
      <c r="BE273" t="inlineStr">
        <is>
          <t>30001000460958</t>
        </is>
      </c>
      <c r="BF273" t="inlineStr">
        <is>
          <t>893736519</t>
        </is>
      </c>
    </row>
    <row r="274">
      <c r="A274" t="inlineStr">
        <is>
          <t>No</t>
        </is>
      </c>
      <c r="B274" t="inlineStr">
        <is>
          <t>CUHSL</t>
        </is>
      </c>
      <c r="C274" t="inlineStr">
        <is>
          <t>SHELVES</t>
        </is>
      </c>
      <c r="D274" t="inlineStr">
        <is>
          <t>WY 18 F996i 1989</t>
        </is>
      </c>
      <c r="E274" t="inlineStr">
        <is>
          <t>0                      WY 0018000F  996i        1989</t>
        </is>
      </c>
      <c r="F274" t="inlineStr">
        <is>
          <t>Innovative teaching strategies in nursing / Barbara Fuszard.</t>
        </is>
      </c>
      <c r="H274" t="inlineStr">
        <is>
          <t>No</t>
        </is>
      </c>
      <c r="I274" t="inlineStr">
        <is>
          <t>1</t>
        </is>
      </c>
      <c r="J274" t="inlineStr">
        <is>
          <t>No</t>
        </is>
      </c>
      <c r="K274" t="inlineStr">
        <is>
          <t>Yes</t>
        </is>
      </c>
      <c r="L274" t="inlineStr">
        <is>
          <t>0</t>
        </is>
      </c>
      <c r="M274" t="inlineStr">
        <is>
          <t>Fuszard, Barbara.</t>
        </is>
      </c>
      <c r="N274" t="inlineStr">
        <is>
          <t>Rockville, Md. : Aspen Publishers, c1989.</t>
        </is>
      </c>
      <c r="O274" t="inlineStr">
        <is>
          <t>1989</t>
        </is>
      </c>
      <c r="Q274" t="inlineStr">
        <is>
          <t>eng</t>
        </is>
      </c>
      <c r="R274" t="inlineStr">
        <is>
          <t>xxu</t>
        </is>
      </c>
      <c r="T274" t="inlineStr">
        <is>
          <t xml:space="preserve">WY </t>
        </is>
      </c>
      <c r="U274" t="n">
        <v>10</v>
      </c>
      <c r="V274" t="n">
        <v>10</v>
      </c>
      <c r="W274" t="inlineStr">
        <is>
          <t>1997-06-23</t>
        </is>
      </c>
      <c r="X274" t="inlineStr">
        <is>
          <t>1997-06-23</t>
        </is>
      </c>
      <c r="Y274" t="inlineStr">
        <is>
          <t>1991-11-04</t>
        </is>
      </c>
      <c r="Z274" t="inlineStr">
        <is>
          <t>1991-11-04</t>
        </is>
      </c>
      <c r="AA274" t="n">
        <v>273</v>
      </c>
      <c r="AB274" t="n">
        <v>229</v>
      </c>
      <c r="AC274" t="n">
        <v>358</v>
      </c>
      <c r="AD274" t="n">
        <v>4</v>
      </c>
      <c r="AE274" t="n">
        <v>4</v>
      </c>
      <c r="AF274" t="n">
        <v>8</v>
      </c>
      <c r="AG274" t="n">
        <v>13</v>
      </c>
      <c r="AH274" t="n">
        <v>1</v>
      </c>
      <c r="AI274" t="n">
        <v>4</v>
      </c>
      <c r="AJ274" t="n">
        <v>1</v>
      </c>
      <c r="AK274" t="n">
        <v>2</v>
      </c>
      <c r="AL274" t="n">
        <v>4</v>
      </c>
      <c r="AM274" t="n">
        <v>8</v>
      </c>
      <c r="AN274" t="n">
        <v>2</v>
      </c>
      <c r="AO274" t="n">
        <v>2</v>
      </c>
      <c r="AP274" t="n">
        <v>0</v>
      </c>
      <c r="AQ274" t="n">
        <v>0</v>
      </c>
      <c r="AR274" t="inlineStr">
        <is>
          <t>No</t>
        </is>
      </c>
      <c r="AS274" t="inlineStr">
        <is>
          <t>Yes</t>
        </is>
      </c>
      <c r="AT274">
        <f>HYPERLINK("http://catalog.hathitrust.org/Record/001080607","HathiTrust Record")</f>
        <v/>
      </c>
      <c r="AU274">
        <f>HYPERLINK("https://creighton-primo.hosted.exlibrisgroup.com/primo-explore/search?tab=default_tab&amp;search_scope=EVERYTHING&amp;vid=01CRU&amp;lang=en_US&amp;offset=0&amp;query=any,contains,991000948319702656","Catalog Record")</f>
        <v/>
      </c>
      <c r="AV274">
        <f>HYPERLINK("http://www.worldcat.org/oclc/18290066","WorldCat Record")</f>
        <v/>
      </c>
      <c r="AW274" t="inlineStr">
        <is>
          <t>17890662:eng</t>
        </is>
      </c>
      <c r="AX274" t="inlineStr">
        <is>
          <t>18290066</t>
        </is>
      </c>
      <c r="AY274" t="inlineStr">
        <is>
          <t>991000948319702656</t>
        </is>
      </c>
      <c r="AZ274" t="inlineStr">
        <is>
          <t>991000948319702656</t>
        </is>
      </c>
      <c r="BA274" t="inlineStr">
        <is>
          <t>2271108470002656</t>
        </is>
      </c>
      <c r="BB274" t="inlineStr">
        <is>
          <t>BOOK</t>
        </is>
      </c>
      <c r="BD274" t="inlineStr">
        <is>
          <t>9780834200081</t>
        </is>
      </c>
      <c r="BE274" t="inlineStr">
        <is>
          <t>30001002194415</t>
        </is>
      </c>
      <c r="BF274" t="inlineStr">
        <is>
          <t>893363571</t>
        </is>
      </c>
    </row>
    <row r="275">
      <c r="A275" t="inlineStr">
        <is>
          <t>No</t>
        </is>
      </c>
      <c r="B275" t="inlineStr">
        <is>
          <t>CUHSL</t>
        </is>
      </c>
      <c r="C275" t="inlineStr">
        <is>
          <t>SHELVES</t>
        </is>
      </c>
      <c r="D275" t="inlineStr">
        <is>
          <t>WY18 G112c 2007</t>
        </is>
      </c>
      <c r="E275" t="inlineStr">
        <is>
          <t>0                      WY 0018000G  112c        2007</t>
        </is>
      </c>
      <c r="F275" t="inlineStr">
        <is>
          <t>Clinical teaching strategies in nursing / Kathleen B. Gaberson, Marilyn H. Oermann, [editors].</t>
        </is>
      </c>
      <c r="H275" t="inlineStr">
        <is>
          <t>No</t>
        </is>
      </c>
      <c r="I275" t="inlineStr">
        <is>
          <t>1</t>
        </is>
      </c>
      <c r="J275" t="inlineStr">
        <is>
          <t>No</t>
        </is>
      </c>
      <c r="K275" t="inlineStr">
        <is>
          <t>No</t>
        </is>
      </c>
      <c r="L275" t="inlineStr">
        <is>
          <t>1</t>
        </is>
      </c>
      <c r="N275" t="inlineStr">
        <is>
          <t>New York : Springer Pub., c2007.</t>
        </is>
      </c>
      <c r="O275" t="inlineStr">
        <is>
          <t>2007</t>
        </is>
      </c>
      <c r="P275" t="inlineStr">
        <is>
          <t>2nd ed.</t>
        </is>
      </c>
      <c r="Q275" t="inlineStr">
        <is>
          <t>eng</t>
        </is>
      </c>
      <c r="R275" t="inlineStr">
        <is>
          <t>nyu</t>
        </is>
      </c>
      <c r="S275" t="inlineStr">
        <is>
          <t>Springer series on the teaching of nursing</t>
        </is>
      </c>
      <c r="T275" t="inlineStr">
        <is>
          <t xml:space="preserve">WY </t>
        </is>
      </c>
      <c r="U275" t="n">
        <v>1</v>
      </c>
      <c r="V275" t="n">
        <v>1</v>
      </c>
      <c r="W275" t="inlineStr">
        <is>
          <t>2009-01-22</t>
        </is>
      </c>
      <c r="X275" t="inlineStr">
        <is>
          <t>2009-01-22</t>
        </is>
      </c>
      <c r="Y275" t="inlineStr">
        <is>
          <t>2007-04-16</t>
        </is>
      </c>
      <c r="Z275" t="inlineStr">
        <is>
          <t>2007-04-16</t>
        </is>
      </c>
      <c r="AA275" t="n">
        <v>371</v>
      </c>
      <c r="AB275" t="n">
        <v>265</v>
      </c>
      <c r="AC275" t="n">
        <v>1396</v>
      </c>
      <c r="AD275" t="n">
        <v>2</v>
      </c>
      <c r="AE275" t="n">
        <v>17</v>
      </c>
      <c r="AF275" t="n">
        <v>8</v>
      </c>
      <c r="AG275" t="n">
        <v>57</v>
      </c>
      <c r="AH275" t="n">
        <v>2</v>
      </c>
      <c r="AI275" t="n">
        <v>20</v>
      </c>
      <c r="AJ275" t="n">
        <v>1</v>
      </c>
      <c r="AK275" t="n">
        <v>11</v>
      </c>
      <c r="AL275" t="n">
        <v>5</v>
      </c>
      <c r="AM275" t="n">
        <v>19</v>
      </c>
      <c r="AN275" t="n">
        <v>1</v>
      </c>
      <c r="AO275" t="n">
        <v>15</v>
      </c>
      <c r="AP275" t="n">
        <v>0</v>
      </c>
      <c r="AQ275" t="n">
        <v>2</v>
      </c>
      <c r="AR275" t="inlineStr">
        <is>
          <t>No</t>
        </is>
      </c>
      <c r="AS275" t="inlineStr">
        <is>
          <t>No</t>
        </is>
      </c>
      <c r="AU275">
        <f>HYPERLINK("https://creighton-primo.hosted.exlibrisgroup.com/primo-explore/search?tab=default_tab&amp;search_scope=EVERYTHING&amp;vid=01CRU&amp;lang=en_US&amp;offset=0&amp;query=any,contains,991000611029702656","Catalog Record")</f>
        <v/>
      </c>
      <c r="AV275">
        <f>HYPERLINK("http://www.worldcat.org/oclc/71273730","WorldCat Record")</f>
        <v/>
      </c>
      <c r="AW275" t="inlineStr">
        <is>
          <t>4928180361:eng</t>
        </is>
      </c>
      <c r="AX275" t="inlineStr">
        <is>
          <t>71273730</t>
        </is>
      </c>
      <c r="AY275" t="inlineStr">
        <is>
          <t>991000611029702656</t>
        </is>
      </c>
      <c r="AZ275" t="inlineStr">
        <is>
          <t>991000611029702656</t>
        </is>
      </c>
      <c r="BA275" t="inlineStr">
        <is>
          <t>2255899980002656</t>
        </is>
      </c>
      <c r="BB275" t="inlineStr">
        <is>
          <t>BOOK</t>
        </is>
      </c>
      <c r="BD275" t="inlineStr">
        <is>
          <t>9780826102485</t>
        </is>
      </c>
      <c r="BE275" t="inlineStr">
        <is>
          <t>30001005221751</t>
        </is>
      </c>
      <c r="BF275" t="inlineStr">
        <is>
          <t>893454485</t>
        </is>
      </c>
    </row>
    <row r="276">
      <c r="A276" t="inlineStr">
        <is>
          <t>No</t>
        </is>
      </c>
      <c r="B276" t="inlineStr">
        <is>
          <t>CUHSL</t>
        </is>
      </c>
      <c r="C276" t="inlineStr">
        <is>
          <t>SHELVES</t>
        </is>
      </c>
      <c r="D276" t="inlineStr">
        <is>
          <t>WY 18 G312s 1968</t>
        </is>
      </c>
      <c r="E276" t="inlineStr">
        <is>
          <t>0                      WY 0018000G  312s        1968</t>
        </is>
      </c>
      <c r="F276" t="inlineStr">
        <is>
          <t>A study of some effects of sensitivity training on the performance of students in associate degree programs of nursing education.</t>
        </is>
      </c>
      <c r="H276" t="inlineStr">
        <is>
          <t>No</t>
        </is>
      </c>
      <c r="I276" t="inlineStr">
        <is>
          <t>1</t>
        </is>
      </c>
      <c r="J276" t="inlineStr">
        <is>
          <t>No</t>
        </is>
      </c>
      <c r="K276" t="inlineStr">
        <is>
          <t>No</t>
        </is>
      </c>
      <c r="L276" t="inlineStr">
        <is>
          <t>0</t>
        </is>
      </c>
      <c r="M276" t="inlineStr">
        <is>
          <t>Geitgey, Doris A. (Doris Arlene)</t>
        </is>
      </c>
      <c r="N276" t="inlineStr">
        <is>
          <t>New York : National League for Nursing, Dept. of Associate Degree Programs, 1968.</t>
        </is>
      </c>
      <c r="O276" t="inlineStr">
        <is>
          <t>1968</t>
        </is>
      </c>
      <c r="Q276" t="inlineStr">
        <is>
          <t>eng</t>
        </is>
      </c>
      <c r="R276" t="inlineStr">
        <is>
          <t>nyu</t>
        </is>
      </c>
      <c r="S276" t="inlineStr">
        <is>
          <t>League exchange ; no. 86</t>
        </is>
      </c>
      <c r="T276" t="inlineStr">
        <is>
          <t xml:space="preserve">WY </t>
        </is>
      </c>
      <c r="U276" t="n">
        <v>1</v>
      </c>
      <c r="V276" t="n">
        <v>1</v>
      </c>
      <c r="W276" t="inlineStr">
        <is>
          <t>1990-08-20</t>
        </is>
      </c>
      <c r="X276" t="inlineStr">
        <is>
          <t>1990-08-20</t>
        </is>
      </c>
      <c r="Y276" t="inlineStr">
        <is>
          <t>1987-11-05</t>
        </is>
      </c>
      <c r="Z276" t="inlineStr">
        <is>
          <t>1987-11-05</t>
        </is>
      </c>
      <c r="AA276" t="n">
        <v>54</v>
      </c>
      <c r="AB276" t="n">
        <v>46</v>
      </c>
      <c r="AC276" t="n">
        <v>50</v>
      </c>
      <c r="AD276" t="n">
        <v>1</v>
      </c>
      <c r="AE276" t="n">
        <v>1</v>
      </c>
      <c r="AF276" t="n">
        <v>2</v>
      </c>
      <c r="AG276" t="n">
        <v>3</v>
      </c>
      <c r="AH276" t="n">
        <v>0</v>
      </c>
      <c r="AI276" t="n">
        <v>0</v>
      </c>
      <c r="AJ276" t="n">
        <v>0</v>
      </c>
      <c r="AK276" t="n">
        <v>0</v>
      </c>
      <c r="AL276" t="n">
        <v>2</v>
      </c>
      <c r="AM276" t="n">
        <v>3</v>
      </c>
      <c r="AN276" t="n">
        <v>0</v>
      </c>
      <c r="AO276" t="n">
        <v>0</v>
      </c>
      <c r="AP276" t="n">
        <v>0</v>
      </c>
      <c r="AQ276" t="n">
        <v>0</v>
      </c>
      <c r="AR276" t="inlineStr">
        <is>
          <t>No</t>
        </is>
      </c>
      <c r="AS276" t="inlineStr">
        <is>
          <t>Yes</t>
        </is>
      </c>
      <c r="AT276">
        <f>HYPERLINK("http://catalog.hathitrust.org/Record/001574584","HathiTrust Record")</f>
        <v/>
      </c>
      <c r="AU276">
        <f>HYPERLINK("https://creighton-primo.hosted.exlibrisgroup.com/primo-explore/search?tab=default_tab&amp;search_scope=EVERYTHING&amp;vid=01CRU&amp;lang=en_US&amp;offset=0&amp;query=any,contains,991001387589702656","Catalog Record")</f>
        <v/>
      </c>
      <c r="AV276">
        <f>HYPERLINK("http://www.worldcat.org/oclc/29128","WorldCat Record")</f>
        <v/>
      </c>
      <c r="AW276" t="inlineStr">
        <is>
          <t>1174359:eng</t>
        </is>
      </c>
      <c r="AX276" t="inlineStr">
        <is>
          <t>29128</t>
        </is>
      </c>
      <c r="AY276" t="inlineStr">
        <is>
          <t>991001387589702656</t>
        </is>
      </c>
      <c r="AZ276" t="inlineStr">
        <is>
          <t>991001387589702656</t>
        </is>
      </c>
      <c r="BA276" t="inlineStr">
        <is>
          <t>2266304780002656</t>
        </is>
      </c>
      <c r="BB276" t="inlineStr">
        <is>
          <t>BOOK</t>
        </is>
      </c>
      <c r="BE276" t="inlineStr">
        <is>
          <t>30001000464109</t>
        </is>
      </c>
      <c r="BF276" t="inlineStr">
        <is>
          <t>893834658</t>
        </is>
      </c>
    </row>
    <row r="277">
      <c r="A277" t="inlineStr">
        <is>
          <t>No</t>
        </is>
      </c>
      <c r="B277" t="inlineStr">
        <is>
          <t>CUHSL</t>
        </is>
      </c>
      <c r="C277" t="inlineStr">
        <is>
          <t>SHELVES</t>
        </is>
      </c>
      <c r="D277" t="inlineStr">
        <is>
          <t>WY 18 G326 1978</t>
        </is>
      </c>
      <c r="E277" t="inlineStr">
        <is>
          <t>0                      WY 0018000G  326         1978</t>
        </is>
      </c>
      <c r="F277" t="inlineStr">
        <is>
          <t>Generating effective teaching.</t>
        </is>
      </c>
      <c r="H277" t="inlineStr">
        <is>
          <t>No</t>
        </is>
      </c>
      <c r="I277" t="inlineStr">
        <is>
          <t>1</t>
        </is>
      </c>
      <c r="J277" t="inlineStr">
        <is>
          <t>No</t>
        </is>
      </c>
      <c r="K277" t="inlineStr">
        <is>
          <t>No</t>
        </is>
      </c>
      <c r="L277" t="inlineStr">
        <is>
          <t>0</t>
        </is>
      </c>
      <c r="N277" t="inlineStr">
        <is>
          <t>New York : National League for Nursing, c1978.</t>
        </is>
      </c>
      <c r="O277" t="inlineStr">
        <is>
          <t>1978</t>
        </is>
      </c>
      <c r="Q277" t="inlineStr">
        <is>
          <t>eng</t>
        </is>
      </c>
      <c r="R277" t="inlineStr">
        <is>
          <t>nyu</t>
        </is>
      </c>
      <c r="S277" t="inlineStr">
        <is>
          <t>NLN pub. no. 16-1749</t>
        </is>
      </c>
      <c r="T277" t="inlineStr">
        <is>
          <t xml:space="preserve">WY </t>
        </is>
      </c>
      <c r="U277" t="n">
        <v>1</v>
      </c>
      <c r="V277" t="n">
        <v>1</v>
      </c>
      <c r="W277" t="inlineStr">
        <is>
          <t>1990-06-12</t>
        </is>
      </c>
      <c r="X277" t="inlineStr">
        <is>
          <t>1990-06-12</t>
        </is>
      </c>
      <c r="Y277" t="inlineStr">
        <is>
          <t>1987-10-29</t>
        </is>
      </c>
      <c r="Z277" t="inlineStr">
        <is>
          <t>1987-10-29</t>
        </is>
      </c>
      <c r="AA277" t="n">
        <v>102</v>
      </c>
      <c r="AB277" t="n">
        <v>85</v>
      </c>
      <c r="AC277" t="n">
        <v>87</v>
      </c>
      <c r="AD277" t="n">
        <v>1</v>
      </c>
      <c r="AE277" t="n">
        <v>1</v>
      </c>
      <c r="AF277" t="n">
        <v>4</v>
      </c>
      <c r="AG277" t="n">
        <v>4</v>
      </c>
      <c r="AH277" t="n">
        <v>1</v>
      </c>
      <c r="AI277" t="n">
        <v>1</v>
      </c>
      <c r="AJ277" t="n">
        <v>1</v>
      </c>
      <c r="AK277" t="n">
        <v>1</v>
      </c>
      <c r="AL277" t="n">
        <v>3</v>
      </c>
      <c r="AM277" t="n">
        <v>3</v>
      </c>
      <c r="AN277" t="n">
        <v>0</v>
      </c>
      <c r="AO277" t="n">
        <v>0</v>
      </c>
      <c r="AP277" t="n">
        <v>0</v>
      </c>
      <c r="AQ277" t="n">
        <v>0</v>
      </c>
      <c r="AR277" t="inlineStr">
        <is>
          <t>No</t>
        </is>
      </c>
      <c r="AS277" t="inlineStr">
        <is>
          <t>Yes</t>
        </is>
      </c>
      <c r="AT277">
        <f>HYPERLINK("http://catalog.hathitrust.org/Record/000220703","HathiTrust Record")</f>
        <v/>
      </c>
      <c r="AU277">
        <f>HYPERLINK("https://creighton-primo.hosted.exlibrisgroup.com/primo-explore/search?tab=default_tab&amp;search_scope=EVERYTHING&amp;vid=01CRU&amp;lang=en_US&amp;offset=0&amp;query=any,contains,991001376519702656","Catalog Record")</f>
        <v/>
      </c>
      <c r="AV277">
        <f>HYPERLINK("http://www.worldcat.org/oclc/5125989","WorldCat Record")</f>
        <v/>
      </c>
      <c r="AW277" t="inlineStr">
        <is>
          <t>16526847:eng</t>
        </is>
      </c>
      <c r="AX277" t="inlineStr">
        <is>
          <t>5125989</t>
        </is>
      </c>
      <c r="AY277" t="inlineStr">
        <is>
          <t>991001376519702656</t>
        </is>
      </c>
      <c r="AZ277" t="inlineStr">
        <is>
          <t>991001376519702656</t>
        </is>
      </c>
      <c r="BA277" t="inlineStr">
        <is>
          <t>2264497750002656</t>
        </is>
      </c>
      <c r="BB277" t="inlineStr">
        <is>
          <t>BOOK</t>
        </is>
      </c>
      <c r="BE277" t="inlineStr">
        <is>
          <t>30001000462335</t>
        </is>
      </c>
      <c r="BF277" t="inlineStr">
        <is>
          <t>893633000</t>
        </is>
      </c>
    </row>
    <row r="278">
      <c r="A278" t="inlineStr">
        <is>
          <t>No</t>
        </is>
      </c>
      <c r="B278" t="inlineStr">
        <is>
          <t>CUHSL</t>
        </is>
      </c>
      <c r="C278" t="inlineStr">
        <is>
          <t>SHELVES</t>
        </is>
      </c>
      <c r="D278" t="inlineStr">
        <is>
          <t>WY 18 G365o 1962</t>
        </is>
      </c>
      <c r="E278" t="inlineStr">
        <is>
          <t>0                      WY 0018000G  365o        1962</t>
        </is>
      </c>
      <c r="F278" t="inlineStr">
        <is>
          <t>An observational method for evaluating the performance of nursing students in clinical situations / by Louise Rozario Gerchberg.</t>
        </is>
      </c>
      <c r="H278" t="inlineStr">
        <is>
          <t>No</t>
        </is>
      </c>
      <c r="I278" t="inlineStr">
        <is>
          <t>1</t>
        </is>
      </c>
      <c r="J278" t="inlineStr">
        <is>
          <t>No</t>
        </is>
      </c>
      <c r="K278" t="inlineStr">
        <is>
          <t>No</t>
        </is>
      </c>
      <c r="L278" t="inlineStr">
        <is>
          <t>0</t>
        </is>
      </c>
      <c r="M278" t="inlineStr">
        <is>
          <t>Gerchberg, Louise Rozario.</t>
        </is>
      </c>
      <c r="N278" t="inlineStr">
        <is>
          <t>New York : National League for Nursing, 1962.</t>
        </is>
      </c>
      <c r="O278" t="inlineStr">
        <is>
          <t>1962</t>
        </is>
      </c>
      <c r="Q278" t="inlineStr">
        <is>
          <t>eng</t>
        </is>
      </c>
      <c r="R278" t="inlineStr">
        <is>
          <t>nyu</t>
        </is>
      </c>
      <c r="S278" t="inlineStr">
        <is>
          <t>League exchange</t>
        </is>
      </c>
      <c r="T278" t="inlineStr">
        <is>
          <t xml:space="preserve">WY </t>
        </is>
      </c>
      <c r="U278" t="n">
        <v>2</v>
      </c>
      <c r="V278" t="n">
        <v>2</v>
      </c>
      <c r="W278" t="inlineStr">
        <is>
          <t>1990-09-05</t>
        </is>
      </c>
      <c r="X278" t="inlineStr">
        <is>
          <t>1990-09-05</t>
        </is>
      </c>
      <c r="Y278" t="inlineStr">
        <is>
          <t>1987-10-29</t>
        </is>
      </c>
      <c r="Z278" t="inlineStr">
        <is>
          <t>1987-10-29</t>
        </is>
      </c>
      <c r="AA278" t="n">
        <v>49</v>
      </c>
      <c r="AB278" t="n">
        <v>44</v>
      </c>
      <c r="AC278" t="n">
        <v>51</v>
      </c>
      <c r="AD278" t="n">
        <v>1</v>
      </c>
      <c r="AE278" t="n">
        <v>1</v>
      </c>
      <c r="AF278" t="n">
        <v>2</v>
      </c>
      <c r="AG278" t="n">
        <v>2</v>
      </c>
      <c r="AH278" t="n">
        <v>0</v>
      </c>
      <c r="AI278" t="n">
        <v>0</v>
      </c>
      <c r="AJ278" t="n">
        <v>0</v>
      </c>
      <c r="AK278" t="n">
        <v>0</v>
      </c>
      <c r="AL278" t="n">
        <v>2</v>
      </c>
      <c r="AM278" t="n">
        <v>2</v>
      </c>
      <c r="AN278" t="n">
        <v>0</v>
      </c>
      <c r="AO278" t="n">
        <v>0</v>
      </c>
      <c r="AP278" t="n">
        <v>0</v>
      </c>
      <c r="AQ278" t="n">
        <v>0</v>
      </c>
      <c r="AR278" t="inlineStr">
        <is>
          <t>Yes</t>
        </is>
      </c>
      <c r="AS278" t="inlineStr">
        <is>
          <t>No</t>
        </is>
      </c>
      <c r="AT278">
        <f>HYPERLINK("http://catalog.hathitrust.org/Record/002072073","HathiTrust Record")</f>
        <v/>
      </c>
      <c r="AU278">
        <f>HYPERLINK("https://creighton-primo.hosted.exlibrisgroup.com/primo-explore/search?tab=default_tab&amp;search_scope=EVERYTHING&amp;vid=01CRU&amp;lang=en_US&amp;offset=0&amp;query=any,contains,991001375279702656","Catalog Record")</f>
        <v/>
      </c>
      <c r="AV278">
        <f>HYPERLINK("http://www.worldcat.org/oclc/3280770","WorldCat Record")</f>
        <v/>
      </c>
      <c r="AW278" t="inlineStr">
        <is>
          <t>9431563:eng</t>
        </is>
      </c>
      <c r="AX278" t="inlineStr">
        <is>
          <t>3280770</t>
        </is>
      </c>
      <c r="AY278" t="inlineStr">
        <is>
          <t>991001375279702656</t>
        </is>
      </c>
      <c r="AZ278" t="inlineStr">
        <is>
          <t>991001375279702656</t>
        </is>
      </c>
      <c r="BA278" t="inlineStr">
        <is>
          <t>2258490950002656</t>
        </is>
      </c>
      <c r="BB278" t="inlineStr">
        <is>
          <t>BOOK</t>
        </is>
      </c>
      <c r="BE278" t="inlineStr">
        <is>
          <t>30001000462129</t>
        </is>
      </c>
      <c r="BF278" t="inlineStr">
        <is>
          <t>893168152</t>
        </is>
      </c>
    </row>
    <row r="279">
      <c r="A279" t="inlineStr">
        <is>
          <t>No</t>
        </is>
      </c>
      <c r="B279" t="inlineStr">
        <is>
          <t>CUHSL</t>
        </is>
      </c>
      <c r="C279" t="inlineStr">
        <is>
          <t>SHELVES</t>
        </is>
      </c>
      <c r="D279" t="inlineStr">
        <is>
          <t>WY 18 G851w 1977</t>
        </is>
      </c>
      <c r="E279" t="inlineStr">
        <is>
          <t>0                      WY 0018000G  851w        1977</t>
        </is>
      </c>
      <c r="F279" t="inlineStr">
        <is>
          <t>Writing and using behavioral objectives in nursing education / Joanne K. Griffin.</t>
        </is>
      </c>
      <c r="H279" t="inlineStr">
        <is>
          <t>No</t>
        </is>
      </c>
      <c r="I279" t="inlineStr">
        <is>
          <t>1</t>
        </is>
      </c>
      <c r="J279" t="inlineStr">
        <is>
          <t>No</t>
        </is>
      </c>
      <c r="K279" t="inlineStr">
        <is>
          <t>No</t>
        </is>
      </c>
      <c r="L279" t="inlineStr">
        <is>
          <t>0</t>
        </is>
      </c>
      <c r="M279" t="inlineStr">
        <is>
          <t>Griffin, Joanne King.</t>
        </is>
      </c>
      <c r="N279" t="inlineStr">
        <is>
          <t>New York : National League for Nursing, c1977.</t>
        </is>
      </c>
      <c r="O279" t="inlineStr">
        <is>
          <t>1977</t>
        </is>
      </c>
      <c r="Q279" t="inlineStr">
        <is>
          <t>eng</t>
        </is>
      </c>
      <c r="R279" t="inlineStr">
        <is>
          <t>nyu</t>
        </is>
      </c>
      <c r="S279" t="inlineStr">
        <is>
          <t>NLN pub. no. 23-1670</t>
        </is>
      </c>
      <c r="T279" t="inlineStr">
        <is>
          <t xml:space="preserve">WY </t>
        </is>
      </c>
      <c r="U279" t="n">
        <v>3</v>
      </c>
      <c r="V279" t="n">
        <v>3</v>
      </c>
      <c r="W279" t="inlineStr">
        <is>
          <t>1990-07-23</t>
        </is>
      </c>
      <c r="X279" t="inlineStr">
        <is>
          <t>1990-07-23</t>
        </is>
      </c>
      <c r="Y279" t="inlineStr">
        <is>
          <t>1987-11-05</t>
        </is>
      </c>
      <c r="Z279" t="inlineStr">
        <is>
          <t>1987-11-05</t>
        </is>
      </c>
      <c r="AA279" t="n">
        <v>90</v>
      </c>
      <c r="AB279" t="n">
        <v>73</v>
      </c>
      <c r="AC279" t="n">
        <v>73</v>
      </c>
      <c r="AD279" t="n">
        <v>3</v>
      </c>
      <c r="AE279" t="n">
        <v>3</v>
      </c>
      <c r="AF279" t="n">
        <v>4</v>
      </c>
      <c r="AG279" t="n">
        <v>4</v>
      </c>
      <c r="AH279" t="n">
        <v>0</v>
      </c>
      <c r="AI279" t="n">
        <v>0</v>
      </c>
      <c r="AJ279" t="n">
        <v>0</v>
      </c>
      <c r="AK279" t="n">
        <v>0</v>
      </c>
      <c r="AL279" t="n">
        <v>3</v>
      </c>
      <c r="AM279" t="n">
        <v>3</v>
      </c>
      <c r="AN279" t="n">
        <v>1</v>
      </c>
      <c r="AO279" t="n">
        <v>1</v>
      </c>
      <c r="AP279" t="n">
        <v>0</v>
      </c>
      <c r="AQ279" t="n">
        <v>0</v>
      </c>
      <c r="AR279" t="inlineStr">
        <is>
          <t>No</t>
        </is>
      </c>
      <c r="AS279" t="inlineStr">
        <is>
          <t>No</t>
        </is>
      </c>
      <c r="AU279">
        <f>HYPERLINK("https://creighton-primo.hosted.exlibrisgroup.com/primo-explore/search?tab=default_tab&amp;search_scope=EVERYTHING&amp;vid=01CRU&amp;lang=en_US&amp;offset=0&amp;query=any,contains,991001388019702656","Catalog Record")</f>
        <v/>
      </c>
      <c r="AV279">
        <f>HYPERLINK("http://www.worldcat.org/oclc/3189485","WorldCat Record")</f>
        <v/>
      </c>
      <c r="AW279" t="inlineStr">
        <is>
          <t>8858092:eng</t>
        </is>
      </c>
      <c r="AX279" t="inlineStr">
        <is>
          <t>3189485</t>
        </is>
      </c>
      <c r="AY279" t="inlineStr">
        <is>
          <t>991001388019702656</t>
        </is>
      </c>
      <c r="AZ279" t="inlineStr">
        <is>
          <t>991001388019702656</t>
        </is>
      </c>
      <c r="BA279" t="inlineStr">
        <is>
          <t>2261485790002656</t>
        </is>
      </c>
      <c r="BB279" t="inlineStr">
        <is>
          <t>BOOK</t>
        </is>
      </c>
      <c r="BE279" t="inlineStr">
        <is>
          <t>30001000464216</t>
        </is>
      </c>
      <c r="BF279" t="inlineStr">
        <is>
          <t>893467939</t>
        </is>
      </c>
    </row>
    <row r="280">
      <c r="A280" t="inlineStr">
        <is>
          <t>No</t>
        </is>
      </c>
      <c r="B280" t="inlineStr">
        <is>
          <t>CUHSL</t>
        </is>
      </c>
      <c r="C280" t="inlineStr">
        <is>
          <t>SHELVES</t>
        </is>
      </c>
      <c r="D280" t="inlineStr">
        <is>
          <t>WY 18 G946 1960</t>
        </is>
      </c>
      <c r="E280" t="inlineStr">
        <is>
          <t>0                      WY 0018000G  946         1960</t>
        </is>
      </c>
      <c r="F280" t="inlineStr">
        <is>
          <t>Guidelines for teaching nutrition and diet therapy in schools of nursing / prepared by a Joint Committee of the Maryland League for Nursing and the Maryland Dietetic Association ; Virginia C. Conley, chairman [and others]</t>
        </is>
      </c>
      <c r="H280" t="inlineStr">
        <is>
          <t>No</t>
        </is>
      </c>
      <c r="I280" t="inlineStr">
        <is>
          <t>1</t>
        </is>
      </c>
      <c r="J280" t="inlineStr">
        <is>
          <t>No</t>
        </is>
      </c>
      <c r="K280" t="inlineStr">
        <is>
          <t>No</t>
        </is>
      </c>
      <c r="L280" t="inlineStr">
        <is>
          <t>0</t>
        </is>
      </c>
      <c r="N280" t="inlineStr">
        <is>
          <t>New York : National League for Nursing, Dept. of Diploma and Associate Degree Programs, 1960.</t>
        </is>
      </c>
      <c r="O280" t="inlineStr">
        <is>
          <t>1960</t>
        </is>
      </c>
      <c r="Q280" t="inlineStr">
        <is>
          <t>eng</t>
        </is>
      </c>
      <c r="R280" t="inlineStr">
        <is>
          <t>nyu</t>
        </is>
      </c>
      <c r="S280" t="inlineStr">
        <is>
          <t>League exchange ; no.48</t>
        </is>
      </c>
      <c r="T280" t="inlineStr">
        <is>
          <t xml:space="preserve">WY </t>
        </is>
      </c>
      <c r="U280" t="n">
        <v>1</v>
      </c>
      <c r="V280" t="n">
        <v>1</v>
      </c>
      <c r="W280" t="inlineStr">
        <is>
          <t>1990-09-05</t>
        </is>
      </c>
      <c r="X280" t="inlineStr">
        <is>
          <t>1990-09-05</t>
        </is>
      </c>
      <c r="Y280" t="inlineStr">
        <is>
          <t>1987-10-29</t>
        </is>
      </c>
      <c r="Z280" t="inlineStr">
        <is>
          <t>1987-10-29</t>
        </is>
      </c>
      <c r="AA280" t="n">
        <v>27</v>
      </c>
      <c r="AB280" t="n">
        <v>25</v>
      </c>
      <c r="AC280" t="n">
        <v>32</v>
      </c>
      <c r="AD280" t="n">
        <v>1</v>
      </c>
      <c r="AE280" t="n">
        <v>1</v>
      </c>
      <c r="AF280" t="n">
        <v>1</v>
      </c>
      <c r="AG280" t="n">
        <v>1</v>
      </c>
      <c r="AH280" t="n">
        <v>0</v>
      </c>
      <c r="AI280" t="n">
        <v>0</v>
      </c>
      <c r="AJ280" t="n">
        <v>0</v>
      </c>
      <c r="AK280" t="n">
        <v>0</v>
      </c>
      <c r="AL280" t="n">
        <v>1</v>
      </c>
      <c r="AM280" t="n">
        <v>1</v>
      </c>
      <c r="AN280" t="n">
        <v>0</v>
      </c>
      <c r="AO280" t="n">
        <v>0</v>
      </c>
      <c r="AP280" t="n">
        <v>0</v>
      </c>
      <c r="AQ280" t="n">
        <v>0</v>
      </c>
      <c r="AR280" t="inlineStr">
        <is>
          <t>Yes</t>
        </is>
      </c>
      <c r="AS280" t="inlineStr">
        <is>
          <t>No</t>
        </is>
      </c>
      <c r="AT280">
        <f>HYPERLINK("http://catalog.hathitrust.org/Record/002074905","HathiTrust Record")</f>
        <v/>
      </c>
      <c r="AU280">
        <f>HYPERLINK("https://creighton-primo.hosted.exlibrisgroup.com/primo-explore/search?tab=default_tab&amp;search_scope=EVERYTHING&amp;vid=01CRU&amp;lang=en_US&amp;offset=0&amp;query=any,contains,991001375169702656","Catalog Record")</f>
        <v/>
      </c>
      <c r="AV280">
        <f>HYPERLINK("http://www.worldcat.org/oclc/1202047","WorldCat Record")</f>
        <v/>
      </c>
      <c r="AW280" t="inlineStr">
        <is>
          <t>2084952:eng</t>
        </is>
      </c>
      <c r="AX280" t="inlineStr">
        <is>
          <t>1202047</t>
        </is>
      </c>
      <c r="AY280" t="inlineStr">
        <is>
          <t>991001375169702656</t>
        </is>
      </c>
      <c r="AZ280" t="inlineStr">
        <is>
          <t>991001375169702656</t>
        </is>
      </c>
      <c r="BA280" t="inlineStr">
        <is>
          <t>2271411270002656</t>
        </is>
      </c>
      <c r="BB280" t="inlineStr">
        <is>
          <t>BOOK</t>
        </is>
      </c>
      <c r="BE280" t="inlineStr">
        <is>
          <t>30001000462111</t>
        </is>
      </c>
      <c r="BF280" t="inlineStr">
        <is>
          <t>893834644</t>
        </is>
      </c>
    </row>
    <row r="281">
      <c r="A281" t="inlineStr">
        <is>
          <t>No</t>
        </is>
      </c>
      <c r="B281" t="inlineStr">
        <is>
          <t>CUHSL</t>
        </is>
      </c>
      <c r="C281" t="inlineStr">
        <is>
          <t>SHELVES</t>
        </is>
      </c>
      <c r="D281" t="inlineStr">
        <is>
          <t>WY 18 H434 1980</t>
        </is>
      </c>
      <c r="E281" t="inlineStr">
        <is>
          <t>0                      WY 0018000H  434         1980</t>
        </is>
      </c>
      <c r="F281" t="inlineStr">
        <is>
          <t>Health assessment, a modular approach / Peggy M. Mayfield .. [et al.].</t>
        </is>
      </c>
      <c r="H281" t="inlineStr">
        <is>
          <t>No</t>
        </is>
      </c>
      <c r="I281" t="inlineStr">
        <is>
          <t>1</t>
        </is>
      </c>
      <c r="J281" t="inlineStr">
        <is>
          <t>No</t>
        </is>
      </c>
      <c r="K281" t="inlineStr">
        <is>
          <t>No</t>
        </is>
      </c>
      <c r="L281" t="inlineStr">
        <is>
          <t>0</t>
        </is>
      </c>
      <c r="N281" t="inlineStr">
        <is>
          <t>New York : McGraw-Hill, c1980.</t>
        </is>
      </c>
      <c r="O281" t="inlineStr">
        <is>
          <t>1980</t>
        </is>
      </c>
      <c r="Q281" t="inlineStr">
        <is>
          <t>eng</t>
        </is>
      </c>
      <c r="R281" t="inlineStr">
        <is>
          <t>xxu</t>
        </is>
      </c>
      <c r="T281" t="inlineStr">
        <is>
          <t xml:space="preserve">WY </t>
        </is>
      </c>
      <c r="U281" t="n">
        <v>6</v>
      </c>
      <c r="V281" t="n">
        <v>6</v>
      </c>
      <c r="W281" t="inlineStr">
        <is>
          <t>1991-06-09</t>
        </is>
      </c>
      <c r="X281" t="inlineStr">
        <is>
          <t>1991-06-09</t>
        </is>
      </c>
      <c r="Y281" t="inlineStr">
        <is>
          <t>1987-12-28</t>
        </is>
      </c>
      <c r="Z281" t="inlineStr">
        <is>
          <t>1987-12-28</t>
        </is>
      </c>
      <c r="AA281" t="n">
        <v>93</v>
      </c>
      <c r="AB281" t="n">
        <v>65</v>
      </c>
      <c r="AC281" t="n">
        <v>65</v>
      </c>
      <c r="AD281" t="n">
        <v>1</v>
      </c>
      <c r="AE281" t="n">
        <v>1</v>
      </c>
      <c r="AF281" t="n">
        <v>3</v>
      </c>
      <c r="AG281" t="n">
        <v>3</v>
      </c>
      <c r="AH281" t="n">
        <v>1</v>
      </c>
      <c r="AI281" t="n">
        <v>1</v>
      </c>
      <c r="AJ281" t="n">
        <v>0</v>
      </c>
      <c r="AK281" t="n">
        <v>0</v>
      </c>
      <c r="AL281" t="n">
        <v>2</v>
      </c>
      <c r="AM281" t="n">
        <v>2</v>
      </c>
      <c r="AN281" t="n">
        <v>0</v>
      </c>
      <c r="AO281" t="n">
        <v>0</v>
      </c>
      <c r="AP281" t="n">
        <v>0</v>
      </c>
      <c r="AQ281" t="n">
        <v>0</v>
      </c>
      <c r="AR281" t="inlineStr">
        <is>
          <t>No</t>
        </is>
      </c>
      <c r="AS281" t="inlineStr">
        <is>
          <t>No</t>
        </is>
      </c>
      <c r="AU281">
        <f>HYPERLINK("https://creighton-primo.hosted.exlibrisgroup.com/primo-explore/search?tab=default_tab&amp;search_scope=EVERYTHING&amp;vid=01CRU&amp;lang=en_US&amp;offset=0&amp;query=any,contains,991001039369702656","Catalog Record")</f>
        <v/>
      </c>
      <c r="AV281">
        <f>HYPERLINK("http://www.worldcat.org/oclc/5264484","WorldCat Record")</f>
        <v/>
      </c>
      <c r="AW281" t="inlineStr">
        <is>
          <t>405916:eng</t>
        </is>
      </c>
      <c r="AX281" t="inlineStr">
        <is>
          <t>5264484</t>
        </is>
      </c>
      <c r="AY281" t="inlineStr">
        <is>
          <t>991001039369702656</t>
        </is>
      </c>
      <c r="AZ281" t="inlineStr">
        <is>
          <t>991001039369702656</t>
        </is>
      </c>
      <c r="BA281" t="inlineStr">
        <is>
          <t>2254726130002656</t>
        </is>
      </c>
      <c r="BB281" t="inlineStr">
        <is>
          <t>BOOK</t>
        </is>
      </c>
      <c r="BD281" t="inlineStr">
        <is>
          <t>9780070410275</t>
        </is>
      </c>
      <c r="BE281" t="inlineStr">
        <is>
          <t>30001000241689</t>
        </is>
      </c>
      <c r="BF281" t="inlineStr">
        <is>
          <t>893557537</t>
        </is>
      </c>
    </row>
    <row r="282">
      <c r="A282" t="inlineStr">
        <is>
          <t>No</t>
        </is>
      </c>
      <c r="B282" t="inlineStr">
        <is>
          <t>CUHSL</t>
        </is>
      </c>
      <c r="C282" t="inlineStr">
        <is>
          <t>SHELVES</t>
        </is>
      </c>
      <c r="D282" t="inlineStr">
        <is>
          <t>WY 18 H434p 1980s</t>
        </is>
      </c>
      <c r="E282" t="inlineStr">
        <is>
          <t>0                      WY 0018000H  434p        1980s</t>
        </is>
      </c>
      <c r="F282" t="inlineStr">
        <is>
          <t>Post test answer booklet to accompany Health assessment : a modular approach / Peggy M. Mayfield ... [et al.].</t>
        </is>
      </c>
      <c r="H282" t="inlineStr">
        <is>
          <t>No</t>
        </is>
      </c>
      <c r="I282" t="inlineStr">
        <is>
          <t>1</t>
        </is>
      </c>
      <c r="J282" t="inlineStr">
        <is>
          <t>No</t>
        </is>
      </c>
      <c r="K282" t="inlineStr">
        <is>
          <t>No</t>
        </is>
      </c>
      <c r="L282" t="inlineStr">
        <is>
          <t>0</t>
        </is>
      </c>
      <c r="N282" t="inlineStr">
        <is>
          <t>New York : McGraw-Hill, c1980.</t>
        </is>
      </c>
      <c r="O282" t="inlineStr">
        <is>
          <t>1980</t>
        </is>
      </c>
      <c r="Q282" t="inlineStr">
        <is>
          <t>eng</t>
        </is>
      </c>
      <c r="R282" t="inlineStr">
        <is>
          <t>nyu</t>
        </is>
      </c>
      <c r="T282" t="inlineStr">
        <is>
          <t xml:space="preserve">WY </t>
        </is>
      </c>
      <c r="U282" t="n">
        <v>1</v>
      </c>
      <c r="V282" t="n">
        <v>1</v>
      </c>
      <c r="W282" t="inlineStr">
        <is>
          <t>1991-06-09</t>
        </is>
      </c>
      <c r="X282" t="inlineStr">
        <is>
          <t>1991-06-09</t>
        </is>
      </c>
      <c r="Y282" t="inlineStr">
        <is>
          <t>1987-12-29</t>
        </is>
      </c>
      <c r="Z282" t="inlineStr">
        <is>
          <t>1987-12-29</t>
        </is>
      </c>
      <c r="AA282" t="n">
        <v>3</v>
      </c>
      <c r="AB282" t="n">
        <v>3</v>
      </c>
      <c r="AC282" t="n">
        <v>3</v>
      </c>
      <c r="AD282" t="n">
        <v>1</v>
      </c>
      <c r="AE282" t="n">
        <v>1</v>
      </c>
      <c r="AF282" t="n">
        <v>0</v>
      </c>
      <c r="AG282" t="n">
        <v>0</v>
      </c>
      <c r="AH282" t="n">
        <v>0</v>
      </c>
      <c r="AI282" t="n">
        <v>0</v>
      </c>
      <c r="AJ282" t="n">
        <v>0</v>
      </c>
      <c r="AK282" t="n">
        <v>0</v>
      </c>
      <c r="AL282" t="n">
        <v>0</v>
      </c>
      <c r="AM282" t="n">
        <v>0</v>
      </c>
      <c r="AN282" t="n">
        <v>0</v>
      </c>
      <c r="AO282" t="n">
        <v>0</v>
      </c>
      <c r="AP282" t="n">
        <v>0</v>
      </c>
      <c r="AQ282" t="n">
        <v>0</v>
      </c>
      <c r="AR282" t="inlineStr">
        <is>
          <t>No</t>
        </is>
      </c>
      <c r="AS282" t="inlineStr">
        <is>
          <t>No</t>
        </is>
      </c>
      <c r="AU282">
        <f>HYPERLINK("https://creighton-primo.hosted.exlibrisgroup.com/primo-explore/search?tab=default_tab&amp;search_scope=EVERYTHING&amp;vid=01CRU&amp;lang=en_US&amp;offset=0&amp;query=any,contains,991001039479702656","Catalog Record")</f>
        <v/>
      </c>
      <c r="AV282">
        <f>HYPERLINK("http://www.worldcat.org/oclc/6514204","WorldCat Record")</f>
        <v/>
      </c>
      <c r="AW282" t="inlineStr">
        <is>
          <t>22827632:eng</t>
        </is>
      </c>
      <c r="AX282" t="inlineStr">
        <is>
          <t>6514204</t>
        </is>
      </c>
      <c r="AY282" t="inlineStr">
        <is>
          <t>991001039479702656</t>
        </is>
      </c>
      <c r="AZ282" t="inlineStr">
        <is>
          <t>991001039479702656</t>
        </is>
      </c>
      <c r="BA282" t="inlineStr">
        <is>
          <t>2269903870002656</t>
        </is>
      </c>
      <c r="BB282" t="inlineStr">
        <is>
          <t>BOOK</t>
        </is>
      </c>
      <c r="BD282" t="inlineStr">
        <is>
          <t>9780070410282</t>
        </is>
      </c>
      <c r="BE282" t="inlineStr">
        <is>
          <t>30001000241739</t>
        </is>
      </c>
      <c r="BF282" t="inlineStr">
        <is>
          <t>893148824</t>
        </is>
      </c>
    </row>
    <row r="283">
      <c r="A283" t="inlineStr">
        <is>
          <t>No</t>
        </is>
      </c>
      <c r="B283" t="inlineStr">
        <is>
          <t>CUHSL</t>
        </is>
      </c>
      <c r="C283" t="inlineStr">
        <is>
          <t>SHELVES</t>
        </is>
      </c>
      <c r="D283" t="inlineStr">
        <is>
          <t>WY 18 H747 1960</t>
        </is>
      </c>
      <c r="E283" t="inlineStr">
        <is>
          <t>0                      WY 0018000H  747         1960</t>
        </is>
      </c>
      <c r="F283" t="inlineStr">
        <is>
          <t>Steps in curriculum planning : prepared for a work conference at Morgantown, West Virginia, June 22-July 3, 1959 / under the auspices of the Department of Nursing Education, West Virginia University.</t>
        </is>
      </c>
      <c r="H283" t="inlineStr">
        <is>
          <t>No</t>
        </is>
      </c>
      <c r="I283" t="inlineStr">
        <is>
          <t>1</t>
        </is>
      </c>
      <c r="J283" t="inlineStr">
        <is>
          <t>No</t>
        </is>
      </c>
      <c r="K283" t="inlineStr">
        <is>
          <t>No</t>
        </is>
      </c>
      <c r="L283" t="inlineStr">
        <is>
          <t>0</t>
        </is>
      </c>
      <c r="M283" t="inlineStr">
        <is>
          <t>Holmquist, Emily.</t>
        </is>
      </c>
      <c r="N283" t="inlineStr">
        <is>
          <t>New York : National League for Nursing, Division of Nursing Education, 1960.</t>
        </is>
      </c>
      <c r="O283" t="inlineStr">
        <is>
          <t>1960</t>
        </is>
      </c>
      <c r="Q283" t="inlineStr">
        <is>
          <t>eng</t>
        </is>
      </c>
      <c r="R283" t="inlineStr">
        <is>
          <t xml:space="preserve">xx </t>
        </is>
      </c>
      <c r="S283" t="inlineStr">
        <is>
          <t>League exchange, no. 47</t>
        </is>
      </c>
      <c r="T283" t="inlineStr">
        <is>
          <t xml:space="preserve">WY </t>
        </is>
      </c>
      <c r="U283" t="n">
        <v>2</v>
      </c>
      <c r="V283" t="n">
        <v>2</v>
      </c>
      <c r="W283" t="inlineStr">
        <is>
          <t>1990-04-30</t>
        </is>
      </c>
      <c r="X283" t="inlineStr">
        <is>
          <t>1990-04-30</t>
        </is>
      </c>
      <c r="Y283" t="inlineStr">
        <is>
          <t>1987-10-13</t>
        </is>
      </c>
      <c r="Z283" t="inlineStr">
        <is>
          <t>1987-10-13</t>
        </is>
      </c>
      <c r="AA283" t="n">
        <v>16</v>
      </c>
      <c r="AB283" t="n">
        <v>14</v>
      </c>
      <c r="AC283" t="n">
        <v>43</v>
      </c>
      <c r="AD283" t="n">
        <v>1</v>
      </c>
      <c r="AE283" t="n">
        <v>1</v>
      </c>
      <c r="AF283" t="n">
        <v>0</v>
      </c>
      <c r="AG283" t="n">
        <v>2</v>
      </c>
      <c r="AH283" t="n">
        <v>0</v>
      </c>
      <c r="AI283" t="n">
        <v>0</v>
      </c>
      <c r="AJ283" t="n">
        <v>0</v>
      </c>
      <c r="AK283" t="n">
        <v>0</v>
      </c>
      <c r="AL283" t="n">
        <v>0</v>
      </c>
      <c r="AM283" t="n">
        <v>2</v>
      </c>
      <c r="AN283" t="n">
        <v>0</v>
      </c>
      <c r="AO283" t="n">
        <v>0</v>
      </c>
      <c r="AP283" t="n">
        <v>0</v>
      </c>
      <c r="AQ283" t="n">
        <v>0</v>
      </c>
      <c r="AR283" t="inlineStr">
        <is>
          <t>No</t>
        </is>
      </c>
      <c r="AS283" t="inlineStr">
        <is>
          <t>No</t>
        </is>
      </c>
      <c r="AT283">
        <f>HYPERLINK("http://catalog.hathitrust.org/Record/002072092","HathiTrust Record")</f>
        <v/>
      </c>
      <c r="AU283">
        <f>HYPERLINK("https://creighton-primo.hosted.exlibrisgroup.com/primo-explore/search?tab=default_tab&amp;search_scope=EVERYTHING&amp;vid=01CRU&amp;lang=en_US&amp;offset=0&amp;query=any,contains,991001360689702656","Catalog Record")</f>
        <v/>
      </c>
      <c r="AV283">
        <f>HYPERLINK("http://www.worldcat.org/oclc/14612448","WorldCat Record")</f>
        <v/>
      </c>
      <c r="AW283" t="inlineStr">
        <is>
          <t>8319251:eng</t>
        </is>
      </c>
      <c r="AX283" t="inlineStr">
        <is>
          <t>14612448</t>
        </is>
      </c>
      <c r="AY283" t="inlineStr">
        <is>
          <t>991001360689702656</t>
        </is>
      </c>
      <c r="AZ283" t="inlineStr">
        <is>
          <t>991001360689702656</t>
        </is>
      </c>
      <c r="BA283" t="inlineStr">
        <is>
          <t>2265852940002656</t>
        </is>
      </c>
      <c r="BB283" t="inlineStr">
        <is>
          <t>BOOK</t>
        </is>
      </c>
      <c r="BE283" t="inlineStr">
        <is>
          <t>30001000460602</t>
        </is>
      </c>
      <c r="BF283" t="inlineStr">
        <is>
          <t>893552410</t>
        </is>
      </c>
    </row>
    <row r="284">
      <c r="A284" t="inlineStr">
        <is>
          <t>No</t>
        </is>
      </c>
      <c r="B284" t="inlineStr">
        <is>
          <t>CUHSL</t>
        </is>
      </c>
      <c r="C284" t="inlineStr">
        <is>
          <t>SHELVES</t>
        </is>
      </c>
      <c r="D284" t="inlineStr">
        <is>
          <t>WY18 H852p 2003</t>
        </is>
      </c>
      <c r="E284" t="inlineStr">
        <is>
          <t>0                      WY 0018000H  852p        2003</t>
        </is>
      </c>
      <c r="F284" t="inlineStr">
        <is>
          <t>The practitioner as assessor / Sue Howard, Anne Eaton ; foreword by Roswyn Hakesley Brown.</t>
        </is>
      </c>
      <c r="H284" t="inlineStr">
        <is>
          <t>No</t>
        </is>
      </c>
      <c r="I284" t="inlineStr">
        <is>
          <t>1</t>
        </is>
      </c>
      <c r="J284" t="inlineStr">
        <is>
          <t>No</t>
        </is>
      </c>
      <c r="K284" t="inlineStr">
        <is>
          <t>No</t>
        </is>
      </c>
      <c r="L284" t="inlineStr">
        <is>
          <t>0</t>
        </is>
      </c>
      <c r="M284" t="inlineStr">
        <is>
          <t>Howard, Sue.</t>
        </is>
      </c>
      <c r="N284" t="inlineStr">
        <is>
          <t>Edinburgh ; New York : Baillière Tindall, 2003.</t>
        </is>
      </c>
      <c r="O284" t="inlineStr">
        <is>
          <t>2003</t>
        </is>
      </c>
      <c r="Q284" t="inlineStr">
        <is>
          <t>eng</t>
        </is>
      </c>
      <c r="R284" t="inlineStr">
        <is>
          <t>stk</t>
        </is>
      </c>
      <c r="T284" t="inlineStr">
        <is>
          <t xml:space="preserve">WY </t>
        </is>
      </c>
      <c r="U284" t="n">
        <v>0</v>
      </c>
      <c r="V284" t="n">
        <v>0</v>
      </c>
      <c r="W284" t="inlineStr">
        <is>
          <t>2005-12-14</t>
        </is>
      </c>
      <c r="X284" t="inlineStr">
        <is>
          <t>2005-12-14</t>
        </is>
      </c>
      <c r="Y284" t="inlineStr">
        <is>
          <t>2005-12-08</t>
        </is>
      </c>
      <c r="Z284" t="inlineStr">
        <is>
          <t>2005-12-08</t>
        </is>
      </c>
      <c r="AA284" t="n">
        <v>107</v>
      </c>
      <c r="AB284" t="n">
        <v>27</v>
      </c>
      <c r="AC284" t="n">
        <v>27</v>
      </c>
      <c r="AD284" t="n">
        <v>1</v>
      </c>
      <c r="AE284" t="n">
        <v>1</v>
      </c>
      <c r="AF284" t="n">
        <v>2</v>
      </c>
      <c r="AG284" t="n">
        <v>2</v>
      </c>
      <c r="AH284" t="n">
        <v>0</v>
      </c>
      <c r="AI284" t="n">
        <v>0</v>
      </c>
      <c r="AJ284" t="n">
        <v>2</v>
      </c>
      <c r="AK284" t="n">
        <v>2</v>
      </c>
      <c r="AL284" t="n">
        <v>1</v>
      </c>
      <c r="AM284" t="n">
        <v>1</v>
      </c>
      <c r="AN284" t="n">
        <v>0</v>
      </c>
      <c r="AO284" t="n">
        <v>0</v>
      </c>
      <c r="AP284" t="n">
        <v>0</v>
      </c>
      <c r="AQ284" t="n">
        <v>0</v>
      </c>
      <c r="AR284" t="inlineStr">
        <is>
          <t>No</t>
        </is>
      </c>
      <c r="AS284" t="inlineStr">
        <is>
          <t>No</t>
        </is>
      </c>
      <c r="AU284">
        <f>HYPERLINK("https://creighton-primo.hosted.exlibrisgroup.com/primo-explore/search?tab=default_tab&amp;search_scope=EVERYTHING&amp;vid=01CRU&amp;lang=en_US&amp;offset=0&amp;query=any,contains,991000453529702656","Catalog Record")</f>
        <v/>
      </c>
      <c r="AV284">
        <f>HYPERLINK("http://www.worldcat.org/oclc/51258353","WorldCat Record")</f>
        <v/>
      </c>
      <c r="AW284" t="inlineStr">
        <is>
          <t>5614618714:eng</t>
        </is>
      </c>
      <c r="AX284" t="inlineStr">
        <is>
          <t>51258353</t>
        </is>
      </c>
      <c r="AY284" t="inlineStr">
        <is>
          <t>991000453529702656</t>
        </is>
      </c>
      <c r="AZ284" t="inlineStr">
        <is>
          <t>991000453529702656</t>
        </is>
      </c>
      <c r="BA284" t="inlineStr">
        <is>
          <t>2268345190002656</t>
        </is>
      </c>
      <c r="BB284" t="inlineStr">
        <is>
          <t>BOOK</t>
        </is>
      </c>
      <c r="BD284" t="inlineStr">
        <is>
          <t>9780702026607</t>
        </is>
      </c>
      <c r="BE284" t="inlineStr">
        <is>
          <t>30001004913010</t>
        </is>
      </c>
      <c r="BF284" t="inlineStr">
        <is>
          <t>893542346</t>
        </is>
      </c>
    </row>
    <row r="285">
      <c r="A285" t="inlineStr">
        <is>
          <t>No</t>
        </is>
      </c>
      <c r="B285" t="inlineStr">
        <is>
          <t>CUHSL</t>
        </is>
      </c>
      <c r="C285" t="inlineStr">
        <is>
          <t>SHELVES</t>
        </is>
      </c>
      <c r="D285" t="inlineStr">
        <is>
          <t>WY 18 H882c 1980</t>
        </is>
      </c>
      <c r="E285" t="inlineStr">
        <is>
          <t>0                      WY 0018000H  882c        1980</t>
        </is>
      </c>
      <c r="F285" t="inlineStr">
        <is>
          <t>Conditions of learning and instruction in nursing : modularized / Loucine M. Daderian Huckabay.</t>
        </is>
      </c>
      <c r="H285" t="inlineStr">
        <is>
          <t>No</t>
        </is>
      </c>
      <c r="I285" t="inlineStr">
        <is>
          <t>1</t>
        </is>
      </c>
      <c r="J285" t="inlineStr">
        <is>
          <t>No</t>
        </is>
      </c>
      <c r="K285" t="inlineStr">
        <is>
          <t>No</t>
        </is>
      </c>
      <c r="L285" t="inlineStr">
        <is>
          <t>0</t>
        </is>
      </c>
      <c r="M285" t="inlineStr">
        <is>
          <t>Huckabay, Loucine M. Daderian, 1939-</t>
        </is>
      </c>
      <c r="N285" t="inlineStr">
        <is>
          <t>St. Louis : Mosby, c1980.</t>
        </is>
      </c>
      <c r="O285" t="inlineStr">
        <is>
          <t>1980</t>
        </is>
      </c>
      <c r="Q285" t="inlineStr">
        <is>
          <t>eng</t>
        </is>
      </c>
      <c r="R285" t="inlineStr">
        <is>
          <t>mou</t>
        </is>
      </c>
      <c r="T285" t="inlineStr">
        <is>
          <t xml:space="preserve">WY </t>
        </is>
      </c>
      <c r="U285" t="n">
        <v>4</v>
      </c>
      <c r="V285" t="n">
        <v>4</v>
      </c>
      <c r="W285" t="inlineStr">
        <is>
          <t>1993-07-14</t>
        </is>
      </c>
      <c r="X285" t="inlineStr">
        <is>
          <t>1993-07-14</t>
        </is>
      </c>
      <c r="Y285" t="inlineStr">
        <is>
          <t>1987-10-22</t>
        </is>
      </c>
      <c r="Z285" t="inlineStr">
        <is>
          <t>1987-10-22</t>
        </is>
      </c>
      <c r="AA285" t="n">
        <v>169</v>
      </c>
      <c r="AB285" t="n">
        <v>114</v>
      </c>
      <c r="AC285" t="n">
        <v>114</v>
      </c>
      <c r="AD285" t="n">
        <v>1</v>
      </c>
      <c r="AE285" t="n">
        <v>1</v>
      </c>
      <c r="AF285" t="n">
        <v>3</v>
      </c>
      <c r="AG285" t="n">
        <v>3</v>
      </c>
      <c r="AH285" t="n">
        <v>0</v>
      </c>
      <c r="AI285" t="n">
        <v>0</v>
      </c>
      <c r="AJ285" t="n">
        <v>1</v>
      </c>
      <c r="AK285" t="n">
        <v>1</v>
      </c>
      <c r="AL285" t="n">
        <v>2</v>
      </c>
      <c r="AM285" t="n">
        <v>2</v>
      </c>
      <c r="AN285" t="n">
        <v>0</v>
      </c>
      <c r="AO285" t="n">
        <v>0</v>
      </c>
      <c r="AP285" t="n">
        <v>0</v>
      </c>
      <c r="AQ285" t="n">
        <v>0</v>
      </c>
      <c r="AR285" t="inlineStr">
        <is>
          <t>No</t>
        </is>
      </c>
      <c r="AS285" t="inlineStr">
        <is>
          <t>No</t>
        </is>
      </c>
      <c r="AU285">
        <f>HYPERLINK("https://creighton-primo.hosted.exlibrisgroup.com/primo-explore/search?tab=default_tab&amp;search_scope=EVERYTHING&amp;vid=01CRU&amp;lang=en_US&amp;offset=0&amp;query=any,contains,991000740199702656","Catalog Record")</f>
        <v/>
      </c>
      <c r="AV285">
        <f>HYPERLINK("http://www.worldcat.org/oclc/5170969","WorldCat Record")</f>
        <v/>
      </c>
      <c r="AW285" t="inlineStr">
        <is>
          <t>279292841:eng</t>
        </is>
      </c>
      <c r="AX285" t="inlineStr">
        <is>
          <t>5170969</t>
        </is>
      </c>
      <c r="AY285" t="inlineStr">
        <is>
          <t>991000740199702656</t>
        </is>
      </c>
      <c r="AZ285" t="inlineStr">
        <is>
          <t>991000740199702656</t>
        </is>
      </c>
      <c r="BA285" t="inlineStr">
        <is>
          <t>2259306770002656</t>
        </is>
      </c>
      <c r="BB285" t="inlineStr">
        <is>
          <t>BOOK</t>
        </is>
      </c>
      <c r="BD285" t="inlineStr">
        <is>
          <t>9780801623042</t>
        </is>
      </c>
      <c r="BE285" t="inlineStr">
        <is>
          <t>30001000043267</t>
        </is>
      </c>
      <c r="BF285" t="inlineStr">
        <is>
          <t>893450172</t>
        </is>
      </c>
    </row>
    <row r="286">
      <c r="A286" t="inlineStr">
        <is>
          <t>No</t>
        </is>
      </c>
      <c r="B286" t="inlineStr">
        <is>
          <t>CUHSL</t>
        </is>
      </c>
      <c r="C286" t="inlineStr">
        <is>
          <t>SHELVES</t>
        </is>
      </c>
      <c r="D286" t="inlineStr">
        <is>
          <t>WY 18 I53 1959</t>
        </is>
      </c>
      <c r="E286" t="inlineStr">
        <is>
          <t>0                      WY 0018000I  53          1959</t>
        </is>
      </c>
      <c r="F286" t="inlineStr">
        <is>
          <t>Student centered teaching in nursing / by Alice E. Ingmire and Bernice Hudson Hart.</t>
        </is>
      </c>
      <c r="H286" t="inlineStr">
        <is>
          <t>No</t>
        </is>
      </c>
      <c r="I286" t="inlineStr">
        <is>
          <t>1</t>
        </is>
      </c>
      <c r="J286" t="inlineStr">
        <is>
          <t>No</t>
        </is>
      </c>
      <c r="K286" t="inlineStr">
        <is>
          <t>No</t>
        </is>
      </c>
      <c r="L286" t="inlineStr">
        <is>
          <t>0</t>
        </is>
      </c>
      <c r="M286" t="inlineStr">
        <is>
          <t>Ingmire, Alice E.</t>
        </is>
      </c>
      <c r="N286" t="inlineStr">
        <is>
          <t>New York : National League for Nursing, 1959.</t>
        </is>
      </c>
      <c r="O286" t="inlineStr">
        <is>
          <t>1959</t>
        </is>
      </c>
      <c r="Q286" t="inlineStr">
        <is>
          <t>eng</t>
        </is>
      </c>
      <c r="R286" t="inlineStr">
        <is>
          <t xml:space="preserve">xx </t>
        </is>
      </c>
      <c r="S286" t="inlineStr">
        <is>
          <t>League exchange, no.45</t>
        </is>
      </c>
      <c r="T286" t="inlineStr">
        <is>
          <t xml:space="preserve">WY </t>
        </is>
      </c>
      <c r="U286" t="n">
        <v>4</v>
      </c>
      <c r="V286" t="n">
        <v>4</v>
      </c>
      <c r="W286" t="inlineStr">
        <is>
          <t>2002-11-27</t>
        </is>
      </c>
      <c r="X286" t="inlineStr">
        <is>
          <t>2002-11-27</t>
        </is>
      </c>
      <c r="Y286" t="inlineStr">
        <is>
          <t>1987-10-20</t>
        </is>
      </c>
      <c r="Z286" t="inlineStr">
        <is>
          <t>1987-10-20</t>
        </is>
      </c>
      <c r="AA286" t="n">
        <v>35</v>
      </c>
      <c r="AB286" t="n">
        <v>32</v>
      </c>
      <c r="AC286" t="n">
        <v>39</v>
      </c>
      <c r="AD286" t="n">
        <v>1</v>
      </c>
      <c r="AE286" t="n">
        <v>1</v>
      </c>
      <c r="AF286" t="n">
        <v>1</v>
      </c>
      <c r="AG286" t="n">
        <v>1</v>
      </c>
      <c r="AH286" t="n">
        <v>0</v>
      </c>
      <c r="AI286" t="n">
        <v>0</v>
      </c>
      <c r="AJ286" t="n">
        <v>0</v>
      </c>
      <c r="AK286" t="n">
        <v>0</v>
      </c>
      <c r="AL286" t="n">
        <v>1</v>
      </c>
      <c r="AM286" t="n">
        <v>1</v>
      </c>
      <c r="AN286" t="n">
        <v>0</v>
      </c>
      <c r="AO286" t="n">
        <v>0</v>
      </c>
      <c r="AP286" t="n">
        <v>0</v>
      </c>
      <c r="AQ286" t="n">
        <v>0</v>
      </c>
      <c r="AR286" t="inlineStr">
        <is>
          <t>Yes</t>
        </is>
      </c>
      <c r="AS286" t="inlineStr">
        <is>
          <t>No</t>
        </is>
      </c>
      <c r="AT286">
        <f>HYPERLINK("http://catalog.hathitrust.org/Record/002072096","HathiTrust Record")</f>
        <v/>
      </c>
      <c r="AU286">
        <f>HYPERLINK("https://creighton-primo.hosted.exlibrisgroup.com/primo-explore/search?tab=default_tab&amp;search_scope=EVERYTHING&amp;vid=01CRU&amp;lang=en_US&amp;offset=0&amp;query=any,contains,991001364359702656","Catalog Record")</f>
        <v/>
      </c>
      <c r="AV286">
        <f>HYPERLINK("http://www.worldcat.org/oclc/1027674","WorldCat Record")</f>
        <v/>
      </c>
      <c r="AW286" t="inlineStr">
        <is>
          <t>1964674:eng</t>
        </is>
      </c>
      <c r="AX286" t="inlineStr">
        <is>
          <t>1027674</t>
        </is>
      </c>
      <c r="AY286" t="inlineStr">
        <is>
          <t>991001364359702656</t>
        </is>
      </c>
      <c r="AZ286" t="inlineStr">
        <is>
          <t>991001364359702656</t>
        </is>
      </c>
      <c r="BA286" t="inlineStr">
        <is>
          <t>2255796910002656</t>
        </is>
      </c>
      <c r="BB286" t="inlineStr">
        <is>
          <t>BOOK</t>
        </is>
      </c>
      <c r="BE286" t="inlineStr">
        <is>
          <t>30001000461154</t>
        </is>
      </c>
      <c r="BF286" t="inlineStr">
        <is>
          <t>893467926</t>
        </is>
      </c>
    </row>
    <row r="287">
      <c r="A287" t="inlineStr">
        <is>
          <t>No</t>
        </is>
      </c>
      <c r="B287" t="inlineStr">
        <is>
          <t>CUHSL</t>
        </is>
      </c>
      <c r="C287" t="inlineStr">
        <is>
          <t>SHELVES</t>
        </is>
      </c>
      <c r="D287" t="inlineStr">
        <is>
          <t>WY 18 I58 1979</t>
        </is>
      </c>
      <c r="E287" t="inlineStr">
        <is>
          <t>0                      WY 0018000I  58          1979</t>
        </is>
      </c>
      <c r="F287" t="inlineStr">
        <is>
          <t>Innovative approaches to baccalaureate programs in nursing.</t>
        </is>
      </c>
      <c r="H287" t="inlineStr">
        <is>
          <t>No</t>
        </is>
      </c>
      <c r="I287" t="inlineStr">
        <is>
          <t>1</t>
        </is>
      </c>
      <c r="J287" t="inlineStr">
        <is>
          <t>No</t>
        </is>
      </c>
      <c r="K287" t="inlineStr">
        <is>
          <t>No</t>
        </is>
      </c>
      <c r="L287" t="inlineStr">
        <is>
          <t>0</t>
        </is>
      </c>
      <c r="N287" t="inlineStr">
        <is>
          <t>New York : National League for Nursing, c1979.</t>
        </is>
      </c>
      <c r="O287" t="inlineStr">
        <is>
          <t>1979</t>
        </is>
      </c>
      <c r="Q287" t="inlineStr">
        <is>
          <t>eng</t>
        </is>
      </c>
      <c r="R287" t="inlineStr">
        <is>
          <t>xxu</t>
        </is>
      </c>
      <c r="S287" t="inlineStr">
        <is>
          <t>NLN pub. no. 15-1804</t>
        </is>
      </c>
      <c r="T287" t="inlineStr">
        <is>
          <t xml:space="preserve">WY </t>
        </is>
      </c>
      <c r="U287" t="n">
        <v>1</v>
      </c>
      <c r="V287" t="n">
        <v>1</v>
      </c>
      <c r="W287" t="inlineStr">
        <is>
          <t>1990-07-02</t>
        </is>
      </c>
      <c r="X287" t="inlineStr">
        <is>
          <t>1990-07-02</t>
        </is>
      </c>
      <c r="Y287" t="inlineStr">
        <is>
          <t>1987-10-29</t>
        </is>
      </c>
      <c r="Z287" t="inlineStr">
        <is>
          <t>1987-10-29</t>
        </is>
      </c>
      <c r="AA287" t="n">
        <v>105</v>
      </c>
      <c r="AB287" t="n">
        <v>89</v>
      </c>
      <c r="AC287" t="n">
        <v>91</v>
      </c>
      <c r="AD287" t="n">
        <v>1</v>
      </c>
      <c r="AE287" t="n">
        <v>1</v>
      </c>
      <c r="AF287" t="n">
        <v>3</v>
      </c>
      <c r="AG287" t="n">
        <v>3</v>
      </c>
      <c r="AH287" t="n">
        <v>0</v>
      </c>
      <c r="AI287" t="n">
        <v>0</v>
      </c>
      <c r="AJ287" t="n">
        <v>0</v>
      </c>
      <c r="AK287" t="n">
        <v>0</v>
      </c>
      <c r="AL287" t="n">
        <v>3</v>
      </c>
      <c r="AM287" t="n">
        <v>3</v>
      </c>
      <c r="AN287" t="n">
        <v>0</v>
      </c>
      <c r="AO287" t="n">
        <v>0</v>
      </c>
      <c r="AP287" t="n">
        <v>0</v>
      </c>
      <c r="AQ287" t="n">
        <v>0</v>
      </c>
      <c r="AR287" t="inlineStr">
        <is>
          <t>No</t>
        </is>
      </c>
      <c r="AS287" t="inlineStr">
        <is>
          <t>Yes</t>
        </is>
      </c>
      <c r="AT287">
        <f>HYPERLINK("http://catalog.hathitrust.org/Record/000717823","HathiTrust Record")</f>
        <v/>
      </c>
      <c r="AU287">
        <f>HYPERLINK("https://creighton-primo.hosted.exlibrisgroup.com/primo-explore/search?tab=default_tab&amp;search_scope=EVERYTHING&amp;vid=01CRU&amp;lang=en_US&amp;offset=0&amp;query=any,contains,991001371289702656","Catalog Record")</f>
        <v/>
      </c>
      <c r="AV287">
        <f>HYPERLINK("http://www.worldcat.org/oclc/6144806","WorldCat Record")</f>
        <v/>
      </c>
      <c r="AW287" t="inlineStr">
        <is>
          <t>21745186:eng</t>
        </is>
      </c>
      <c r="AX287" t="inlineStr">
        <is>
          <t>6144806</t>
        </is>
      </c>
      <c r="AY287" t="inlineStr">
        <is>
          <t>991001371289702656</t>
        </is>
      </c>
      <c r="AZ287" t="inlineStr">
        <is>
          <t>991001371289702656</t>
        </is>
      </c>
      <c r="BA287" t="inlineStr">
        <is>
          <t>2255794950002656</t>
        </is>
      </c>
      <c r="BB287" t="inlineStr">
        <is>
          <t>BOOK</t>
        </is>
      </c>
      <c r="BE287" t="inlineStr">
        <is>
          <t>30001000461840</t>
        </is>
      </c>
      <c r="BF287" t="inlineStr">
        <is>
          <t>893834653</t>
        </is>
      </c>
    </row>
    <row r="288">
      <c r="A288" t="inlineStr">
        <is>
          <t>No</t>
        </is>
      </c>
      <c r="B288" t="inlineStr">
        <is>
          <t>CUHSL</t>
        </is>
      </c>
      <c r="C288" t="inlineStr">
        <is>
          <t>SHELVES</t>
        </is>
      </c>
      <c r="D288" t="inlineStr">
        <is>
          <t>WY 18 I59 1955</t>
        </is>
      </c>
      <c r="E288" t="inlineStr">
        <is>
          <t>0                      WY 0018000I  59          1955</t>
        </is>
      </c>
      <c r="F288" t="inlineStr">
        <is>
          <t>In-service education department, University of Utopia Hospital, Manna, U.S.A.</t>
        </is>
      </c>
      <c r="H288" t="inlineStr">
        <is>
          <t>No</t>
        </is>
      </c>
      <c r="I288" t="inlineStr">
        <is>
          <t>1</t>
        </is>
      </c>
      <c r="J288" t="inlineStr">
        <is>
          <t>No</t>
        </is>
      </c>
      <c r="K288" t="inlineStr">
        <is>
          <t>No</t>
        </is>
      </c>
      <c r="L288" t="inlineStr">
        <is>
          <t>0</t>
        </is>
      </c>
      <c r="N288" t="inlineStr">
        <is>
          <t>New York : National League for Nursing, 1956.</t>
        </is>
      </c>
      <c r="O288" t="inlineStr">
        <is>
          <t>1955</t>
        </is>
      </c>
      <c r="Q288" t="inlineStr">
        <is>
          <t>eng</t>
        </is>
      </c>
      <c r="R288" t="inlineStr">
        <is>
          <t>nyu</t>
        </is>
      </c>
      <c r="S288" t="inlineStr">
        <is>
          <t>League exchange ; no. 11</t>
        </is>
      </c>
      <c r="T288" t="inlineStr">
        <is>
          <t xml:space="preserve">WY </t>
        </is>
      </c>
      <c r="U288" t="n">
        <v>1</v>
      </c>
      <c r="V288" t="n">
        <v>1</v>
      </c>
      <c r="W288" t="inlineStr">
        <is>
          <t>1990-09-11</t>
        </is>
      </c>
      <c r="X288" t="inlineStr">
        <is>
          <t>1990-09-11</t>
        </is>
      </c>
      <c r="Y288" t="inlineStr">
        <is>
          <t>1987-11-19</t>
        </is>
      </c>
      <c r="Z288" t="inlineStr">
        <is>
          <t>1987-11-19</t>
        </is>
      </c>
      <c r="AA288" t="n">
        <v>8</v>
      </c>
      <c r="AB288" t="n">
        <v>8</v>
      </c>
      <c r="AC288" t="n">
        <v>23</v>
      </c>
      <c r="AD288" t="n">
        <v>1</v>
      </c>
      <c r="AE288" t="n">
        <v>1</v>
      </c>
      <c r="AF288" t="n">
        <v>0</v>
      </c>
      <c r="AG288" t="n">
        <v>0</v>
      </c>
      <c r="AH288" t="n">
        <v>0</v>
      </c>
      <c r="AI288" t="n">
        <v>0</v>
      </c>
      <c r="AJ288" t="n">
        <v>0</v>
      </c>
      <c r="AK288" t="n">
        <v>0</v>
      </c>
      <c r="AL288" t="n">
        <v>0</v>
      </c>
      <c r="AM288" t="n">
        <v>0</v>
      </c>
      <c r="AN288" t="n">
        <v>0</v>
      </c>
      <c r="AO288" t="n">
        <v>0</v>
      </c>
      <c r="AP288" t="n">
        <v>0</v>
      </c>
      <c r="AQ288" t="n">
        <v>0</v>
      </c>
      <c r="AR288" t="inlineStr">
        <is>
          <t>No</t>
        </is>
      </c>
      <c r="AS288" t="inlineStr">
        <is>
          <t>No</t>
        </is>
      </c>
      <c r="AU288">
        <f>HYPERLINK("https://creighton-primo.hosted.exlibrisgroup.com/primo-explore/search?tab=default_tab&amp;search_scope=EVERYTHING&amp;vid=01CRU&amp;lang=en_US&amp;offset=0&amp;query=any,contains,991001518109702656","Catalog Record")</f>
        <v/>
      </c>
      <c r="AV288">
        <f>HYPERLINK("http://www.worldcat.org/oclc/14682277","WorldCat Record")</f>
        <v/>
      </c>
      <c r="AW288" t="inlineStr">
        <is>
          <t>51630158:eng</t>
        </is>
      </c>
      <c r="AX288" t="inlineStr">
        <is>
          <t>14682277</t>
        </is>
      </c>
      <c r="AY288" t="inlineStr">
        <is>
          <t>991001518109702656</t>
        </is>
      </c>
      <c r="AZ288" t="inlineStr">
        <is>
          <t>991001518109702656</t>
        </is>
      </c>
      <c r="BA288" t="inlineStr">
        <is>
          <t>2263541140002656</t>
        </is>
      </c>
      <c r="BB288" t="inlineStr">
        <is>
          <t>BOOK</t>
        </is>
      </c>
      <c r="BE288" t="inlineStr">
        <is>
          <t>30001000600355</t>
        </is>
      </c>
      <c r="BF288" t="inlineStr">
        <is>
          <t>893743889</t>
        </is>
      </c>
    </row>
    <row r="289">
      <c r="A289" t="inlineStr">
        <is>
          <t>No</t>
        </is>
      </c>
      <c r="B289" t="inlineStr">
        <is>
          <t>CUHSL</t>
        </is>
      </c>
      <c r="C289" t="inlineStr">
        <is>
          <t>SHELVES</t>
        </is>
      </c>
      <c r="D289" t="inlineStr">
        <is>
          <t>WY 18 J68i 1971</t>
        </is>
      </c>
      <c r="E289" t="inlineStr">
        <is>
          <t>0                      WY 0018000J  68i         1971</t>
        </is>
      </c>
      <c r="F289" t="inlineStr">
        <is>
          <t>Integrating diet therapy in a diploma nursing program : the method developed at Northwest Texas Hospital School of Nursing / by Marjorie Johnson.</t>
        </is>
      </c>
      <c r="H289" t="inlineStr">
        <is>
          <t>No</t>
        </is>
      </c>
      <c r="I289" t="inlineStr">
        <is>
          <t>1</t>
        </is>
      </c>
      <c r="J289" t="inlineStr">
        <is>
          <t>No</t>
        </is>
      </c>
      <c r="K289" t="inlineStr">
        <is>
          <t>No</t>
        </is>
      </c>
      <c r="L289" t="inlineStr">
        <is>
          <t>0</t>
        </is>
      </c>
      <c r="M289" t="inlineStr">
        <is>
          <t>Johnson, Marjorie.</t>
        </is>
      </c>
      <c r="N289" t="inlineStr">
        <is>
          <t>New York : Dept. of Diploma Programs, National League for Nursing, 1971.</t>
        </is>
      </c>
      <c r="O289" t="inlineStr">
        <is>
          <t>1971</t>
        </is>
      </c>
      <c r="Q289" t="inlineStr">
        <is>
          <t>eng</t>
        </is>
      </c>
      <c r="R289" t="inlineStr">
        <is>
          <t>nyu</t>
        </is>
      </c>
      <c r="S289" t="inlineStr">
        <is>
          <t>League exchange ; no. 94</t>
        </is>
      </c>
      <c r="T289" t="inlineStr">
        <is>
          <t xml:space="preserve">WY </t>
        </is>
      </c>
      <c r="U289" t="n">
        <v>1</v>
      </c>
      <c r="V289" t="n">
        <v>1</v>
      </c>
      <c r="W289" t="inlineStr">
        <is>
          <t>1990-09-05</t>
        </is>
      </c>
      <c r="X289" t="inlineStr">
        <is>
          <t>1990-09-05</t>
        </is>
      </c>
      <c r="Y289" t="inlineStr">
        <is>
          <t>1987-10-29</t>
        </is>
      </c>
      <c r="Z289" t="inlineStr">
        <is>
          <t>1987-10-29</t>
        </is>
      </c>
      <c r="AA289" t="n">
        <v>40</v>
      </c>
      <c r="AB289" t="n">
        <v>40</v>
      </c>
      <c r="AC289" t="n">
        <v>41</v>
      </c>
      <c r="AD289" t="n">
        <v>2</v>
      </c>
      <c r="AE289" t="n">
        <v>2</v>
      </c>
      <c r="AF289" t="n">
        <v>3</v>
      </c>
      <c r="AG289" t="n">
        <v>3</v>
      </c>
      <c r="AH289" t="n">
        <v>0</v>
      </c>
      <c r="AI289" t="n">
        <v>0</v>
      </c>
      <c r="AJ289" t="n">
        <v>0</v>
      </c>
      <c r="AK289" t="n">
        <v>0</v>
      </c>
      <c r="AL289" t="n">
        <v>2</v>
      </c>
      <c r="AM289" t="n">
        <v>2</v>
      </c>
      <c r="AN289" t="n">
        <v>1</v>
      </c>
      <c r="AO289" t="n">
        <v>1</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HYPERLINK("https://creighton-primo.hosted.exlibrisgroup.com/primo-explore/search?tab=default_tab&amp;search_scope=EVERYTHING&amp;vid=01CRU&amp;lang=en_US&amp;offset=0&amp;query=any,contains,991001376019702656","Catalog Record")</f>
        <v/>
      </c>
      <c r="AV289">
        <f>HYPERLINK("http://www.worldcat.org/oclc/657845","WorldCat Record")</f>
        <v/>
      </c>
      <c r="AW289" t="inlineStr">
        <is>
          <t>934030837:eng</t>
        </is>
      </c>
      <c r="AX289" t="inlineStr">
        <is>
          <t>657845</t>
        </is>
      </c>
      <c r="AY289" t="inlineStr">
        <is>
          <t>991001376019702656</t>
        </is>
      </c>
      <c r="AZ289" t="inlineStr">
        <is>
          <t>991001376019702656</t>
        </is>
      </c>
      <c r="BA289" t="inlineStr">
        <is>
          <t>2259901270002656</t>
        </is>
      </c>
      <c r="BB289" t="inlineStr">
        <is>
          <t>BOOK</t>
        </is>
      </c>
      <c r="BE289" t="inlineStr">
        <is>
          <t>30001000462202</t>
        </is>
      </c>
      <c r="BF289" t="inlineStr">
        <is>
          <t>893455731</t>
        </is>
      </c>
    </row>
    <row r="290">
      <c r="A290" t="inlineStr">
        <is>
          <t>No</t>
        </is>
      </c>
      <c r="B290" t="inlineStr">
        <is>
          <t>CUHSL</t>
        </is>
      </c>
      <c r="C290" t="inlineStr">
        <is>
          <t>SHELVES</t>
        </is>
      </c>
      <c r="D290" t="inlineStr">
        <is>
          <t>WY 18 J74 1950</t>
        </is>
      </c>
      <c r="E290" t="inlineStr">
        <is>
          <t>0                      WY 0018000J  74          1950</t>
        </is>
      </c>
      <c r="F290" t="inlineStr">
        <is>
          <t>Joint Nursing Curriculum Conference : report of proceedngs of conference, Nov. 13, 14, 15, 1950 at Teachers College, Columbia Univesity, New York.</t>
        </is>
      </c>
      <c r="H290" t="inlineStr">
        <is>
          <t>No</t>
        </is>
      </c>
      <c r="I290" t="inlineStr">
        <is>
          <t>1</t>
        </is>
      </c>
      <c r="J290" t="inlineStr">
        <is>
          <t>No</t>
        </is>
      </c>
      <c r="K290" t="inlineStr">
        <is>
          <t>No</t>
        </is>
      </c>
      <c r="L290" t="inlineStr">
        <is>
          <t>0</t>
        </is>
      </c>
      <c r="N290" t="inlineStr">
        <is>
          <t>New York : National League of Nursing Education, Dept. of Services to Schools of Nursing, 1951.</t>
        </is>
      </c>
      <c r="O290" t="inlineStr">
        <is>
          <t>1950</t>
        </is>
      </c>
      <c r="Q290" t="inlineStr">
        <is>
          <t>eng</t>
        </is>
      </c>
      <c r="R290" t="inlineStr">
        <is>
          <t>nyu</t>
        </is>
      </c>
      <c r="S290" t="inlineStr">
        <is>
          <t>National League of Nursing Education. Curriculum bulletin no. 2</t>
        </is>
      </c>
      <c r="T290" t="inlineStr">
        <is>
          <t xml:space="preserve">WY </t>
        </is>
      </c>
      <c r="U290" t="n">
        <v>2</v>
      </c>
      <c r="V290" t="n">
        <v>2</v>
      </c>
      <c r="W290" t="inlineStr">
        <is>
          <t>1990-09-11</t>
        </is>
      </c>
      <c r="X290" t="inlineStr">
        <is>
          <t>1990-09-11</t>
        </is>
      </c>
      <c r="Y290" t="inlineStr">
        <is>
          <t>1987-11-19</t>
        </is>
      </c>
      <c r="Z290" t="inlineStr">
        <is>
          <t>1987-11-19</t>
        </is>
      </c>
      <c r="AA290" t="n">
        <v>16</v>
      </c>
      <c r="AB290" t="n">
        <v>16</v>
      </c>
      <c r="AC290" t="n">
        <v>16</v>
      </c>
      <c r="AD290" t="n">
        <v>1</v>
      </c>
      <c r="AE290" t="n">
        <v>1</v>
      </c>
      <c r="AF290" t="n">
        <v>1</v>
      </c>
      <c r="AG290" t="n">
        <v>1</v>
      </c>
      <c r="AH290" t="n">
        <v>0</v>
      </c>
      <c r="AI290" t="n">
        <v>0</v>
      </c>
      <c r="AJ290" t="n">
        <v>0</v>
      </c>
      <c r="AK290" t="n">
        <v>0</v>
      </c>
      <c r="AL290" t="n">
        <v>1</v>
      </c>
      <c r="AM290" t="n">
        <v>1</v>
      </c>
      <c r="AN290" t="n">
        <v>0</v>
      </c>
      <c r="AO290" t="n">
        <v>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HYPERLINK("https://creighton-primo.hosted.exlibrisgroup.com/primo-explore/search?tab=default_tab&amp;search_scope=EVERYTHING&amp;vid=01CRU&amp;lang=en_US&amp;offset=0&amp;query=any,contains,991001518029702656","Catalog Record")</f>
        <v/>
      </c>
      <c r="AV290">
        <f>HYPERLINK("http://www.worldcat.org/oclc/6794702","WorldCat Record")</f>
        <v/>
      </c>
      <c r="AW290" t="inlineStr">
        <is>
          <t>24451280:eng</t>
        </is>
      </c>
      <c r="AX290" t="inlineStr">
        <is>
          <t>6794702</t>
        </is>
      </c>
      <c r="AY290" t="inlineStr">
        <is>
          <t>991001518029702656</t>
        </is>
      </c>
      <c r="AZ290" t="inlineStr">
        <is>
          <t>991001518029702656</t>
        </is>
      </c>
      <c r="BA290" t="inlineStr">
        <is>
          <t>2267594310002656</t>
        </is>
      </c>
      <c r="BB290" t="inlineStr">
        <is>
          <t>BOOK</t>
        </is>
      </c>
      <c r="BE290" t="inlineStr">
        <is>
          <t>30001000600322</t>
        </is>
      </c>
      <c r="BF290" t="inlineStr">
        <is>
          <t>893541469</t>
        </is>
      </c>
    </row>
    <row r="291">
      <c r="A291" t="inlineStr">
        <is>
          <t>No</t>
        </is>
      </c>
      <c r="B291" t="inlineStr">
        <is>
          <t>CUHSL</t>
        </is>
      </c>
      <c r="C291" t="inlineStr">
        <is>
          <t>SHELVES</t>
        </is>
      </c>
      <c r="D291" t="inlineStr">
        <is>
          <t>WY 18 K32d 1976</t>
        </is>
      </c>
      <c r="E291" t="inlineStr">
        <is>
          <t>0                      WY 0018000K  32d         1976</t>
        </is>
      </c>
      <c r="F291" t="inlineStr">
        <is>
          <t>Determining the plus and minus outcomes of innovation in nursing education / Jerrold E. Kemp.</t>
        </is>
      </c>
      <c r="H291" t="inlineStr">
        <is>
          <t>No</t>
        </is>
      </c>
      <c r="I291" t="inlineStr">
        <is>
          <t>1</t>
        </is>
      </c>
      <c r="J291" t="inlineStr">
        <is>
          <t>No</t>
        </is>
      </c>
      <c r="K291" t="inlineStr">
        <is>
          <t>No</t>
        </is>
      </c>
      <c r="L291" t="inlineStr">
        <is>
          <t>0</t>
        </is>
      </c>
      <c r="M291" t="inlineStr">
        <is>
          <t>Kemp, Jerrold E.</t>
        </is>
      </c>
      <c r="N291" t="inlineStr">
        <is>
          <t>New York : National League for Nursing, c1977.</t>
        </is>
      </c>
      <c r="O291" t="inlineStr">
        <is>
          <t>1976</t>
        </is>
      </c>
      <c r="Q291" t="inlineStr">
        <is>
          <t>eng</t>
        </is>
      </c>
      <c r="R291" t="inlineStr">
        <is>
          <t>nyu</t>
        </is>
      </c>
      <c r="S291" t="inlineStr">
        <is>
          <t>NLN pub. no. 23-1682</t>
        </is>
      </c>
      <c r="T291" t="inlineStr">
        <is>
          <t xml:space="preserve">WY </t>
        </is>
      </c>
      <c r="U291" t="n">
        <v>1</v>
      </c>
      <c r="V291" t="n">
        <v>1</v>
      </c>
      <c r="W291" t="inlineStr">
        <is>
          <t>1990-07-11</t>
        </is>
      </c>
      <c r="X291" t="inlineStr">
        <is>
          <t>1990-07-11</t>
        </is>
      </c>
      <c r="Y291" t="inlineStr">
        <is>
          <t>1987-11-05</t>
        </is>
      </c>
      <c r="Z291" t="inlineStr">
        <is>
          <t>1987-11-05</t>
        </is>
      </c>
      <c r="AA291" t="n">
        <v>82</v>
      </c>
      <c r="AB291" t="n">
        <v>72</v>
      </c>
      <c r="AC291" t="n">
        <v>74</v>
      </c>
      <c r="AD291" t="n">
        <v>2</v>
      </c>
      <c r="AE291" t="n">
        <v>2</v>
      </c>
      <c r="AF291" t="n">
        <v>3</v>
      </c>
      <c r="AG291" t="n">
        <v>3</v>
      </c>
      <c r="AH291" t="n">
        <v>0</v>
      </c>
      <c r="AI291" t="n">
        <v>0</v>
      </c>
      <c r="AJ291" t="n">
        <v>1</v>
      </c>
      <c r="AK291" t="n">
        <v>1</v>
      </c>
      <c r="AL291" t="n">
        <v>3</v>
      </c>
      <c r="AM291" t="n">
        <v>3</v>
      </c>
      <c r="AN291" t="n">
        <v>0</v>
      </c>
      <c r="AO291" t="n">
        <v>0</v>
      </c>
      <c r="AP291" t="n">
        <v>0</v>
      </c>
      <c r="AQ291" t="n">
        <v>0</v>
      </c>
      <c r="AR291" t="inlineStr">
        <is>
          <t>No</t>
        </is>
      </c>
      <c r="AS291" t="inlineStr">
        <is>
          <t>Yes</t>
        </is>
      </c>
      <c r="AT291">
        <f>HYPERLINK("http://catalog.hathitrust.org/Record/001545325","HathiTrust Record")</f>
        <v/>
      </c>
      <c r="AU291">
        <f>HYPERLINK("https://creighton-primo.hosted.exlibrisgroup.com/primo-explore/search?tab=default_tab&amp;search_scope=EVERYTHING&amp;vid=01CRU&amp;lang=en_US&amp;offset=0&amp;query=any,contains,991001388059702656","Catalog Record")</f>
        <v/>
      </c>
      <c r="AV291">
        <f>HYPERLINK("http://www.worldcat.org/oclc/3442391","WorldCat Record")</f>
        <v/>
      </c>
      <c r="AW291" t="inlineStr">
        <is>
          <t>10707786:eng</t>
        </is>
      </c>
      <c r="AX291" t="inlineStr">
        <is>
          <t>3442391</t>
        </is>
      </c>
      <c r="AY291" t="inlineStr">
        <is>
          <t>991001388059702656</t>
        </is>
      </c>
      <c r="AZ291" t="inlineStr">
        <is>
          <t>991001388059702656</t>
        </is>
      </c>
      <c r="BA291" t="inlineStr">
        <is>
          <t>2268864020002656</t>
        </is>
      </c>
      <c r="BB291" t="inlineStr">
        <is>
          <t>BOOK</t>
        </is>
      </c>
      <c r="BE291" t="inlineStr">
        <is>
          <t>30001000464224</t>
        </is>
      </c>
      <c r="BF291" t="inlineStr">
        <is>
          <t>893374496</t>
        </is>
      </c>
    </row>
    <row r="292">
      <c r="A292" t="inlineStr">
        <is>
          <t>No</t>
        </is>
      </c>
      <c r="B292" t="inlineStr">
        <is>
          <t>CUHSL</t>
        </is>
      </c>
      <c r="C292" t="inlineStr">
        <is>
          <t>SHELVES</t>
        </is>
      </c>
      <c r="D292" t="inlineStr">
        <is>
          <t>WY 18 K508a 1984</t>
        </is>
      </c>
      <c r="E292" t="inlineStr">
        <is>
          <t>0                      WY 0018000K  508a        1984</t>
        </is>
      </c>
      <c r="F292" t="inlineStr">
        <is>
          <t>Affective education in nursing : a guide to teaching and assessment / Elizabeth C. King.</t>
        </is>
      </c>
      <c r="H292" t="inlineStr">
        <is>
          <t>No</t>
        </is>
      </c>
      <c r="I292" t="inlineStr">
        <is>
          <t>1</t>
        </is>
      </c>
      <c r="J292" t="inlineStr">
        <is>
          <t>No</t>
        </is>
      </c>
      <c r="K292" t="inlineStr">
        <is>
          <t>No</t>
        </is>
      </c>
      <c r="L292" t="inlineStr">
        <is>
          <t>0</t>
        </is>
      </c>
      <c r="M292" t="inlineStr">
        <is>
          <t>King, Elizabeth C., 1941-</t>
        </is>
      </c>
      <c r="N292" t="inlineStr">
        <is>
          <t>Rockville, Md. : Aspen Systems Corp., c1984.</t>
        </is>
      </c>
      <c r="O292" t="inlineStr">
        <is>
          <t>1984</t>
        </is>
      </c>
      <c r="Q292" t="inlineStr">
        <is>
          <t>eng</t>
        </is>
      </c>
      <c r="R292" t="inlineStr">
        <is>
          <t>xxu</t>
        </is>
      </c>
      <c r="T292" t="inlineStr">
        <is>
          <t xml:space="preserve">WY </t>
        </is>
      </c>
      <c r="U292" t="n">
        <v>5</v>
      </c>
      <c r="V292" t="n">
        <v>5</v>
      </c>
      <c r="W292" t="inlineStr">
        <is>
          <t>1992-10-28</t>
        </is>
      </c>
      <c r="X292" t="inlineStr">
        <is>
          <t>1992-10-28</t>
        </is>
      </c>
      <c r="Y292" t="inlineStr">
        <is>
          <t>1987-12-28</t>
        </is>
      </c>
      <c r="Z292" t="inlineStr">
        <is>
          <t>1987-12-28</t>
        </is>
      </c>
      <c r="AA292" t="n">
        <v>324</v>
      </c>
      <c r="AB292" t="n">
        <v>285</v>
      </c>
      <c r="AC292" t="n">
        <v>287</v>
      </c>
      <c r="AD292" t="n">
        <v>4</v>
      </c>
      <c r="AE292" t="n">
        <v>4</v>
      </c>
      <c r="AF292" t="n">
        <v>12</v>
      </c>
      <c r="AG292" t="n">
        <v>12</v>
      </c>
      <c r="AH292" t="n">
        <v>4</v>
      </c>
      <c r="AI292" t="n">
        <v>4</v>
      </c>
      <c r="AJ292" t="n">
        <v>2</v>
      </c>
      <c r="AK292" t="n">
        <v>2</v>
      </c>
      <c r="AL292" t="n">
        <v>7</v>
      </c>
      <c r="AM292" t="n">
        <v>7</v>
      </c>
      <c r="AN292" t="n">
        <v>2</v>
      </c>
      <c r="AO292" t="n">
        <v>2</v>
      </c>
      <c r="AP292" t="n">
        <v>0</v>
      </c>
      <c r="AQ292" t="n">
        <v>0</v>
      </c>
      <c r="AR292" t="inlineStr">
        <is>
          <t>No</t>
        </is>
      </c>
      <c r="AS292" t="inlineStr">
        <is>
          <t>Yes</t>
        </is>
      </c>
      <c r="AT292">
        <f>HYPERLINK("http://catalog.hathitrust.org/Record/000241734","HathiTrust Record")</f>
        <v/>
      </c>
      <c r="AU292">
        <f>HYPERLINK("https://creighton-primo.hosted.exlibrisgroup.com/primo-explore/search?tab=default_tab&amp;search_scope=EVERYTHING&amp;vid=01CRU&amp;lang=en_US&amp;offset=0&amp;query=any,contains,991001041209702656","Catalog Record")</f>
        <v/>
      </c>
      <c r="AV292">
        <f>HYPERLINK("http://www.worldcat.org/oclc/9761742","WorldCat Record")</f>
        <v/>
      </c>
      <c r="AW292" t="inlineStr">
        <is>
          <t>43038113:eng</t>
        </is>
      </c>
      <c r="AX292" t="inlineStr">
        <is>
          <t>9761742</t>
        </is>
      </c>
      <c r="AY292" t="inlineStr">
        <is>
          <t>991001041209702656</t>
        </is>
      </c>
      <c r="AZ292" t="inlineStr">
        <is>
          <t>991001041209702656</t>
        </is>
      </c>
      <c r="BA292" t="inlineStr">
        <is>
          <t>2271386920002656</t>
        </is>
      </c>
      <c r="BB292" t="inlineStr">
        <is>
          <t>BOOK</t>
        </is>
      </c>
      <c r="BD292" t="inlineStr">
        <is>
          <t>9780894438882</t>
        </is>
      </c>
      <c r="BE292" t="inlineStr">
        <is>
          <t>30001000242422</t>
        </is>
      </c>
      <c r="BF292" t="inlineStr">
        <is>
          <t>893161636</t>
        </is>
      </c>
    </row>
    <row r="293">
      <c r="A293" t="inlineStr">
        <is>
          <t>No</t>
        </is>
      </c>
      <c r="B293" t="inlineStr">
        <is>
          <t>CUHSL</t>
        </is>
      </c>
      <c r="C293" t="inlineStr">
        <is>
          <t>SHELVES</t>
        </is>
      </c>
      <c r="D293" t="inlineStr">
        <is>
          <t>WY 18 K515n 1982</t>
        </is>
      </c>
      <c r="E293" t="inlineStr">
        <is>
          <t>0                      WY 0018000K  515n        1982</t>
        </is>
      </c>
      <c r="F293" t="inlineStr">
        <is>
          <t>Nursing comprehensive examination review / R. Carole King &amp; George Horemis.</t>
        </is>
      </c>
      <c r="H293" t="inlineStr">
        <is>
          <t>No</t>
        </is>
      </c>
      <c r="I293" t="inlineStr">
        <is>
          <t>1</t>
        </is>
      </c>
      <c r="J293" t="inlineStr">
        <is>
          <t>No</t>
        </is>
      </c>
      <c r="K293" t="inlineStr">
        <is>
          <t>No</t>
        </is>
      </c>
      <c r="L293" t="inlineStr">
        <is>
          <t>0</t>
        </is>
      </c>
      <c r="M293" t="inlineStr">
        <is>
          <t>King, R. Carole.</t>
        </is>
      </c>
      <c r="N293" t="inlineStr">
        <is>
          <t>New York : Arco, c1982.</t>
        </is>
      </c>
      <c r="O293" t="inlineStr">
        <is>
          <t>1982</t>
        </is>
      </c>
      <c r="P293" t="inlineStr">
        <is>
          <t>3rd ed.</t>
        </is>
      </c>
      <c r="Q293" t="inlineStr">
        <is>
          <t>eng</t>
        </is>
      </c>
      <c r="R293" t="inlineStr">
        <is>
          <t>xxu</t>
        </is>
      </c>
      <c r="T293" t="inlineStr">
        <is>
          <t xml:space="preserve">WY </t>
        </is>
      </c>
      <c r="U293" t="n">
        <v>3</v>
      </c>
      <c r="V293" t="n">
        <v>3</v>
      </c>
      <c r="W293" t="inlineStr">
        <is>
          <t>1988-06-08</t>
        </is>
      </c>
      <c r="X293" t="inlineStr">
        <is>
          <t>1988-06-08</t>
        </is>
      </c>
      <c r="Y293" t="inlineStr">
        <is>
          <t>1987-10-22</t>
        </is>
      </c>
      <c r="Z293" t="inlineStr">
        <is>
          <t>1987-10-22</t>
        </is>
      </c>
      <c r="AA293" t="n">
        <v>113</v>
      </c>
      <c r="AB293" t="n">
        <v>104</v>
      </c>
      <c r="AC293" t="n">
        <v>105</v>
      </c>
      <c r="AD293" t="n">
        <v>1</v>
      </c>
      <c r="AE293" t="n">
        <v>1</v>
      </c>
      <c r="AF293" t="n">
        <v>0</v>
      </c>
      <c r="AG293" t="n">
        <v>0</v>
      </c>
      <c r="AH293" t="n">
        <v>0</v>
      </c>
      <c r="AI293" t="n">
        <v>0</v>
      </c>
      <c r="AJ293" t="n">
        <v>0</v>
      </c>
      <c r="AK293" t="n">
        <v>0</v>
      </c>
      <c r="AL293" t="n">
        <v>0</v>
      </c>
      <c r="AM293" t="n">
        <v>0</v>
      </c>
      <c r="AN293" t="n">
        <v>0</v>
      </c>
      <c r="AO293" t="n">
        <v>0</v>
      </c>
      <c r="AP293" t="n">
        <v>0</v>
      </c>
      <c r="AQ293" t="n">
        <v>0</v>
      </c>
      <c r="AR293" t="inlineStr">
        <is>
          <t>No</t>
        </is>
      </c>
      <c r="AS293" t="inlineStr">
        <is>
          <t>No</t>
        </is>
      </c>
      <c r="AU293">
        <f>HYPERLINK("https://creighton-primo.hosted.exlibrisgroup.com/primo-explore/search?tab=default_tab&amp;search_scope=EVERYTHING&amp;vid=01CRU&amp;lang=en_US&amp;offset=0&amp;query=any,contains,991000740139702656","Catalog Record")</f>
        <v/>
      </c>
      <c r="AV293">
        <f>HYPERLINK("http://www.worldcat.org/oclc/7978812","WorldCat Record")</f>
        <v/>
      </c>
      <c r="AW293" t="inlineStr">
        <is>
          <t>4131731716:eng</t>
        </is>
      </c>
      <c r="AX293" t="inlineStr">
        <is>
          <t>7978812</t>
        </is>
      </c>
      <c r="AY293" t="inlineStr">
        <is>
          <t>991000740139702656</t>
        </is>
      </c>
      <c r="AZ293" t="inlineStr">
        <is>
          <t>991000740139702656</t>
        </is>
      </c>
      <c r="BA293" t="inlineStr">
        <is>
          <t>2271255420002656</t>
        </is>
      </c>
      <c r="BB293" t="inlineStr">
        <is>
          <t>BOOK</t>
        </is>
      </c>
      <c r="BD293" t="inlineStr">
        <is>
          <t>9780668053679</t>
        </is>
      </c>
      <c r="BE293" t="inlineStr">
        <is>
          <t>30001000043259</t>
        </is>
      </c>
      <c r="BF293" t="inlineStr">
        <is>
          <t>893286913</t>
        </is>
      </c>
    </row>
    <row r="294">
      <c r="A294" t="inlineStr">
        <is>
          <t>No</t>
        </is>
      </c>
      <c r="B294" t="inlineStr">
        <is>
          <t>CUHSL</t>
        </is>
      </c>
      <c r="C294" t="inlineStr">
        <is>
          <t>SHELVES</t>
        </is>
      </c>
      <c r="D294" t="inlineStr">
        <is>
          <t>WY 18 K51i 1986</t>
        </is>
      </c>
      <c r="E294" t="inlineStr">
        <is>
          <t>0                      WY 0018000K  51i         1986</t>
        </is>
      </c>
      <c r="F294" t="inlineStr">
        <is>
          <t>Illustrated manual of nursing techniques / Lynn Wieck, Eunice M. King, Marilyn Dyer.</t>
        </is>
      </c>
      <c r="H294" t="inlineStr">
        <is>
          <t>No</t>
        </is>
      </c>
      <c r="I294" t="inlineStr">
        <is>
          <t>1</t>
        </is>
      </c>
      <c r="J294" t="inlineStr">
        <is>
          <t>No</t>
        </is>
      </c>
      <c r="K294" t="inlineStr">
        <is>
          <t>No</t>
        </is>
      </c>
      <c r="L294" t="inlineStr">
        <is>
          <t>0</t>
        </is>
      </c>
      <c r="M294" t="inlineStr">
        <is>
          <t>King, Eunice M.</t>
        </is>
      </c>
      <c r="N294" t="inlineStr">
        <is>
          <t>Philadelphia : Lippincott, c1986.</t>
        </is>
      </c>
      <c r="O294" t="inlineStr">
        <is>
          <t>1986</t>
        </is>
      </c>
      <c r="P294" t="inlineStr">
        <is>
          <t>3rd ed.</t>
        </is>
      </c>
      <c r="Q294" t="inlineStr">
        <is>
          <t>eng</t>
        </is>
      </c>
      <c r="R294" t="inlineStr">
        <is>
          <t>xxu</t>
        </is>
      </c>
      <c r="T294" t="inlineStr">
        <is>
          <t xml:space="preserve">WY </t>
        </is>
      </c>
      <c r="U294" t="n">
        <v>11</v>
      </c>
      <c r="V294" t="n">
        <v>11</v>
      </c>
      <c r="W294" t="inlineStr">
        <is>
          <t>2002-12-03</t>
        </is>
      </c>
      <c r="X294" t="inlineStr">
        <is>
          <t>2002-12-03</t>
        </is>
      </c>
      <c r="Y294" t="inlineStr">
        <is>
          <t>1988-02-08</t>
        </is>
      </c>
      <c r="Z294" t="inlineStr">
        <is>
          <t>1988-02-08</t>
        </is>
      </c>
      <c r="AA294" t="n">
        <v>234</v>
      </c>
      <c r="AB294" t="n">
        <v>200</v>
      </c>
      <c r="AC294" t="n">
        <v>370</v>
      </c>
      <c r="AD294" t="n">
        <v>3</v>
      </c>
      <c r="AE294" t="n">
        <v>5</v>
      </c>
      <c r="AF294" t="n">
        <v>4</v>
      </c>
      <c r="AG294" t="n">
        <v>10</v>
      </c>
      <c r="AH294" t="n">
        <v>0</v>
      </c>
      <c r="AI294" t="n">
        <v>2</v>
      </c>
      <c r="AJ294" t="n">
        <v>2</v>
      </c>
      <c r="AK294" t="n">
        <v>3</v>
      </c>
      <c r="AL294" t="n">
        <v>2</v>
      </c>
      <c r="AM294" t="n">
        <v>3</v>
      </c>
      <c r="AN294" t="n">
        <v>0</v>
      </c>
      <c r="AO294" t="n">
        <v>2</v>
      </c>
      <c r="AP294" t="n">
        <v>0</v>
      </c>
      <c r="AQ294" t="n">
        <v>0</v>
      </c>
      <c r="AR294" t="inlineStr">
        <is>
          <t>No</t>
        </is>
      </c>
      <c r="AS294" t="inlineStr">
        <is>
          <t>Yes</t>
        </is>
      </c>
      <c r="AT294">
        <f>HYPERLINK("http://catalog.hathitrust.org/Record/000475722","HathiTrust Record")</f>
        <v/>
      </c>
      <c r="AU294">
        <f>HYPERLINK("https://creighton-primo.hosted.exlibrisgroup.com/primo-explore/search?tab=default_tab&amp;search_scope=EVERYTHING&amp;vid=01CRU&amp;lang=en_US&amp;offset=0&amp;query=any,contains,991000843359702656","Catalog Record")</f>
        <v/>
      </c>
      <c r="AV294">
        <f>HYPERLINK("http://www.worldcat.org/oclc/12837652","WorldCat Record")</f>
        <v/>
      </c>
      <c r="AW294" t="inlineStr">
        <is>
          <t>3943278075:eng</t>
        </is>
      </c>
      <c r="AX294" t="inlineStr">
        <is>
          <t>12837652</t>
        </is>
      </c>
      <c r="AY294" t="inlineStr">
        <is>
          <t>991000843359702656</t>
        </is>
      </c>
      <c r="AZ294" t="inlineStr">
        <is>
          <t>991000843359702656</t>
        </is>
      </c>
      <c r="BA294" t="inlineStr">
        <is>
          <t>2266451350002656</t>
        </is>
      </c>
      <c r="BB294" t="inlineStr">
        <is>
          <t>BOOK</t>
        </is>
      </c>
      <c r="BD294" t="inlineStr">
        <is>
          <t>9780397545216</t>
        </is>
      </c>
      <c r="BE294" t="inlineStr">
        <is>
          <t>30001000785735</t>
        </is>
      </c>
      <c r="BF294" t="inlineStr">
        <is>
          <t>893460037</t>
        </is>
      </c>
    </row>
    <row r="295">
      <c r="A295" t="inlineStr">
        <is>
          <t>No</t>
        </is>
      </c>
      <c r="B295" t="inlineStr">
        <is>
          <t>CUHSL</t>
        </is>
      </c>
      <c r="C295" t="inlineStr">
        <is>
          <t>SHELVES</t>
        </is>
      </c>
      <c r="D295" t="inlineStr">
        <is>
          <t>WY 18 K94c 1972</t>
        </is>
      </c>
      <c r="E295" t="inlineStr">
        <is>
          <t>0                      WY 0018000K  94c         1972</t>
        </is>
      </c>
      <c r="F295" t="inlineStr">
        <is>
          <t>Care of the skin : study guide and workbook / programmed by Elizabeth A. Krueger.</t>
        </is>
      </c>
      <c r="H295" t="inlineStr">
        <is>
          <t>No</t>
        </is>
      </c>
      <c r="I295" t="inlineStr">
        <is>
          <t>1</t>
        </is>
      </c>
      <c r="J295" t="inlineStr">
        <is>
          <t>No</t>
        </is>
      </c>
      <c r="K295" t="inlineStr">
        <is>
          <t>No</t>
        </is>
      </c>
      <c r="L295" t="inlineStr">
        <is>
          <t>0</t>
        </is>
      </c>
      <c r="M295" t="inlineStr">
        <is>
          <t>Krueger, Elizabeth A.</t>
        </is>
      </c>
      <c r="N295" t="inlineStr">
        <is>
          <t>-- Philadelphia : Lippincott, c1972</t>
        </is>
      </c>
      <c r="O295" t="inlineStr">
        <is>
          <t>1972</t>
        </is>
      </c>
      <c r="Q295" t="inlineStr">
        <is>
          <t>eng</t>
        </is>
      </c>
      <c r="R295" t="inlineStr">
        <is>
          <t>pau</t>
        </is>
      </c>
      <c r="S295" t="inlineStr">
        <is>
          <t>A Lippincott learning system</t>
        </is>
      </c>
      <c r="T295" t="inlineStr">
        <is>
          <t xml:space="preserve">WY </t>
        </is>
      </c>
      <c r="U295" t="n">
        <v>3</v>
      </c>
      <c r="V295" t="n">
        <v>3</v>
      </c>
      <c r="W295" t="inlineStr">
        <is>
          <t>1991-12-14</t>
        </is>
      </c>
      <c r="X295" t="inlineStr">
        <is>
          <t>1991-12-14</t>
        </is>
      </c>
      <c r="Y295" t="inlineStr">
        <is>
          <t>1987-12-28</t>
        </is>
      </c>
      <c r="Z295" t="inlineStr">
        <is>
          <t>1987-12-28</t>
        </is>
      </c>
      <c r="AA295" t="n">
        <v>4</v>
      </c>
      <c r="AB295" t="n">
        <v>4</v>
      </c>
      <c r="AC295" t="n">
        <v>4</v>
      </c>
      <c r="AD295" t="n">
        <v>1</v>
      </c>
      <c r="AE295" t="n">
        <v>1</v>
      </c>
      <c r="AF295" t="n">
        <v>1</v>
      </c>
      <c r="AG295" t="n">
        <v>1</v>
      </c>
      <c r="AH295" t="n">
        <v>0</v>
      </c>
      <c r="AI295" t="n">
        <v>0</v>
      </c>
      <c r="AJ295" t="n">
        <v>0</v>
      </c>
      <c r="AK295" t="n">
        <v>0</v>
      </c>
      <c r="AL295" t="n">
        <v>1</v>
      </c>
      <c r="AM295" t="n">
        <v>1</v>
      </c>
      <c r="AN295" t="n">
        <v>0</v>
      </c>
      <c r="AO295" t="n">
        <v>0</v>
      </c>
      <c r="AP295" t="n">
        <v>0</v>
      </c>
      <c r="AQ295" t="n">
        <v>0</v>
      </c>
      <c r="AR295" t="inlineStr">
        <is>
          <t>No</t>
        </is>
      </c>
      <c r="AS295" t="inlineStr">
        <is>
          <t>No</t>
        </is>
      </c>
      <c r="AU295">
        <f>HYPERLINK("https://creighton-primo.hosted.exlibrisgroup.com/primo-explore/search?tab=default_tab&amp;search_scope=EVERYTHING&amp;vid=01CRU&amp;lang=en_US&amp;offset=0&amp;query=any,contains,991001041429702656","Catalog Record")</f>
        <v/>
      </c>
      <c r="AV295">
        <f>HYPERLINK("http://www.worldcat.org/oclc/4851315","WorldCat Record")</f>
        <v/>
      </c>
      <c r="AW295" t="inlineStr">
        <is>
          <t>2288489732:eng</t>
        </is>
      </c>
      <c r="AX295" t="inlineStr">
        <is>
          <t>4851315</t>
        </is>
      </c>
      <c r="AY295" t="inlineStr">
        <is>
          <t>991001041429702656</t>
        </is>
      </c>
      <c r="AZ295" t="inlineStr">
        <is>
          <t>991001041429702656</t>
        </is>
      </c>
      <c r="BA295" t="inlineStr">
        <is>
          <t>2272066230002656</t>
        </is>
      </c>
      <c r="BB295" t="inlineStr">
        <is>
          <t>BOOK</t>
        </is>
      </c>
      <c r="BE295" t="inlineStr">
        <is>
          <t>30001000242471</t>
        </is>
      </c>
      <c r="BF295" t="inlineStr">
        <is>
          <t>893546337</t>
        </is>
      </c>
    </row>
    <row r="296">
      <c r="A296" t="inlineStr">
        <is>
          <t>No</t>
        </is>
      </c>
      <c r="B296" t="inlineStr">
        <is>
          <t>CUHSL</t>
        </is>
      </c>
      <c r="C296" t="inlineStr">
        <is>
          <t>SHELVES</t>
        </is>
      </c>
      <c r="D296" t="inlineStr">
        <is>
          <t>WY 18 K94v 1973</t>
        </is>
      </c>
      <c r="E296" t="inlineStr">
        <is>
          <t>0                      WY 0018000K  94v         1973</t>
        </is>
      </c>
      <c r="F296" t="inlineStr">
        <is>
          <t>Vital signs : study guide and workbook / programmed by Elizabeth A. Krueger.</t>
        </is>
      </c>
      <c r="H296" t="inlineStr">
        <is>
          <t>No</t>
        </is>
      </c>
      <c r="I296" t="inlineStr">
        <is>
          <t>1</t>
        </is>
      </c>
      <c r="J296" t="inlineStr">
        <is>
          <t>No</t>
        </is>
      </c>
      <c r="K296" t="inlineStr">
        <is>
          <t>No</t>
        </is>
      </c>
      <c r="L296" t="inlineStr">
        <is>
          <t>0</t>
        </is>
      </c>
      <c r="M296" t="inlineStr">
        <is>
          <t>Krueger, Elizabeth A.</t>
        </is>
      </c>
      <c r="N296" t="inlineStr">
        <is>
          <t>-- Philadelphia : Lippincott, c1973.</t>
        </is>
      </c>
      <c r="O296" t="inlineStr">
        <is>
          <t>1973</t>
        </is>
      </c>
      <c r="Q296" t="inlineStr">
        <is>
          <t>eng</t>
        </is>
      </c>
      <c r="R296" t="inlineStr">
        <is>
          <t>pau</t>
        </is>
      </c>
      <c r="S296" t="inlineStr">
        <is>
          <t>A Lippincott learning system</t>
        </is>
      </c>
      <c r="T296" t="inlineStr">
        <is>
          <t xml:space="preserve">WY </t>
        </is>
      </c>
      <c r="U296" t="n">
        <v>3</v>
      </c>
      <c r="V296" t="n">
        <v>3</v>
      </c>
      <c r="W296" t="inlineStr">
        <is>
          <t>1994-02-05</t>
        </is>
      </c>
      <c r="X296" t="inlineStr">
        <is>
          <t>1994-02-05</t>
        </is>
      </c>
      <c r="Y296" t="inlineStr">
        <is>
          <t>1987-12-28</t>
        </is>
      </c>
      <c r="Z296" t="inlineStr">
        <is>
          <t>1987-12-28</t>
        </is>
      </c>
      <c r="AA296" t="n">
        <v>3</v>
      </c>
      <c r="AB296" t="n">
        <v>3</v>
      </c>
      <c r="AC296" t="n">
        <v>3</v>
      </c>
      <c r="AD296" t="n">
        <v>1</v>
      </c>
      <c r="AE296" t="n">
        <v>1</v>
      </c>
      <c r="AF296" t="n">
        <v>1</v>
      </c>
      <c r="AG296" t="n">
        <v>1</v>
      </c>
      <c r="AH296" t="n">
        <v>0</v>
      </c>
      <c r="AI296" t="n">
        <v>0</v>
      </c>
      <c r="AJ296" t="n">
        <v>0</v>
      </c>
      <c r="AK296" t="n">
        <v>0</v>
      </c>
      <c r="AL296" t="n">
        <v>1</v>
      </c>
      <c r="AM296" t="n">
        <v>1</v>
      </c>
      <c r="AN296" t="n">
        <v>0</v>
      </c>
      <c r="AO296" t="n">
        <v>0</v>
      </c>
      <c r="AP296" t="n">
        <v>0</v>
      </c>
      <c r="AQ296" t="n">
        <v>0</v>
      </c>
      <c r="AR296" t="inlineStr">
        <is>
          <t>No</t>
        </is>
      </c>
      <c r="AS296" t="inlineStr">
        <is>
          <t>No</t>
        </is>
      </c>
      <c r="AU296">
        <f>HYPERLINK("https://creighton-primo.hosted.exlibrisgroup.com/primo-explore/search?tab=default_tab&amp;search_scope=EVERYTHING&amp;vid=01CRU&amp;lang=en_US&amp;offset=0&amp;query=any,contains,991001041309702656","Catalog Record")</f>
        <v/>
      </c>
      <c r="AV296">
        <f>HYPERLINK("http://www.worldcat.org/oclc/4851452","WorldCat Record")</f>
        <v/>
      </c>
      <c r="AW296" t="inlineStr">
        <is>
          <t>14967999:eng</t>
        </is>
      </c>
      <c r="AX296" t="inlineStr">
        <is>
          <t>4851452</t>
        </is>
      </c>
      <c r="AY296" t="inlineStr">
        <is>
          <t>991001041309702656</t>
        </is>
      </c>
      <c r="AZ296" t="inlineStr">
        <is>
          <t>991001041309702656</t>
        </is>
      </c>
      <c r="BA296" t="inlineStr">
        <is>
          <t>2272074840002656</t>
        </is>
      </c>
      <c r="BB296" t="inlineStr">
        <is>
          <t>BOOK</t>
        </is>
      </c>
      <c r="BE296" t="inlineStr">
        <is>
          <t>30001000242463</t>
        </is>
      </c>
      <c r="BF296" t="inlineStr">
        <is>
          <t>893736169</t>
        </is>
      </c>
    </row>
    <row r="297">
      <c r="A297" t="inlineStr">
        <is>
          <t>No</t>
        </is>
      </c>
      <c r="B297" t="inlineStr">
        <is>
          <t>CUHSL</t>
        </is>
      </c>
      <c r="C297" t="inlineStr">
        <is>
          <t>SHELVES</t>
        </is>
      </c>
      <c r="D297" t="inlineStr">
        <is>
          <t>WY 18 K96c 1978</t>
        </is>
      </c>
      <c r="E297" t="inlineStr">
        <is>
          <t>0                      WY 0018000K  96c         1978</t>
        </is>
      </c>
      <c r="F297" t="inlineStr">
        <is>
          <t>Clinical workbook in medical-surgical nursing / Rosemary Bouchard Kurtz, Nancy Frost Miller.</t>
        </is>
      </c>
      <c r="H297" t="inlineStr">
        <is>
          <t>No</t>
        </is>
      </c>
      <c r="I297" t="inlineStr">
        <is>
          <t>1</t>
        </is>
      </c>
      <c r="J297" t="inlineStr">
        <is>
          <t>No</t>
        </is>
      </c>
      <c r="K297" t="inlineStr">
        <is>
          <t>No</t>
        </is>
      </c>
      <c r="L297" t="inlineStr">
        <is>
          <t>0</t>
        </is>
      </c>
      <c r="M297" t="inlineStr">
        <is>
          <t>Bouchard-Kurtz, Rosemary, 1919-</t>
        </is>
      </c>
      <c r="N297" t="inlineStr">
        <is>
          <t>Philadelphia : Saunders, c1978.</t>
        </is>
      </c>
      <c r="O297" t="inlineStr">
        <is>
          <t>1978</t>
        </is>
      </c>
      <c r="Q297" t="inlineStr">
        <is>
          <t>eng</t>
        </is>
      </c>
      <c r="R297" t="inlineStr">
        <is>
          <t>pau</t>
        </is>
      </c>
      <c r="T297" t="inlineStr">
        <is>
          <t xml:space="preserve">WY </t>
        </is>
      </c>
      <c r="U297" t="n">
        <v>2</v>
      </c>
      <c r="V297" t="n">
        <v>2</v>
      </c>
      <c r="W297" t="inlineStr">
        <is>
          <t>1991-10-26</t>
        </is>
      </c>
      <c r="X297" t="inlineStr">
        <is>
          <t>1991-10-26</t>
        </is>
      </c>
      <c r="Y297" t="inlineStr">
        <is>
          <t>1987-12-28</t>
        </is>
      </c>
      <c r="Z297" t="inlineStr">
        <is>
          <t>1987-12-28</t>
        </is>
      </c>
      <c r="AA297" t="n">
        <v>68</v>
      </c>
      <c r="AB297" t="n">
        <v>37</v>
      </c>
      <c r="AC297" t="n">
        <v>37</v>
      </c>
      <c r="AD297" t="n">
        <v>1</v>
      </c>
      <c r="AE297" t="n">
        <v>1</v>
      </c>
      <c r="AF297" t="n">
        <v>1</v>
      </c>
      <c r="AG297" t="n">
        <v>1</v>
      </c>
      <c r="AH297" t="n">
        <v>0</v>
      </c>
      <c r="AI297" t="n">
        <v>0</v>
      </c>
      <c r="AJ297" t="n">
        <v>0</v>
      </c>
      <c r="AK297" t="n">
        <v>0</v>
      </c>
      <c r="AL297" t="n">
        <v>1</v>
      </c>
      <c r="AM297" t="n">
        <v>1</v>
      </c>
      <c r="AN297" t="n">
        <v>0</v>
      </c>
      <c r="AO297" t="n">
        <v>0</v>
      </c>
      <c r="AP297" t="n">
        <v>0</v>
      </c>
      <c r="AQ297" t="n">
        <v>0</v>
      </c>
      <c r="AR297" t="inlineStr">
        <is>
          <t>No</t>
        </is>
      </c>
      <c r="AS297" t="inlineStr">
        <is>
          <t>No</t>
        </is>
      </c>
      <c r="AU297">
        <f>HYPERLINK("https://creighton-primo.hosted.exlibrisgroup.com/primo-explore/search?tab=default_tab&amp;search_scope=EVERYTHING&amp;vid=01CRU&amp;lang=en_US&amp;offset=0&amp;query=any,contains,991001041469702656","Catalog Record")</f>
        <v/>
      </c>
      <c r="AV297">
        <f>HYPERLINK("http://www.worldcat.org/oclc/4023849","WorldCat Record")</f>
        <v/>
      </c>
      <c r="AW297" t="inlineStr">
        <is>
          <t>1780653221:eng</t>
        </is>
      </c>
      <c r="AX297" t="inlineStr">
        <is>
          <t>4023849</t>
        </is>
      </c>
      <c r="AY297" t="inlineStr">
        <is>
          <t>991001041469702656</t>
        </is>
      </c>
      <c r="AZ297" t="inlineStr">
        <is>
          <t>991001041469702656</t>
        </is>
      </c>
      <c r="BA297" t="inlineStr">
        <is>
          <t>2267104730002656</t>
        </is>
      </c>
      <c r="BB297" t="inlineStr">
        <is>
          <t>BOOK</t>
        </is>
      </c>
      <c r="BD297" t="inlineStr">
        <is>
          <t>9780721655802</t>
        </is>
      </c>
      <c r="BE297" t="inlineStr">
        <is>
          <t>30001000242497</t>
        </is>
      </c>
      <c r="BF297" t="inlineStr">
        <is>
          <t>893816059</t>
        </is>
      </c>
    </row>
    <row r="298">
      <c r="A298" t="inlineStr">
        <is>
          <t>No</t>
        </is>
      </c>
      <c r="B298" t="inlineStr">
        <is>
          <t>CUHSL</t>
        </is>
      </c>
      <c r="C298" t="inlineStr">
        <is>
          <t>SHELVES</t>
        </is>
      </c>
      <c r="D298" t="inlineStr">
        <is>
          <t>WY 18 L274i 1978</t>
        </is>
      </c>
      <c r="E298" t="inlineStr">
        <is>
          <t>0                      WY 0018000L  274i        1978</t>
        </is>
      </c>
      <c r="F298" t="inlineStr">
        <is>
          <t>Identification of learning styles / Crystal M. Lange.</t>
        </is>
      </c>
      <c r="H298" t="inlineStr">
        <is>
          <t>No</t>
        </is>
      </c>
      <c r="I298" t="inlineStr">
        <is>
          <t>1</t>
        </is>
      </c>
      <c r="J298" t="inlineStr">
        <is>
          <t>No</t>
        </is>
      </c>
      <c r="K298" t="inlineStr">
        <is>
          <t>No</t>
        </is>
      </c>
      <c r="L298" t="inlineStr">
        <is>
          <t>0</t>
        </is>
      </c>
      <c r="M298" t="inlineStr">
        <is>
          <t>Lange, Crystal M., 1927-</t>
        </is>
      </c>
      <c r="N298" t="inlineStr">
        <is>
          <t>New York, N.Y. : National League for Nursing, c1979.</t>
        </is>
      </c>
      <c r="O298" t="inlineStr">
        <is>
          <t>1978</t>
        </is>
      </c>
      <c r="Q298" t="inlineStr">
        <is>
          <t>eng</t>
        </is>
      </c>
      <c r="R298" t="inlineStr">
        <is>
          <t>nyu</t>
        </is>
      </c>
      <c r="S298" t="inlineStr">
        <is>
          <t>NLN pub. no. 23-1793</t>
        </is>
      </c>
      <c r="T298" t="inlineStr">
        <is>
          <t xml:space="preserve">WY </t>
        </is>
      </c>
      <c r="U298" t="n">
        <v>3</v>
      </c>
      <c r="V298" t="n">
        <v>3</v>
      </c>
      <c r="W298" t="inlineStr">
        <is>
          <t>1990-07-17</t>
        </is>
      </c>
      <c r="X298" t="inlineStr">
        <is>
          <t>1990-07-17</t>
        </is>
      </c>
      <c r="Y298" t="inlineStr">
        <is>
          <t>1987-11-04</t>
        </is>
      </c>
      <c r="Z298" t="inlineStr">
        <is>
          <t>1987-11-04</t>
        </is>
      </c>
      <c r="AA298" t="n">
        <v>97</v>
      </c>
      <c r="AB298" t="n">
        <v>85</v>
      </c>
      <c r="AC298" t="n">
        <v>85</v>
      </c>
      <c r="AD298" t="n">
        <v>1</v>
      </c>
      <c r="AE298" t="n">
        <v>1</v>
      </c>
      <c r="AF298" t="n">
        <v>4</v>
      </c>
      <c r="AG298" t="n">
        <v>4</v>
      </c>
      <c r="AH298" t="n">
        <v>2</v>
      </c>
      <c r="AI298" t="n">
        <v>2</v>
      </c>
      <c r="AJ298" t="n">
        <v>0</v>
      </c>
      <c r="AK298" t="n">
        <v>0</v>
      </c>
      <c r="AL298" t="n">
        <v>2</v>
      </c>
      <c r="AM298" t="n">
        <v>2</v>
      </c>
      <c r="AN298" t="n">
        <v>0</v>
      </c>
      <c r="AO298" t="n">
        <v>0</v>
      </c>
      <c r="AP298" t="n">
        <v>0</v>
      </c>
      <c r="AQ298" t="n">
        <v>0</v>
      </c>
      <c r="AR298" t="inlineStr">
        <is>
          <t>No</t>
        </is>
      </c>
      <c r="AS298" t="inlineStr">
        <is>
          <t>No</t>
        </is>
      </c>
      <c r="AU298">
        <f>HYPERLINK("https://creighton-primo.hosted.exlibrisgroup.com/primo-explore/search?tab=default_tab&amp;search_scope=EVERYTHING&amp;vid=01CRU&amp;lang=en_US&amp;offset=0&amp;query=any,contains,991001388799702656","Catalog Record")</f>
        <v/>
      </c>
      <c r="AV298">
        <f>HYPERLINK("http://www.worldcat.org/oclc/5430385","WorldCat Record")</f>
        <v/>
      </c>
      <c r="AW298" t="inlineStr">
        <is>
          <t>17715142:eng</t>
        </is>
      </c>
      <c r="AX298" t="inlineStr">
        <is>
          <t>5430385</t>
        </is>
      </c>
      <c r="AY298" t="inlineStr">
        <is>
          <t>991001388799702656</t>
        </is>
      </c>
      <c r="AZ298" t="inlineStr">
        <is>
          <t>991001388799702656</t>
        </is>
      </c>
      <c r="BA298" t="inlineStr">
        <is>
          <t>2262398810002656</t>
        </is>
      </c>
      <c r="BB298" t="inlineStr">
        <is>
          <t>BOOK</t>
        </is>
      </c>
      <c r="BE298" t="inlineStr">
        <is>
          <t>30001000464422</t>
        </is>
      </c>
      <c r="BF298" t="inlineStr">
        <is>
          <t>893727528</t>
        </is>
      </c>
    </row>
    <row r="299">
      <c r="A299" t="inlineStr">
        <is>
          <t>No</t>
        </is>
      </c>
      <c r="B299" t="inlineStr">
        <is>
          <t>CUHSL</t>
        </is>
      </c>
      <c r="C299" t="inlineStr">
        <is>
          <t>SHELVES</t>
        </is>
      </c>
      <c r="D299" t="inlineStr">
        <is>
          <t>WY 18 L563o 1975</t>
        </is>
      </c>
      <c r="E299" t="inlineStr">
        <is>
          <t>0                      WY 0018000L  563o        1975</t>
        </is>
      </c>
      <c r="F299" t="inlineStr">
        <is>
          <t>Open learning and career mobility in nursing / edited by Carrie B. Lenburg.</t>
        </is>
      </c>
      <c r="H299" t="inlineStr">
        <is>
          <t>No</t>
        </is>
      </c>
      <c r="I299" t="inlineStr">
        <is>
          <t>1</t>
        </is>
      </c>
      <c r="J299" t="inlineStr">
        <is>
          <t>No</t>
        </is>
      </c>
      <c r="K299" t="inlineStr">
        <is>
          <t>No</t>
        </is>
      </c>
      <c r="L299" t="inlineStr">
        <is>
          <t>0</t>
        </is>
      </c>
      <c r="M299" t="inlineStr">
        <is>
          <t>Lenburg, Carrie B.</t>
        </is>
      </c>
      <c r="N299" t="inlineStr">
        <is>
          <t>Saint Louis, MO : Mosby, 1975.</t>
        </is>
      </c>
      <c r="O299" t="inlineStr">
        <is>
          <t>1975</t>
        </is>
      </c>
      <c r="Q299" t="inlineStr">
        <is>
          <t>eng</t>
        </is>
      </c>
      <c r="R299" t="inlineStr">
        <is>
          <t>mou</t>
        </is>
      </c>
      <c r="T299" t="inlineStr">
        <is>
          <t xml:space="preserve">WY </t>
        </is>
      </c>
      <c r="U299" t="n">
        <v>2</v>
      </c>
      <c r="V299" t="n">
        <v>2</v>
      </c>
      <c r="W299" t="inlineStr">
        <is>
          <t>1994-10-12</t>
        </is>
      </c>
      <c r="X299" t="inlineStr">
        <is>
          <t>1994-10-12</t>
        </is>
      </c>
      <c r="Y299" t="inlineStr">
        <is>
          <t>1988-01-20</t>
        </is>
      </c>
      <c r="Z299" t="inlineStr">
        <is>
          <t>1988-01-20</t>
        </is>
      </c>
      <c r="AA299" t="n">
        <v>166</v>
      </c>
      <c r="AB299" t="n">
        <v>127</v>
      </c>
      <c r="AC299" t="n">
        <v>130</v>
      </c>
      <c r="AD299" t="n">
        <v>2</v>
      </c>
      <c r="AE299" t="n">
        <v>2</v>
      </c>
      <c r="AF299" t="n">
        <v>8</v>
      </c>
      <c r="AG299" t="n">
        <v>8</v>
      </c>
      <c r="AH299" t="n">
        <v>1</v>
      </c>
      <c r="AI299" t="n">
        <v>1</v>
      </c>
      <c r="AJ299" t="n">
        <v>2</v>
      </c>
      <c r="AK299" t="n">
        <v>2</v>
      </c>
      <c r="AL299" t="n">
        <v>4</v>
      </c>
      <c r="AM299" t="n">
        <v>4</v>
      </c>
      <c r="AN299" t="n">
        <v>1</v>
      </c>
      <c r="AO299" t="n">
        <v>1</v>
      </c>
      <c r="AP299" t="n">
        <v>0</v>
      </c>
      <c r="AQ299" t="n">
        <v>0</v>
      </c>
      <c r="AR299" t="inlineStr">
        <is>
          <t>No</t>
        </is>
      </c>
      <c r="AS299" t="inlineStr">
        <is>
          <t>Yes</t>
        </is>
      </c>
      <c r="AT299">
        <f>HYPERLINK("http://catalog.hathitrust.org/Record/000027429","HathiTrust Record")</f>
        <v/>
      </c>
      <c r="AU299">
        <f>HYPERLINK("https://creighton-primo.hosted.exlibrisgroup.com/primo-explore/search?tab=default_tab&amp;search_scope=EVERYTHING&amp;vid=01CRU&amp;lang=en_US&amp;offset=0&amp;query=any,contains,991001041599702656","Catalog Record")</f>
        <v/>
      </c>
      <c r="AV299">
        <f>HYPERLINK("http://www.worldcat.org/oclc/1085692","WorldCat Record")</f>
        <v/>
      </c>
      <c r="AW299" t="inlineStr">
        <is>
          <t>2052015:eng</t>
        </is>
      </c>
      <c r="AX299" t="inlineStr">
        <is>
          <t>1085692</t>
        </is>
      </c>
      <c r="AY299" t="inlineStr">
        <is>
          <t>991001041599702656</t>
        </is>
      </c>
      <c r="AZ299" t="inlineStr">
        <is>
          <t>991001041599702656</t>
        </is>
      </c>
      <c r="BA299" t="inlineStr">
        <is>
          <t>2269479590002656</t>
        </is>
      </c>
      <c r="BB299" t="inlineStr">
        <is>
          <t>BOOK</t>
        </is>
      </c>
      <c r="BD299" t="inlineStr">
        <is>
          <t>9780801629389</t>
        </is>
      </c>
      <c r="BE299" t="inlineStr">
        <is>
          <t>30001000242521</t>
        </is>
      </c>
      <c r="BF299" t="inlineStr">
        <is>
          <t>893273625</t>
        </is>
      </c>
    </row>
    <row r="300">
      <c r="A300" t="inlineStr">
        <is>
          <t>No</t>
        </is>
      </c>
      <c r="B300" t="inlineStr">
        <is>
          <t>CUHSL</t>
        </is>
      </c>
      <c r="C300" t="inlineStr">
        <is>
          <t>SHELVES</t>
        </is>
      </c>
      <c r="D300" t="inlineStr">
        <is>
          <t>WY 18 L857 1991</t>
        </is>
      </c>
      <c r="E300" t="inlineStr">
        <is>
          <t>0                      WY 0018000L  857         1991</t>
        </is>
      </c>
      <c r="F300" t="inlineStr">
        <is>
          <t>The Long-term care nursing assistant training manual / [edited] by Mary Ann Anderson, Karen W. Beaver, and Ruth E. Wheeler ; with invited contributors.</t>
        </is>
      </c>
      <c r="H300" t="inlineStr">
        <is>
          <t>No</t>
        </is>
      </c>
      <c r="I300" t="inlineStr">
        <is>
          <t>1</t>
        </is>
      </c>
      <c r="J300" t="inlineStr">
        <is>
          <t>No</t>
        </is>
      </c>
      <c r="K300" t="inlineStr">
        <is>
          <t>No</t>
        </is>
      </c>
      <c r="L300" t="inlineStr">
        <is>
          <t>0</t>
        </is>
      </c>
      <c r="N300" t="inlineStr">
        <is>
          <t>Baltimore : Health Professions Press, c1991.</t>
        </is>
      </c>
      <c r="O300" t="inlineStr">
        <is>
          <t>1991</t>
        </is>
      </c>
      <c r="Q300" t="inlineStr">
        <is>
          <t>eng</t>
        </is>
      </c>
      <c r="R300" t="inlineStr">
        <is>
          <t>mdu</t>
        </is>
      </c>
      <c r="T300" t="inlineStr">
        <is>
          <t xml:space="preserve">WY </t>
        </is>
      </c>
      <c r="U300" t="n">
        <v>6</v>
      </c>
      <c r="V300" t="n">
        <v>6</v>
      </c>
      <c r="W300" t="inlineStr">
        <is>
          <t>2001-06-22</t>
        </is>
      </c>
      <c r="X300" t="inlineStr">
        <is>
          <t>2001-06-22</t>
        </is>
      </c>
      <c r="Y300" t="inlineStr">
        <is>
          <t>1992-04-02</t>
        </is>
      </c>
      <c r="Z300" t="inlineStr">
        <is>
          <t>1992-04-02</t>
        </is>
      </c>
      <c r="AA300" t="n">
        <v>61</v>
      </c>
      <c r="AB300" t="n">
        <v>50</v>
      </c>
      <c r="AC300" t="n">
        <v>85</v>
      </c>
      <c r="AD300" t="n">
        <v>1</v>
      </c>
      <c r="AE300" t="n">
        <v>1</v>
      </c>
      <c r="AF300" t="n">
        <v>0</v>
      </c>
      <c r="AG300" t="n">
        <v>1</v>
      </c>
      <c r="AH300" t="n">
        <v>0</v>
      </c>
      <c r="AI300" t="n">
        <v>0</v>
      </c>
      <c r="AJ300" t="n">
        <v>0</v>
      </c>
      <c r="AK300" t="n">
        <v>0</v>
      </c>
      <c r="AL300" t="n">
        <v>0</v>
      </c>
      <c r="AM300" t="n">
        <v>1</v>
      </c>
      <c r="AN300" t="n">
        <v>0</v>
      </c>
      <c r="AO300" t="n">
        <v>0</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HYPERLINK("https://creighton-primo.hosted.exlibrisgroup.com/primo-explore/search?tab=default_tab&amp;search_scope=EVERYTHING&amp;vid=01CRU&amp;lang=en_US&amp;offset=0&amp;query=any,contains,991001299919702656","Catalog Record")</f>
        <v/>
      </c>
      <c r="AV300">
        <f>HYPERLINK("http://www.worldcat.org/oclc/22207757","WorldCat Record")</f>
        <v/>
      </c>
      <c r="AW300" t="inlineStr">
        <is>
          <t>375328570:eng</t>
        </is>
      </c>
      <c r="AX300" t="inlineStr">
        <is>
          <t>22207757</t>
        </is>
      </c>
      <c r="AY300" t="inlineStr">
        <is>
          <t>991001299919702656</t>
        </is>
      </c>
      <c r="AZ300" t="inlineStr">
        <is>
          <t>991001299919702656</t>
        </is>
      </c>
      <c r="BA300" t="inlineStr">
        <is>
          <t>2256436950002656</t>
        </is>
      </c>
      <c r="BB300" t="inlineStr">
        <is>
          <t>BOOK</t>
        </is>
      </c>
      <c r="BD300" t="inlineStr">
        <is>
          <t>9781878812001</t>
        </is>
      </c>
      <c r="BE300" t="inlineStr">
        <is>
          <t>30001002411439</t>
        </is>
      </c>
      <c r="BF300" t="inlineStr">
        <is>
          <t>893552339</t>
        </is>
      </c>
    </row>
    <row r="301">
      <c r="A301" t="inlineStr">
        <is>
          <t>No</t>
        </is>
      </c>
      <c r="B301" t="inlineStr">
        <is>
          <t>CUHSL</t>
        </is>
      </c>
      <c r="C301" t="inlineStr">
        <is>
          <t>SHELVES</t>
        </is>
      </c>
      <c r="D301" t="inlineStr">
        <is>
          <t>WY18 L982e 1985</t>
        </is>
      </c>
      <c r="E301" t="inlineStr">
        <is>
          <t>0                      WY 0018000L  982e        1985</t>
        </is>
      </c>
      <c r="F301" t="inlineStr">
        <is>
          <t>Evaluation in nursing : principles and practice / Lawrence Litwack, Linda Linc, Dolores Bower.</t>
        </is>
      </c>
      <c r="H301" t="inlineStr">
        <is>
          <t>No</t>
        </is>
      </c>
      <c r="I301" t="inlineStr">
        <is>
          <t>1</t>
        </is>
      </c>
      <c r="J301" t="inlineStr">
        <is>
          <t>No</t>
        </is>
      </c>
      <c r="K301" t="inlineStr">
        <is>
          <t>No</t>
        </is>
      </c>
      <c r="L301" t="inlineStr">
        <is>
          <t>0</t>
        </is>
      </c>
      <c r="M301" t="inlineStr">
        <is>
          <t>Litwack, Lawrence.</t>
        </is>
      </c>
      <c r="N301" t="inlineStr">
        <is>
          <t>New York : National League for Nursing, c1985.</t>
        </is>
      </c>
      <c r="O301" t="inlineStr">
        <is>
          <t>1985</t>
        </is>
      </c>
      <c r="Q301" t="inlineStr">
        <is>
          <t>eng</t>
        </is>
      </c>
      <c r="R301" t="inlineStr">
        <is>
          <t>nyu</t>
        </is>
      </c>
      <c r="S301" t="inlineStr">
        <is>
          <t>NLN pub. no. 15-1976</t>
        </is>
      </c>
      <c r="T301" t="inlineStr">
        <is>
          <t xml:space="preserve">WY </t>
        </is>
      </c>
      <c r="U301" t="n">
        <v>5</v>
      </c>
      <c r="V301" t="n">
        <v>5</v>
      </c>
      <c r="W301" t="inlineStr">
        <is>
          <t>1992-06-16</t>
        </is>
      </c>
      <c r="X301" t="inlineStr">
        <is>
          <t>1992-06-16</t>
        </is>
      </c>
      <c r="Y301" t="inlineStr">
        <is>
          <t>1987-12-29</t>
        </is>
      </c>
      <c r="Z301" t="inlineStr">
        <is>
          <t>1987-12-29</t>
        </is>
      </c>
      <c r="AA301" t="n">
        <v>292</v>
      </c>
      <c r="AB301" t="n">
        <v>254</v>
      </c>
      <c r="AC301" t="n">
        <v>256</v>
      </c>
      <c r="AD301" t="n">
        <v>4</v>
      </c>
      <c r="AE301" t="n">
        <v>4</v>
      </c>
      <c r="AF301" t="n">
        <v>12</v>
      </c>
      <c r="AG301" t="n">
        <v>12</v>
      </c>
      <c r="AH301" t="n">
        <v>2</v>
      </c>
      <c r="AI301" t="n">
        <v>2</v>
      </c>
      <c r="AJ301" t="n">
        <v>3</v>
      </c>
      <c r="AK301" t="n">
        <v>3</v>
      </c>
      <c r="AL301" t="n">
        <v>7</v>
      </c>
      <c r="AM301" t="n">
        <v>7</v>
      </c>
      <c r="AN301" t="n">
        <v>2</v>
      </c>
      <c r="AO301" t="n">
        <v>2</v>
      </c>
      <c r="AP301" t="n">
        <v>0</v>
      </c>
      <c r="AQ301" t="n">
        <v>0</v>
      </c>
      <c r="AR301" t="inlineStr">
        <is>
          <t>No</t>
        </is>
      </c>
      <c r="AS301" t="inlineStr">
        <is>
          <t>Yes</t>
        </is>
      </c>
      <c r="AT301">
        <f>HYPERLINK("http://catalog.hathitrust.org/Record/002505079","HathiTrust Record")</f>
        <v/>
      </c>
      <c r="AU301">
        <f>HYPERLINK("https://creighton-primo.hosted.exlibrisgroup.com/primo-explore/search?tab=default_tab&amp;search_scope=EVERYTHING&amp;vid=01CRU&amp;lang=en_US&amp;offset=0&amp;query=any,contains,991001041639702656","Catalog Record")</f>
        <v/>
      </c>
      <c r="AV301">
        <f>HYPERLINK("http://www.worldcat.org/oclc/12228423","WorldCat Record")</f>
        <v/>
      </c>
      <c r="AW301" t="inlineStr">
        <is>
          <t>308984000:eng</t>
        </is>
      </c>
      <c r="AX301" t="inlineStr">
        <is>
          <t>12228423</t>
        </is>
      </c>
      <c r="AY301" t="inlineStr">
        <is>
          <t>991001041639702656</t>
        </is>
      </c>
      <c r="AZ301" t="inlineStr">
        <is>
          <t>991001041639702656</t>
        </is>
      </c>
      <c r="BA301" t="inlineStr">
        <is>
          <t>2262960920002656</t>
        </is>
      </c>
      <c r="BB301" t="inlineStr">
        <is>
          <t>BOOK</t>
        </is>
      </c>
      <c r="BD301" t="inlineStr">
        <is>
          <t>9780887371561</t>
        </is>
      </c>
      <c r="BE301" t="inlineStr">
        <is>
          <t>30001000242539</t>
        </is>
      </c>
      <c r="BF301" t="inlineStr">
        <is>
          <t>893552090</t>
        </is>
      </c>
    </row>
    <row r="302">
      <c r="A302" t="inlineStr">
        <is>
          <t>No</t>
        </is>
      </c>
      <c r="B302" t="inlineStr">
        <is>
          <t>CUHSL</t>
        </is>
      </c>
      <c r="C302" t="inlineStr">
        <is>
          <t>SHELVES</t>
        </is>
      </c>
      <c r="D302" t="inlineStr">
        <is>
          <t>WY 18 M168p 1977</t>
        </is>
      </c>
      <c r="E302" t="inlineStr">
        <is>
          <t>0                      WY 0018000M  168p        1977</t>
        </is>
      </c>
      <c r="F302" t="inlineStr">
        <is>
          <t>The preparation of the nurse specialist / Dorothy McMullan.</t>
        </is>
      </c>
      <c r="H302" t="inlineStr">
        <is>
          <t>No</t>
        </is>
      </c>
      <c r="I302" t="inlineStr">
        <is>
          <t>1</t>
        </is>
      </c>
      <c r="J302" t="inlineStr">
        <is>
          <t>No</t>
        </is>
      </c>
      <c r="K302" t="inlineStr">
        <is>
          <t>No</t>
        </is>
      </c>
      <c r="L302" t="inlineStr">
        <is>
          <t>0</t>
        </is>
      </c>
      <c r="M302" t="inlineStr">
        <is>
          <t>McMullan, Dorothy.</t>
        </is>
      </c>
      <c r="N302" t="inlineStr">
        <is>
          <t>New York : National League for Nursing, c1977.</t>
        </is>
      </c>
      <c r="O302" t="inlineStr">
        <is>
          <t>1977</t>
        </is>
      </c>
      <c r="Q302" t="inlineStr">
        <is>
          <t>eng</t>
        </is>
      </c>
      <c r="R302" t="inlineStr">
        <is>
          <t>nyu</t>
        </is>
      </c>
      <c r="S302" t="inlineStr">
        <is>
          <t>NLN pub. no. 14-1678</t>
        </is>
      </c>
      <c r="T302" t="inlineStr">
        <is>
          <t xml:space="preserve">WY </t>
        </is>
      </c>
      <c r="U302" t="n">
        <v>5</v>
      </c>
      <c r="V302" t="n">
        <v>5</v>
      </c>
      <c r="W302" t="inlineStr">
        <is>
          <t>2004-03-23</t>
        </is>
      </c>
      <c r="X302" t="inlineStr">
        <is>
          <t>2004-03-23</t>
        </is>
      </c>
      <c r="Y302" t="inlineStr">
        <is>
          <t>1987-10-14</t>
        </is>
      </c>
      <c r="Z302" t="inlineStr">
        <is>
          <t>1987-10-14</t>
        </is>
      </c>
      <c r="AA302" t="n">
        <v>80</v>
      </c>
      <c r="AB302" t="n">
        <v>72</v>
      </c>
      <c r="AC302" t="n">
        <v>75</v>
      </c>
      <c r="AD302" t="n">
        <v>2</v>
      </c>
      <c r="AE302" t="n">
        <v>2</v>
      </c>
      <c r="AF302" t="n">
        <v>4</v>
      </c>
      <c r="AG302" t="n">
        <v>4</v>
      </c>
      <c r="AH302" t="n">
        <v>1</v>
      </c>
      <c r="AI302" t="n">
        <v>1</v>
      </c>
      <c r="AJ302" t="n">
        <v>0</v>
      </c>
      <c r="AK302" t="n">
        <v>0</v>
      </c>
      <c r="AL302" t="n">
        <v>3</v>
      </c>
      <c r="AM302" t="n">
        <v>3</v>
      </c>
      <c r="AN302" t="n">
        <v>0</v>
      </c>
      <c r="AO302" t="n">
        <v>0</v>
      </c>
      <c r="AP302" t="n">
        <v>0</v>
      </c>
      <c r="AQ302" t="n">
        <v>0</v>
      </c>
      <c r="AR302" t="inlineStr">
        <is>
          <t>No</t>
        </is>
      </c>
      <c r="AS302" t="inlineStr">
        <is>
          <t>Yes</t>
        </is>
      </c>
      <c r="AT302">
        <f>HYPERLINK("http://catalog.hathitrust.org/Record/001545318","HathiTrust Record")</f>
        <v/>
      </c>
      <c r="AU302">
        <f>HYPERLINK("https://creighton-primo.hosted.exlibrisgroup.com/primo-explore/search?tab=default_tab&amp;search_scope=EVERYTHING&amp;vid=01CRU&amp;lang=en_US&amp;offset=0&amp;query=any,contains,991001363819702656","Catalog Record")</f>
        <v/>
      </c>
      <c r="AV302">
        <f>HYPERLINK("http://www.worldcat.org/oclc/3338603","WorldCat Record")</f>
        <v/>
      </c>
      <c r="AW302" t="inlineStr">
        <is>
          <t>9993894:eng</t>
        </is>
      </c>
      <c r="AX302" t="inlineStr">
        <is>
          <t>3338603</t>
        </is>
      </c>
      <c r="AY302" t="inlineStr">
        <is>
          <t>991001363819702656</t>
        </is>
      </c>
      <c r="AZ302" t="inlineStr">
        <is>
          <t>991001363819702656</t>
        </is>
      </c>
      <c r="BA302" t="inlineStr">
        <is>
          <t>2265636610002656</t>
        </is>
      </c>
      <c r="BB302" t="inlineStr">
        <is>
          <t>BOOK</t>
        </is>
      </c>
      <c r="BE302" t="inlineStr">
        <is>
          <t>30001000461105</t>
        </is>
      </c>
      <c r="BF302" t="inlineStr">
        <is>
          <t>893274051</t>
        </is>
      </c>
    </row>
    <row r="303">
      <c r="A303" t="inlineStr">
        <is>
          <t>No</t>
        </is>
      </c>
      <c r="B303" t="inlineStr">
        <is>
          <t>CUHSL</t>
        </is>
      </c>
      <c r="C303" t="inlineStr">
        <is>
          <t>SHELVES</t>
        </is>
      </c>
      <c r="D303" t="inlineStr">
        <is>
          <t>WY 18 M294 1987</t>
        </is>
      </c>
      <c r="E303" t="inlineStr">
        <is>
          <t>0                      WY 0018000M  294         1987</t>
        </is>
      </c>
      <c r="F303" t="inlineStr">
        <is>
          <t>Manual of community and home health nursing / [edited by] Ruth F. Stewart.</t>
        </is>
      </c>
      <c r="H303" t="inlineStr">
        <is>
          <t>No</t>
        </is>
      </c>
      <c r="I303" t="inlineStr">
        <is>
          <t>1</t>
        </is>
      </c>
      <c r="J303" t="inlineStr">
        <is>
          <t>No</t>
        </is>
      </c>
      <c r="K303" t="inlineStr">
        <is>
          <t>No</t>
        </is>
      </c>
      <c r="L303" t="inlineStr">
        <is>
          <t>0</t>
        </is>
      </c>
      <c r="N303" t="inlineStr">
        <is>
          <t>Boston : Little, Brown, c1987.</t>
        </is>
      </c>
      <c r="O303" t="inlineStr">
        <is>
          <t>1987</t>
        </is>
      </c>
      <c r="Q303" t="inlineStr">
        <is>
          <t>eng</t>
        </is>
      </c>
      <c r="R303" t="inlineStr">
        <is>
          <t>xxu</t>
        </is>
      </c>
      <c r="S303" t="inlineStr">
        <is>
          <t>Little, Brown spiral manual. Nursing</t>
        </is>
      </c>
      <c r="T303" t="inlineStr">
        <is>
          <t xml:space="preserve">WY </t>
        </is>
      </c>
      <c r="U303" t="n">
        <v>2</v>
      </c>
      <c r="V303" t="n">
        <v>2</v>
      </c>
      <c r="W303" t="inlineStr">
        <is>
          <t>1990-09-20</t>
        </is>
      </c>
      <c r="X303" t="inlineStr">
        <is>
          <t>1990-09-20</t>
        </is>
      </c>
      <c r="Y303" t="inlineStr">
        <is>
          <t>1990-07-25</t>
        </is>
      </c>
      <c r="Z303" t="inlineStr">
        <is>
          <t>1990-07-25</t>
        </is>
      </c>
      <c r="AA303" t="n">
        <v>127</v>
      </c>
      <c r="AB303" t="n">
        <v>107</v>
      </c>
      <c r="AC303" t="n">
        <v>108</v>
      </c>
      <c r="AD303" t="n">
        <v>2</v>
      </c>
      <c r="AE303" t="n">
        <v>2</v>
      </c>
      <c r="AF303" t="n">
        <v>3</v>
      </c>
      <c r="AG303" t="n">
        <v>3</v>
      </c>
      <c r="AH303" t="n">
        <v>0</v>
      </c>
      <c r="AI303" t="n">
        <v>0</v>
      </c>
      <c r="AJ303" t="n">
        <v>1</v>
      </c>
      <c r="AK303" t="n">
        <v>1</v>
      </c>
      <c r="AL303" t="n">
        <v>3</v>
      </c>
      <c r="AM303" t="n">
        <v>3</v>
      </c>
      <c r="AN303" t="n">
        <v>0</v>
      </c>
      <c r="AO303" t="n">
        <v>0</v>
      </c>
      <c r="AP303" t="n">
        <v>0</v>
      </c>
      <c r="AQ303" t="n">
        <v>0</v>
      </c>
      <c r="AR303" t="inlineStr">
        <is>
          <t>No</t>
        </is>
      </c>
      <c r="AS303" t="inlineStr">
        <is>
          <t>No</t>
        </is>
      </c>
      <c r="AU303">
        <f>HYPERLINK("https://creighton-primo.hosted.exlibrisgroup.com/primo-explore/search?tab=default_tab&amp;search_scope=EVERYTHING&amp;vid=01CRU&amp;lang=en_US&amp;offset=0&amp;query=any,contains,991001449679702656","Catalog Record")</f>
        <v/>
      </c>
      <c r="AV303">
        <f>HYPERLINK("http://www.worldcat.org/oclc/15697734","WorldCat Record")</f>
        <v/>
      </c>
      <c r="AW303" t="inlineStr">
        <is>
          <t>10767856:eng</t>
        </is>
      </c>
      <c r="AX303" t="inlineStr">
        <is>
          <t>15697734</t>
        </is>
      </c>
      <c r="AY303" t="inlineStr">
        <is>
          <t>991001449679702656</t>
        </is>
      </c>
      <c r="AZ303" t="inlineStr">
        <is>
          <t>991001449679702656</t>
        </is>
      </c>
      <c r="BA303" t="inlineStr">
        <is>
          <t>2264215640002656</t>
        </is>
      </c>
      <c r="BB303" t="inlineStr">
        <is>
          <t>BOOK</t>
        </is>
      </c>
      <c r="BD303" t="inlineStr">
        <is>
          <t>9780316814355</t>
        </is>
      </c>
      <c r="BE303" t="inlineStr">
        <is>
          <t>30001001882481</t>
        </is>
      </c>
      <c r="BF303" t="inlineStr">
        <is>
          <t>893162016</t>
        </is>
      </c>
    </row>
    <row r="304">
      <c r="A304" t="inlineStr">
        <is>
          <t>No</t>
        </is>
      </c>
      <c r="B304" t="inlineStr">
        <is>
          <t>CUHSL</t>
        </is>
      </c>
      <c r="C304" t="inlineStr">
        <is>
          <t>SHELVES</t>
        </is>
      </c>
      <c r="D304" t="inlineStr">
        <is>
          <t>WY 18 M4245sb 1990</t>
        </is>
      </c>
      <c r="E304" t="inlineStr">
        <is>
          <t>0                      WY 0018000M  4245sb      1990</t>
        </is>
      </c>
      <c r="F304" t="inlineStr">
        <is>
          <t>Saunders review for NCLEX-RN / by Esther Matassarin-Jacobs.</t>
        </is>
      </c>
      <c r="H304" t="inlineStr">
        <is>
          <t>No</t>
        </is>
      </c>
      <c r="I304" t="inlineStr">
        <is>
          <t>1</t>
        </is>
      </c>
      <c r="J304" t="inlineStr">
        <is>
          <t>No</t>
        </is>
      </c>
      <c r="K304" t="inlineStr">
        <is>
          <t>No</t>
        </is>
      </c>
      <c r="L304" t="inlineStr">
        <is>
          <t>0</t>
        </is>
      </c>
      <c r="M304" t="inlineStr">
        <is>
          <t>Matassarin-Jacobs, Esther.</t>
        </is>
      </c>
      <c r="N304" t="inlineStr">
        <is>
          <t>Philadelphia : Saunders, c1990.</t>
        </is>
      </c>
      <c r="O304" t="inlineStr">
        <is>
          <t>1990</t>
        </is>
      </c>
      <c r="Q304" t="inlineStr">
        <is>
          <t>eng</t>
        </is>
      </c>
      <c r="R304" t="inlineStr">
        <is>
          <t>xxu</t>
        </is>
      </c>
      <c r="T304" t="inlineStr">
        <is>
          <t xml:space="preserve">WY </t>
        </is>
      </c>
      <c r="U304" t="n">
        <v>11</v>
      </c>
      <c r="V304" t="n">
        <v>11</v>
      </c>
      <c r="W304" t="inlineStr">
        <is>
          <t>1996-08-06</t>
        </is>
      </c>
      <c r="X304" t="inlineStr">
        <is>
          <t>1996-08-06</t>
        </is>
      </c>
      <c r="Y304" t="inlineStr">
        <is>
          <t>1990-02-06</t>
        </is>
      </c>
      <c r="Z304" t="inlineStr">
        <is>
          <t>1990-02-06</t>
        </is>
      </c>
      <c r="AA304" t="n">
        <v>126</v>
      </c>
      <c r="AB304" t="n">
        <v>110</v>
      </c>
      <c r="AC304" t="n">
        <v>222</v>
      </c>
      <c r="AD304" t="n">
        <v>2</v>
      </c>
      <c r="AE304" t="n">
        <v>3</v>
      </c>
      <c r="AF304" t="n">
        <v>3</v>
      </c>
      <c r="AG304" t="n">
        <v>4</v>
      </c>
      <c r="AH304" t="n">
        <v>0</v>
      </c>
      <c r="AI304" t="n">
        <v>1</v>
      </c>
      <c r="AJ304" t="n">
        <v>0</v>
      </c>
      <c r="AK304" t="n">
        <v>0</v>
      </c>
      <c r="AL304" t="n">
        <v>2</v>
      </c>
      <c r="AM304" t="n">
        <v>2</v>
      </c>
      <c r="AN304" t="n">
        <v>1</v>
      </c>
      <c r="AO304" t="n">
        <v>1</v>
      </c>
      <c r="AP304" t="n">
        <v>0</v>
      </c>
      <c r="AQ304" t="n">
        <v>0</v>
      </c>
      <c r="AR304" t="inlineStr">
        <is>
          <t>No</t>
        </is>
      </c>
      <c r="AS304" t="inlineStr">
        <is>
          <t>Yes</t>
        </is>
      </c>
      <c r="AT304">
        <f>HYPERLINK("http://catalog.hathitrust.org/Record/003204036","HathiTrust Record")</f>
        <v/>
      </c>
      <c r="AU304">
        <f>HYPERLINK("https://creighton-primo.hosted.exlibrisgroup.com/primo-explore/search?tab=default_tab&amp;search_scope=EVERYTHING&amp;vid=01CRU&amp;lang=en_US&amp;offset=0&amp;query=any,contains,991001446619702656","Catalog Record")</f>
        <v/>
      </c>
      <c r="AV304">
        <f>HYPERLINK("http://www.worldcat.org/oclc/18985000","WorldCat Record")</f>
        <v/>
      </c>
      <c r="AW304" t="inlineStr">
        <is>
          <t>17815140:eng</t>
        </is>
      </c>
      <c r="AX304" t="inlineStr">
        <is>
          <t>18985000</t>
        </is>
      </c>
      <c r="AY304" t="inlineStr">
        <is>
          <t>991001446619702656</t>
        </is>
      </c>
      <c r="AZ304" t="inlineStr">
        <is>
          <t>991001446619702656</t>
        </is>
      </c>
      <c r="BA304" t="inlineStr">
        <is>
          <t>2261592980002656</t>
        </is>
      </c>
      <c r="BB304" t="inlineStr">
        <is>
          <t>BOOK</t>
        </is>
      </c>
      <c r="BD304" t="inlineStr">
        <is>
          <t>9780721624044</t>
        </is>
      </c>
      <c r="BE304" t="inlineStr">
        <is>
          <t>30001001880659</t>
        </is>
      </c>
      <c r="BF304" t="inlineStr">
        <is>
          <t>893834679</t>
        </is>
      </c>
    </row>
    <row r="305">
      <c r="A305" t="inlineStr">
        <is>
          <t>No</t>
        </is>
      </c>
      <c r="B305" t="inlineStr">
        <is>
          <t>CUHSL</t>
        </is>
      </c>
      <c r="C305" t="inlineStr">
        <is>
          <t>SHELVES</t>
        </is>
      </c>
      <c r="D305" t="inlineStr">
        <is>
          <t>WY 18 M482c 1983</t>
        </is>
      </c>
      <c r="E305" t="inlineStr">
        <is>
          <t>0                      WY 0018000M  482c        1983</t>
        </is>
      </c>
      <c r="F305" t="inlineStr">
        <is>
          <t>Critical care nursing : review &amp; self-test / Billie C. Meador.</t>
        </is>
      </c>
      <c r="H305" t="inlineStr">
        <is>
          <t>No</t>
        </is>
      </c>
      <c r="I305" t="inlineStr">
        <is>
          <t>1</t>
        </is>
      </c>
      <c r="J305" t="inlineStr">
        <is>
          <t>No</t>
        </is>
      </c>
      <c r="K305" t="inlineStr">
        <is>
          <t>No</t>
        </is>
      </c>
      <c r="L305" t="inlineStr">
        <is>
          <t>0</t>
        </is>
      </c>
      <c r="M305" t="inlineStr">
        <is>
          <t>Meador, Billie C.</t>
        </is>
      </c>
      <c r="N305" t="inlineStr">
        <is>
          <t>Oradell, N.J. : Medical Economics Books, c1983.</t>
        </is>
      </c>
      <c r="O305" t="inlineStr">
        <is>
          <t>1983</t>
        </is>
      </c>
      <c r="Q305" t="inlineStr">
        <is>
          <t>eng</t>
        </is>
      </c>
      <c r="R305" t="inlineStr">
        <is>
          <t>xxu</t>
        </is>
      </c>
      <c r="T305" t="inlineStr">
        <is>
          <t xml:space="preserve">WY </t>
        </is>
      </c>
      <c r="U305" t="n">
        <v>1</v>
      </c>
      <c r="V305" t="n">
        <v>1</v>
      </c>
      <c r="W305" t="inlineStr">
        <is>
          <t>1988-05-26</t>
        </is>
      </c>
      <c r="X305" t="inlineStr">
        <is>
          <t>1988-05-26</t>
        </is>
      </c>
      <c r="Y305" t="inlineStr">
        <is>
          <t>1987-12-28</t>
        </is>
      </c>
      <c r="Z305" t="inlineStr">
        <is>
          <t>1987-12-28</t>
        </is>
      </c>
      <c r="AA305" t="n">
        <v>64</v>
      </c>
      <c r="AB305" t="n">
        <v>56</v>
      </c>
      <c r="AC305" t="n">
        <v>56</v>
      </c>
      <c r="AD305" t="n">
        <v>1</v>
      </c>
      <c r="AE305" t="n">
        <v>1</v>
      </c>
      <c r="AF305" t="n">
        <v>0</v>
      </c>
      <c r="AG305" t="n">
        <v>0</v>
      </c>
      <c r="AH305" t="n">
        <v>0</v>
      </c>
      <c r="AI305" t="n">
        <v>0</v>
      </c>
      <c r="AJ305" t="n">
        <v>0</v>
      </c>
      <c r="AK305" t="n">
        <v>0</v>
      </c>
      <c r="AL305" t="n">
        <v>0</v>
      </c>
      <c r="AM305" t="n">
        <v>0</v>
      </c>
      <c r="AN305" t="n">
        <v>0</v>
      </c>
      <c r="AO305" t="n">
        <v>0</v>
      </c>
      <c r="AP305" t="n">
        <v>0</v>
      </c>
      <c r="AQ305" t="n">
        <v>0</v>
      </c>
      <c r="AR305" t="inlineStr">
        <is>
          <t>No</t>
        </is>
      </c>
      <c r="AS305" t="inlineStr">
        <is>
          <t>No</t>
        </is>
      </c>
      <c r="AU305">
        <f>HYPERLINK("https://creighton-primo.hosted.exlibrisgroup.com/primo-explore/search?tab=default_tab&amp;search_scope=EVERYTHING&amp;vid=01CRU&amp;lang=en_US&amp;offset=0&amp;query=any,contains,991001041929702656","Catalog Record")</f>
        <v/>
      </c>
      <c r="AV305">
        <f>HYPERLINK("http://www.worldcat.org/oclc/8785854","WorldCat Record")</f>
        <v/>
      </c>
      <c r="AW305" t="inlineStr">
        <is>
          <t>43190245:eng</t>
        </is>
      </c>
      <c r="AX305" t="inlineStr">
        <is>
          <t>8785854</t>
        </is>
      </c>
      <c r="AY305" t="inlineStr">
        <is>
          <t>991001041929702656</t>
        </is>
      </c>
      <c r="AZ305" t="inlineStr">
        <is>
          <t>991001041929702656</t>
        </is>
      </c>
      <c r="BA305" t="inlineStr">
        <is>
          <t>2267836990002656</t>
        </is>
      </c>
      <c r="BB305" t="inlineStr">
        <is>
          <t>BOOK</t>
        </is>
      </c>
      <c r="BD305" t="inlineStr">
        <is>
          <t>9780874893007</t>
        </is>
      </c>
      <c r="BE305" t="inlineStr">
        <is>
          <t>30001000242646</t>
        </is>
      </c>
      <c r="BF305" t="inlineStr">
        <is>
          <t>893465140</t>
        </is>
      </c>
    </row>
    <row r="306">
      <c r="A306" t="inlineStr">
        <is>
          <t>No</t>
        </is>
      </c>
      <c r="B306" t="inlineStr">
        <is>
          <t>CUHSL</t>
        </is>
      </c>
      <c r="C306" t="inlineStr">
        <is>
          <t>SHELVES</t>
        </is>
      </c>
      <c r="D306" t="inlineStr">
        <is>
          <t>WY 18 M483 1979</t>
        </is>
      </c>
      <c r="E306" t="inlineStr">
        <is>
          <t>0                      WY 0018000M  483         1979</t>
        </is>
      </c>
      <c r="F306" t="inlineStr">
        <is>
          <t>Measurement and evaluation in nursing education : papers presented at a conference at the St. Luke's College of Nursing, Tokyo, Japan, January 12-14, 1979.</t>
        </is>
      </c>
      <c r="H306" t="inlineStr">
        <is>
          <t>No</t>
        </is>
      </c>
      <c r="I306" t="inlineStr">
        <is>
          <t>1</t>
        </is>
      </c>
      <c r="J306" t="inlineStr">
        <is>
          <t>No</t>
        </is>
      </c>
      <c r="K306" t="inlineStr">
        <is>
          <t>No</t>
        </is>
      </c>
      <c r="L306" t="inlineStr">
        <is>
          <t>0</t>
        </is>
      </c>
      <c r="N306" t="inlineStr">
        <is>
          <t>New York : National League for Nursing, c1980.</t>
        </is>
      </c>
      <c r="O306" t="inlineStr">
        <is>
          <t>1980</t>
        </is>
      </c>
      <c r="Q306" t="inlineStr">
        <is>
          <t>eng</t>
        </is>
      </c>
      <c r="R306" t="inlineStr">
        <is>
          <t>xxu</t>
        </is>
      </c>
      <c r="S306" t="inlineStr">
        <is>
          <t>NLN pub. no. 17-1807</t>
        </is>
      </c>
      <c r="T306" t="inlineStr">
        <is>
          <t xml:space="preserve">WY </t>
        </is>
      </c>
      <c r="U306" t="n">
        <v>1</v>
      </c>
      <c r="V306" t="n">
        <v>1</v>
      </c>
      <c r="W306" t="inlineStr">
        <is>
          <t>1993-01-28</t>
        </is>
      </c>
      <c r="X306" t="inlineStr">
        <is>
          <t>1993-01-28</t>
        </is>
      </c>
      <c r="Y306" t="inlineStr">
        <is>
          <t>1987-11-02</t>
        </is>
      </c>
      <c r="Z306" t="inlineStr">
        <is>
          <t>1987-11-02</t>
        </is>
      </c>
      <c r="AA306" t="n">
        <v>21</v>
      </c>
      <c r="AB306" t="n">
        <v>19</v>
      </c>
      <c r="AC306" t="n">
        <v>19</v>
      </c>
      <c r="AD306" t="n">
        <v>1</v>
      </c>
      <c r="AE306" t="n">
        <v>1</v>
      </c>
      <c r="AF306" t="n">
        <v>1</v>
      </c>
      <c r="AG306" t="n">
        <v>1</v>
      </c>
      <c r="AH306" t="n">
        <v>0</v>
      </c>
      <c r="AI306" t="n">
        <v>0</v>
      </c>
      <c r="AJ306" t="n">
        <v>0</v>
      </c>
      <c r="AK306" t="n">
        <v>0</v>
      </c>
      <c r="AL306" t="n">
        <v>1</v>
      </c>
      <c r="AM306" t="n">
        <v>1</v>
      </c>
      <c r="AN306" t="n">
        <v>0</v>
      </c>
      <c r="AO306" t="n">
        <v>0</v>
      </c>
      <c r="AP306" t="n">
        <v>0</v>
      </c>
      <c r="AQ306" t="n">
        <v>0</v>
      </c>
      <c r="AR306" t="inlineStr">
        <is>
          <t>No</t>
        </is>
      </c>
      <c r="AS306" t="inlineStr">
        <is>
          <t>No</t>
        </is>
      </c>
      <c r="AU306">
        <f>HYPERLINK("https://creighton-primo.hosted.exlibrisgroup.com/primo-explore/search?tab=default_tab&amp;search_scope=EVERYTHING&amp;vid=01CRU&amp;lang=en_US&amp;offset=0&amp;query=any,contains,991001379769702656","Catalog Record")</f>
        <v/>
      </c>
      <c r="AV306">
        <f>HYPERLINK("http://www.worldcat.org/oclc/6420475","WorldCat Record")</f>
        <v/>
      </c>
      <c r="AW306" t="inlineStr">
        <is>
          <t>4794562871:eng</t>
        </is>
      </c>
      <c r="AX306" t="inlineStr">
        <is>
          <t>6420475</t>
        </is>
      </c>
      <c r="AY306" t="inlineStr">
        <is>
          <t>991001379769702656</t>
        </is>
      </c>
      <c r="AZ306" t="inlineStr">
        <is>
          <t>991001379769702656</t>
        </is>
      </c>
      <c r="BA306" t="inlineStr">
        <is>
          <t>2267491990002656</t>
        </is>
      </c>
      <c r="BB306" t="inlineStr">
        <is>
          <t>BOOK</t>
        </is>
      </c>
      <c r="BE306" t="inlineStr">
        <is>
          <t>30001000462558</t>
        </is>
      </c>
      <c r="BF306" t="inlineStr">
        <is>
          <t>893638275</t>
        </is>
      </c>
    </row>
    <row r="307">
      <c r="A307" t="inlineStr">
        <is>
          <t>No</t>
        </is>
      </c>
      <c r="B307" t="inlineStr">
        <is>
          <t>CUHSL</t>
        </is>
      </c>
      <c r="C307" t="inlineStr">
        <is>
          <t>SHELVES</t>
        </is>
      </c>
      <c r="D307" t="inlineStr">
        <is>
          <t>WY 18 M758e 1971</t>
        </is>
      </c>
      <c r="E307" t="inlineStr">
        <is>
          <t>0                      WY 0018000M  758e        1971</t>
        </is>
      </c>
      <c r="F307" t="inlineStr">
        <is>
          <t>The education of nursing technicians / Mildred L. Montag ; Foreword by R. Louise McManus.</t>
        </is>
      </c>
      <c r="H307" t="inlineStr">
        <is>
          <t>No</t>
        </is>
      </c>
      <c r="I307" t="inlineStr">
        <is>
          <t>1</t>
        </is>
      </c>
      <c r="J307" t="inlineStr">
        <is>
          <t>No</t>
        </is>
      </c>
      <c r="K307" t="inlineStr">
        <is>
          <t>No</t>
        </is>
      </c>
      <c r="L307" t="inlineStr">
        <is>
          <t>0</t>
        </is>
      </c>
      <c r="M307" t="inlineStr">
        <is>
          <t>Montag, Mildred Louise, 1908-</t>
        </is>
      </c>
      <c r="N307" t="inlineStr">
        <is>
          <t>New York, NY : Wiley, 1971, 1951.</t>
        </is>
      </c>
      <c r="O307" t="inlineStr">
        <is>
          <t>1971</t>
        </is>
      </c>
      <c r="Q307" t="inlineStr">
        <is>
          <t>eng</t>
        </is>
      </c>
      <c r="R307" t="inlineStr">
        <is>
          <t>nyu</t>
        </is>
      </c>
      <c r="S307" t="inlineStr">
        <is>
          <t>Wiley paperback nursing series</t>
        </is>
      </c>
      <c r="T307" t="inlineStr">
        <is>
          <t xml:space="preserve">WY </t>
        </is>
      </c>
      <c r="U307" t="n">
        <v>2</v>
      </c>
      <c r="V307" t="n">
        <v>2</v>
      </c>
      <c r="W307" t="inlineStr">
        <is>
          <t>1994-06-27</t>
        </is>
      </c>
      <c r="X307" t="inlineStr">
        <is>
          <t>1994-06-27</t>
        </is>
      </c>
      <c r="Y307" t="inlineStr">
        <is>
          <t>1988-01-18</t>
        </is>
      </c>
      <c r="Z307" t="inlineStr">
        <is>
          <t>1988-01-18</t>
        </is>
      </c>
      <c r="AA307" t="n">
        <v>75</v>
      </c>
      <c r="AB307" t="n">
        <v>57</v>
      </c>
      <c r="AC307" t="n">
        <v>176</v>
      </c>
      <c r="AD307" t="n">
        <v>3</v>
      </c>
      <c r="AE307" t="n">
        <v>3</v>
      </c>
      <c r="AF307" t="n">
        <v>3</v>
      </c>
      <c r="AG307" t="n">
        <v>10</v>
      </c>
      <c r="AH307" t="n">
        <v>1</v>
      </c>
      <c r="AI307" t="n">
        <v>2</v>
      </c>
      <c r="AJ307" t="n">
        <v>0</v>
      </c>
      <c r="AK307" t="n">
        <v>3</v>
      </c>
      <c r="AL307" t="n">
        <v>0</v>
      </c>
      <c r="AM307" t="n">
        <v>4</v>
      </c>
      <c r="AN307" t="n">
        <v>2</v>
      </c>
      <c r="AO307" t="n">
        <v>2</v>
      </c>
      <c r="AP307" t="n">
        <v>0</v>
      </c>
      <c r="AQ307" t="n">
        <v>0</v>
      </c>
      <c r="AR307" t="inlineStr">
        <is>
          <t>No</t>
        </is>
      </c>
      <c r="AS307" t="inlineStr">
        <is>
          <t>No</t>
        </is>
      </c>
      <c r="AU307">
        <f>HYPERLINK("https://creighton-primo.hosted.exlibrisgroup.com/primo-explore/search?tab=default_tab&amp;search_scope=EVERYTHING&amp;vid=01CRU&amp;lang=en_US&amp;offset=0&amp;query=any,contains,991001041999702656","Catalog Record")</f>
        <v/>
      </c>
      <c r="AV307">
        <f>HYPERLINK("http://www.worldcat.org/oclc/217267","WorldCat Record")</f>
        <v/>
      </c>
      <c r="AW307" t="inlineStr">
        <is>
          <t>1310482:eng</t>
        </is>
      </c>
      <c r="AX307" t="inlineStr">
        <is>
          <t>217267</t>
        </is>
      </c>
      <c r="AY307" t="inlineStr">
        <is>
          <t>991001041999702656</t>
        </is>
      </c>
      <c r="AZ307" t="inlineStr">
        <is>
          <t>991001041999702656</t>
        </is>
      </c>
      <c r="BA307" t="inlineStr">
        <is>
          <t>2259457450002656</t>
        </is>
      </c>
      <c r="BB307" t="inlineStr">
        <is>
          <t>BOOK</t>
        </is>
      </c>
      <c r="BD307" t="inlineStr">
        <is>
          <t>9780471613404</t>
        </is>
      </c>
      <c r="BE307" t="inlineStr">
        <is>
          <t>30001000242661</t>
        </is>
      </c>
      <c r="BF307" t="inlineStr">
        <is>
          <t>893455408</t>
        </is>
      </c>
    </row>
    <row r="308">
      <c r="A308" t="inlineStr">
        <is>
          <t>No</t>
        </is>
      </c>
      <c r="B308" t="inlineStr">
        <is>
          <t>CUHSL</t>
        </is>
      </c>
      <c r="C308" t="inlineStr">
        <is>
          <t>SHELVES</t>
        </is>
      </c>
      <c r="D308" t="inlineStr">
        <is>
          <t>WY18 M758ec 1972</t>
        </is>
      </c>
      <c r="E308" t="inlineStr">
        <is>
          <t>0                      WY 0018000M  758ec       1972</t>
        </is>
      </c>
      <c r="F308" t="inlineStr">
        <is>
          <t>Evaluation of graduates of associate degree nursing programs / Mildred L. Montag.</t>
        </is>
      </c>
      <c r="H308" t="inlineStr">
        <is>
          <t>No</t>
        </is>
      </c>
      <c r="I308" t="inlineStr">
        <is>
          <t>1</t>
        </is>
      </c>
      <c r="J308" t="inlineStr">
        <is>
          <t>No</t>
        </is>
      </c>
      <c r="K308" t="inlineStr">
        <is>
          <t>No</t>
        </is>
      </c>
      <c r="L308" t="inlineStr">
        <is>
          <t>0</t>
        </is>
      </c>
      <c r="M308" t="inlineStr">
        <is>
          <t>Montag, Mildred Louise, 1908-</t>
        </is>
      </c>
      <c r="N308" t="inlineStr">
        <is>
          <t>New York, NY : Published for the Dept. of Nursing Education by Teachers College Press, Teachers College, Columbia University 1972.</t>
        </is>
      </c>
      <c r="O308" t="inlineStr">
        <is>
          <t>1972</t>
        </is>
      </c>
      <c r="Q308" t="inlineStr">
        <is>
          <t>eng</t>
        </is>
      </c>
      <c r="R308" t="inlineStr">
        <is>
          <t>nyu</t>
        </is>
      </c>
      <c r="S308" t="inlineStr">
        <is>
          <t>Nursing education monographs</t>
        </is>
      </c>
      <c r="T308" t="inlineStr">
        <is>
          <t xml:space="preserve">WY </t>
        </is>
      </c>
      <c r="U308" t="n">
        <v>9</v>
      </c>
      <c r="V308" t="n">
        <v>9</v>
      </c>
      <c r="W308" t="inlineStr">
        <is>
          <t>1994-10-19</t>
        </is>
      </c>
      <c r="X308" t="inlineStr">
        <is>
          <t>1994-10-19</t>
        </is>
      </c>
      <c r="Y308" t="inlineStr">
        <is>
          <t>1988-01-18</t>
        </is>
      </c>
      <c r="Z308" t="inlineStr">
        <is>
          <t>1988-01-18</t>
        </is>
      </c>
      <c r="AA308" t="n">
        <v>158</v>
      </c>
      <c r="AB308" t="n">
        <v>136</v>
      </c>
      <c r="AC308" t="n">
        <v>137</v>
      </c>
      <c r="AD308" t="n">
        <v>1</v>
      </c>
      <c r="AE308" t="n">
        <v>1</v>
      </c>
      <c r="AF308" t="n">
        <v>7</v>
      </c>
      <c r="AG308" t="n">
        <v>7</v>
      </c>
      <c r="AH308" t="n">
        <v>1</v>
      </c>
      <c r="AI308" t="n">
        <v>1</v>
      </c>
      <c r="AJ308" t="n">
        <v>2</v>
      </c>
      <c r="AK308" t="n">
        <v>2</v>
      </c>
      <c r="AL308" t="n">
        <v>4</v>
      </c>
      <c r="AM308" t="n">
        <v>4</v>
      </c>
      <c r="AN308" t="n">
        <v>0</v>
      </c>
      <c r="AO308" t="n">
        <v>0</v>
      </c>
      <c r="AP308" t="n">
        <v>0</v>
      </c>
      <c r="AQ308" t="n">
        <v>0</v>
      </c>
      <c r="AR308" t="inlineStr">
        <is>
          <t>No</t>
        </is>
      </c>
      <c r="AS308" t="inlineStr">
        <is>
          <t>No</t>
        </is>
      </c>
      <c r="AU308">
        <f>HYPERLINK("https://creighton-primo.hosted.exlibrisgroup.com/primo-explore/search?tab=default_tab&amp;search_scope=EVERYTHING&amp;vid=01CRU&amp;lang=en_US&amp;offset=0&amp;query=any,contains,991001042079702656","Catalog Record")</f>
        <v/>
      </c>
      <c r="AV308">
        <f>HYPERLINK("http://www.worldcat.org/oclc/578137","WorldCat Record")</f>
        <v/>
      </c>
      <c r="AW308" t="inlineStr">
        <is>
          <t>1712899:eng</t>
        </is>
      </c>
      <c r="AX308" t="inlineStr">
        <is>
          <t>578137</t>
        </is>
      </c>
      <c r="AY308" t="inlineStr">
        <is>
          <t>991001042079702656</t>
        </is>
      </c>
      <c r="AZ308" t="inlineStr">
        <is>
          <t>991001042079702656</t>
        </is>
      </c>
      <c r="BA308" t="inlineStr">
        <is>
          <t>2258621080002656</t>
        </is>
      </c>
      <c r="BB308" t="inlineStr">
        <is>
          <t>BOOK</t>
        </is>
      </c>
      <c r="BE308" t="inlineStr">
        <is>
          <t>30001000242679</t>
        </is>
      </c>
      <c r="BF308" t="inlineStr">
        <is>
          <t>893540975</t>
        </is>
      </c>
    </row>
    <row r="309">
      <c r="A309" t="inlineStr">
        <is>
          <t>No</t>
        </is>
      </c>
      <c r="B309" t="inlineStr">
        <is>
          <t>CUHSL</t>
        </is>
      </c>
      <c r="C309" t="inlineStr">
        <is>
          <t>SHELVES</t>
        </is>
      </c>
      <c r="D309" t="inlineStr">
        <is>
          <t>WY 18 N105w 1979</t>
        </is>
      </c>
      <c r="E309" t="inlineStr">
        <is>
          <t>0                      WY 0018000N  105w        1979</t>
        </is>
      </c>
      <c r="F309" t="inlineStr">
        <is>
          <t>Working paper of the NLN Task Force on Competencies of Graduates of Nursing Programs.</t>
        </is>
      </c>
      <c r="H309" t="inlineStr">
        <is>
          <t>No</t>
        </is>
      </c>
      <c r="I309" t="inlineStr">
        <is>
          <t>1</t>
        </is>
      </c>
      <c r="J309" t="inlineStr">
        <is>
          <t>No</t>
        </is>
      </c>
      <c r="K309" t="inlineStr">
        <is>
          <t>No</t>
        </is>
      </c>
      <c r="L309" t="inlineStr">
        <is>
          <t>0</t>
        </is>
      </c>
      <c r="M309" t="inlineStr">
        <is>
          <t>NLN Task Force on Competencies of Graduates of Nursing Programs.</t>
        </is>
      </c>
      <c r="N309" t="inlineStr">
        <is>
          <t>New York : National League for Nursing, c1979.</t>
        </is>
      </c>
      <c r="O309" t="inlineStr">
        <is>
          <t>1979</t>
        </is>
      </c>
      <c r="Q309" t="inlineStr">
        <is>
          <t>eng</t>
        </is>
      </c>
      <c r="R309" t="inlineStr">
        <is>
          <t>nyu</t>
        </is>
      </c>
      <c r="S309" t="inlineStr">
        <is>
          <t>NLN pub. no. 14-1787.</t>
        </is>
      </c>
      <c r="T309" t="inlineStr">
        <is>
          <t xml:space="preserve">WY </t>
        </is>
      </c>
      <c r="U309" t="n">
        <v>0</v>
      </c>
      <c r="V309" t="n">
        <v>0</v>
      </c>
      <c r="W309" t="inlineStr">
        <is>
          <t>2002-07-17</t>
        </is>
      </c>
      <c r="X309" t="inlineStr">
        <is>
          <t>2002-07-17</t>
        </is>
      </c>
      <c r="Y309" t="inlineStr">
        <is>
          <t>2000-06-15</t>
        </is>
      </c>
      <c r="Z309" t="inlineStr">
        <is>
          <t>2000-06-15</t>
        </is>
      </c>
      <c r="AA309" t="n">
        <v>71</v>
      </c>
      <c r="AB309" t="n">
        <v>61</v>
      </c>
      <c r="AC309" t="n">
        <v>61</v>
      </c>
      <c r="AD309" t="n">
        <v>1</v>
      </c>
      <c r="AE309" t="n">
        <v>1</v>
      </c>
      <c r="AF309" t="n">
        <v>2</v>
      </c>
      <c r="AG309" t="n">
        <v>2</v>
      </c>
      <c r="AH309" t="n">
        <v>0</v>
      </c>
      <c r="AI309" t="n">
        <v>0</v>
      </c>
      <c r="AJ309" t="n">
        <v>0</v>
      </c>
      <c r="AK309" t="n">
        <v>0</v>
      </c>
      <c r="AL309" t="n">
        <v>2</v>
      </c>
      <c r="AM309" t="n">
        <v>2</v>
      </c>
      <c r="AN309" t="n">
        <v>0</v>
      </c>
      <c r="AO309" t="n">
        <v>0</v>
      </c>
      <c r="AP309" t="n">
        <v>0</v>
      </c>
      <c r="AQ309" t="n">
        <v>0</v>
      </c>
      <c r="AR309" t="inlineStr">
        <is>
          <t>No</t>
        </is>
      </c>
      <c r="AS309" t="inlineStr">
        <is>
          <t>No</t>
        </is>
      </c>
      <c r="AU309">
        <f>HYPERLINK("https://creighton-primo.hosted.exlibrisgroup.com/primo-explore/search?tab=default_tab&amp;search_scope=EVERYTHING&amp;vid=01CRU&amp;lang=en_US&amp;offset=0&amp;query=any,contains,991000176849702656","Catalog Record")</f>
        <v/>
      </c>
      <c r="AV309">
        <f>HYPERLINK("http://www.worldcat.org/oclc/5676052","WorldCat Record")</f>
        <v/>
      </c>
      <c r="AW309" t="inlineStr">
        <is>
          <t>3859715989:eng</t>
        </is>
      </c>
      <c r="AX309" t="inlineStr">
        <is>
          <t>5676052</t>
        </is>
      </c>
      <c r="AY309" t="inlineStr">
        <is>
          <t>991000176849702656</t>
        </is>
      </c>
      <c r="AZ309" t="inlineStr">
        <is>
          <t>991000176849702656</t>
        </is>
      </c>
      <c r="BA309" t="inlineStr">
        <is>
          <t>2259951100002656</t>
        </is>
      </c>
      <c r="BB309" t="inlineStr">
        <is>
          <t>BOOK</t>
        </is>
      </c>
      <c r="BE309" t="inlineStr">
        <is>
          <t>30001000461113</t>
        </is>
      </c>
      <c r="BF309" t="inlineStr">
        <is>
          <t>893466140</t>
        </is>
      </c>
    </row>
    <row r="310">
      <c r="A310" t="inlineStr">
        <is>
          <t>No</t>
        </is>
      </c>
      <c r="B310" t="inlineStr">
        <is>
          <t>CUHSL</t>
        </is>
      </c>
      <c r="C310" t="inlineStr">
        <is>
          <t>SHELVES</t>
        </is>
      </c>
      <c r="D310" t="inlineStr">
        <is>
          <t>WY18 N25721e 2000</t>
        </is>
      </c>
      <c r="E310" t="inlineStr">
        <is>
          <t>0                      WY 0018000N  25721e      2000</t>
        </is>
      </c>
      <c r="F310" t="inlineStr">
        <is>
          <t>Educational competencies for graduates of associate degree nursing programs / Council of Associate Degree Nursing, Competencies Task Force, National League for Nursing ; with support from the National Organization of Associate Degree Nursing ; edited and revised by G. Coxwell and H. Gillerman.</t>
        </is>
      </c>
      <c r="H310" t="inlineStr">
        <is>
          <t>No</t>
        </is>
      </c>
      <c r="I310" t="inlineStr">
        <is>
          <t>1</t>
        </is>
      </c>
      <c r="J310" t="inlineStr">
        <is>
          <t>No</t>
        </is>
      </c>
      <c r="K310" t="inlineStr">
        <is>
          <t>No</t>
        </is>
      </c>
      <c r="L310" t="inlineStr">
        <is>
          <t>0</t>
        </is>
      </c>
      <c r="M310" t="inlineStr">
        <is>
          <t>National League for Nursing. Council of Associate Degree Nursing. Competencies Task Force.</t>
        </is>
      </c>
      <c r="N310" t="inlineStr">
        <is>
          <t>Sudbury, Mass. : Jones and Bartlett, c2000.</t>
        </is>
      </c>
      <c r="O310" t="inlineStr">
        <is>
          <t>2000</t>
        </is>
      </c>
      <c r="Q310" t="inlineStr">
        <is>
          <t>eng</t>
        </is>
      </c>
      <c r="R310" t="inlineStr">
        <is>
          <t>mau</t>
        </is>
      </c>
      <c r="T310" t="inlineStr">
        <is>
          <t xml:space="preserve">WY </t>
        </is>
      </c>
      <c r="U310" t="n">
        <v>1</v>
      </c>
      <c r="V310" t="n">
        <v>1</v>
      </c>
      <c r="W310" t="inlineStr">
        <is>
          <t>2006-10-30</t>
        </is>
      </c>
      <c r="X310" t="inlineStr">
        <is>
          <t>2006-10-30</t>
        </is>
      </c>
      <c r="Y310" t="inlineStr">
        <is>
          <t>2003-07-16</t>
        </is>
      </c>
      <c r="Z310" t="inlineStr">
        <is>
          <t>2003-07-16</t>
        </is>
      </c>
      <c r="AA310" t="n">
        <v>185</v>
      </c>
      <c r="AB310" t="n">
        <v>169</v>
      </c>
      <c r="AC310" t="n">
        <v>173</v>
      </c>
      <c r="AD310" t="n">
        <v>1</v>
      </c>
      <c r="AE310" t="n">
        <v>1</v>
      </c>
      <c r="AF310" t="n">
        <v>8</v>
      </c>
      <c r="AG310" t="n">
        <v>8</v>
      </c>
      <c r="AH310" t="n">
        <v>4</v>
      </c>
      <c r="AI310" t="n">
        <v>4</v>
      </c>
      <c r="AJ310" t="n">
        <v>3</v>
      </c>
      <c r="AK310" t="n">
        <v>3</v>
      </c>
      <c r="AL310" t="n">
        <v>2</v>
      </c>
      <c r="AM310" t="n">
        <v>2</v>
      </c>
      <c r="AN310" t="n">
        <v>0</v>
      </c>
      <c r="AO310" t="n">
        <v>0</v>
      </c>
      <c r="AP310" t="n">
        <v>0</v>
      </c>
      <c r="AQ310" t="n">
        <v>0</v>
      </c>
      <c r="AR310" t="inlineStr">
        <is>
          <t>No</t>
        </is>
      </c>
      <c r="AS310" t="inlineStr">
        <is>
          <t>Yes</t>
        </is>
      </c>
      <c r="AT310">
        <f>HYPERLINK("http://catalog.hathitrust.org/Record/003546407","HathiTrust Record")</f>
        <v/>
      </c>
      <c r="AU310">
        <f>HYPERLINK("https://creighton-primo.hosted.exlibrisgroup.com/primo-explore/search?tab=default_tab&amp;search_scope=EVERYTHING&amp;vid=01CRU&amp;lang=en_US&amp;offset=0&amp;query=any,contains,991000353339702656","Catalog Record")</f>
        <v/>
      </c>
      <c r="AV310">
        <f>HYPERLINK("http://www.worldcat.org/oclc/45015534","WorldCat Record")</f>
        <v/>
      </c>
      <c r="AW310" t="inlineStr">
        <is>
          <t>14066994:eng</t>
        </is>
      </c>
      <c r="AX310" t="inlineStr">
        <is>
          <t>45015534</t>
        </is>
      </c>
      <c r="AY310" t="inlineStr">
        <is>
          <t>991000353339702656</t>
        </is>
      </c>
      <c r="AZ310" t="inlineStr">
        <is>
          <t>991000353339702656</t>
        </is>
      </c>
      <c r="BA310" t="inlineStr">
        <is>
          <t>2263371670002656</t>
        </is>
      </c>
      <c r="BB310" t="inlineStr">
        <is>
          <t>BOOK</t>
        </is>
      </c>
      <c r="BD310" t="inlineStr">
        <is>
          <t>9780763714048</t>
        </is>
      </c>
      <c r="BE310" t="inlineStr">
        <is>
          <t>30001003783984</t>
        </is>
      </c>
      <c r="BF310" t="inlineStr">
        <is>
          <t>893136757</t>
        </is>
      </c>
    </row>
    <row r="311">
      <c r="A311" t="inlineStr">
        <is>
          <t>No</t>
        </is>
      </c>
      <c r="B311" t="inlineStr">
        <is>
          <t>CUHSL</t>
        </is>
      </c>
      <c r="C311" t="inlineStr">
        <is>
          <t>SHELVES</t>
        </is>
      </c>
      <c r="D311" t="inlineStr">
        <is>
          <t>WY 18 N2737 1985</t>
        </is>
      </c>
      <c r="E311" t="inlineStr">
        <is>
          <t>0                      WY 0018000N  2737        1985</t>
        </is>
      </c>
      <c r="F311" t="inlineStr">
        <is>
          <t>Patterns in specialization : challenge to the curriculum.</t>
        </is>
      </c>
      <c r="H311" t="inlineStr">
        <is>
          <t>No</t>
        </is>
      </c>
      <c r="I311" t="inlineStr">
        <is>
          <t>1</t>
        </is>
      </c>
      <c r="J311" t="inlineStr">
        <is>
          <t>No</t>
        </is>
      </c>
      <c r="K311" t="inlineStr">
        <is>
          <t>No</t>
        </is>
      </c>
      <c r="L311" t="inlineStr">
        <is>
          <t>0</t>
        </is>
      </c>
      <c r="M311" t="inlineStr">
        <is>
          <t>National Conference on Nursing Education (2nd : 1985 : San Diego, Calif.)</t>
        </is>
      </c>
      <c r="N311" t="inlineStr">
        <is>
          <t>New York, NY : National League for Nursing, c1986.</t>
        </is>
      </c>
      <c r="O311" t="inlineStr">
        <is>
          <t>1986</t>
        </is>
      </c>
      <c r="Q311" t="inlineStr">
        <is>
          <t>eng</t>
        </is>
      </c>
      <c r="R311" t="inlineStr">
        <is>
          <t>xxu</t>
        </is>
      </c>
      <c r="S311" t="inlineStr">
        <is>
          <t>NLN pub. no. 15-2154</t>
        </is>
      </c>
      <c r="T311" t="inlineStr">
        <is>
          <t xml:space="preserve">WY </t>
        </is>
      </c>
      <c r="U311" t="n">
        <v>5</v>
      </c>
      <c r="V311" t="n">
        <v>5</v>
      </c>
      <c r="W311" t="inlineStr">
        <is>
          <t>2004-03-23</t>
        </is>
      </c>
      <c r="X311" t="inlineStr">
        <is>
          <t>2004-03-23</t>
        </is>
      </c>
      <c r="Y311" t="inlineStr">
        <is>
          <t>1987-11-04</t>
        </is>
      </c>
      <c r="Z311" t="inlineStr">
        <is>
          <t>1987-11-04</t>
        </is>
      </c>
      <c r="AA311" t="n">
        <v>227</v>
      </c>
      <c r="AB311" t="n">
        <v>196</v>
      </c>
      <c r="AC311" t="n">
        <v>203</v>
      </c>
      <c r="AD311" t="n">
        <v>2</v>
      </c>
      <c r="AE311" t="n">
        <v>2</v>
      </c>
      <c r="AF311" t="n">
        <v>10</v>
      </c>
      <c r="AG311" t="n">
        <v>10</v>
      </c>
      <c r="AH311" t="n">
        <v>4</v>
      </c>
      <c r="AI311" t="n">
        <v>4</v>
      </c>
      <c r="AJ311" t="n">
        <v>2</v>
      </c>
      <c r="AK311" t="n">
        <v>2</v>
      </c>
      <c r="AL311" t="n">
        <v>6</v>
      </c>
      <c r="AM311" t="n">
        <v>6</v>
      </c>
      <c r="AN311" t="n">
        <v>0</v>
      </c>
      <c r="AO311" t="n">
        <v>0</v>
      </c>
      <c r="AP311" t="n">
        <v>0</v>
      </c>
      <c r="AQ311" t="n">
        <v>0</v>
      </c>
      <c r="AR311" t="inlineStr">
        <is>
          <t>No</t>
        </is>
      </c>
      <c r="AS311" t="inlineStr">
        <is>
          <t>Yes</t>
        </is>
      </c>
      <c r="AT311">
        <f>HYPERLINK("http://catalog.hathitrust.org/Record/002506665","HathiTrust Record")</f>
        <v/>
      </c>
      <c r="AU311">
        <f>HYPERLINK("https://creighton-primo.hosted.exlibrisgroup.com/primo-explore/search?tab=default_tab&amp;search_scope=EVERYTHING&amp;vid=01CRU&amp;lang=en_US&amp;offset=0&amp;query=any,contains,991001383409702656","Catalog Record")</f>
        <v/>
      </c>
      <c r="AV311">
        <f>HYPERLINK("http://www.worldcat.org/oclc/13843033","WorldCat Record")</f>
        <v/>
      </c>
      <c r="AW311" t="inlineStr">
        <is>
          <t>1151079397:eng</t>
        </is>
      </c>
      <c r="AX311" t="inlineStr">
        <is>
          <t>13843033</t>
        </is>
      </c>
      <c r="AY311" t="inlineStr">
        <is>
          <t>991001383409702656</t>
        </is>
      </c>
      <c r="AZ311" t="inlineStr">
        <is>
          <t>991001383409702656</t>
        </is>
      </c>
      <c r="BA311" t="inlineStr">
        <is>
          <t>2256663350002656</t>
        </is>
      </c>
      <c r="BB311" t="inlineStr">
        <is>
          <t>BOOK</t>
        </is>
      </c>
      <c r="BD311" t="inlineStr">
        <is>
          <t>9780887372599</t>
        </is>
      </c>
      <c r="BE311" t="inlineStr">
        <is>
          <t>30001000463192</t>
        </is>
      </c>
      <c r="BF311" t="inlineStr">
        <is>
          <t>893552423</t>
        </is>
      </c>
    </row>
    <row r="312">
      <c r="A312" t="inlineStr">
        <is>
          <t>No</t>
        </is>
      </c>
      <c r="B312" t="inlineStr">
        <is>
          <t>CUHSL</t>
        </is>
      </c>
      <c r="C312" t="inlineStr">
        <is>
          <t>SHELVES</t>
        </is>
      </c>
      <c r="D312" t="inlineStr">
        <is>
          <t>WY 18 N2737 1986</t>
        </is>
      </c>
      <c r="E312" t="inlineStr">
        <is>
          <t>0                      WY 0018000N  2737        1986</t>
        </is>
      </c>
      <c r="F312" t="inlineStr">
        <is>
          <t>Patterns in nursing : strategic planning for nursing education.</t>
        </is>
      </c>
      <c r="H312" t="inlineStr">
        <is>
          <t>No</t>
        </is>
      </c>
      <c r="I312" t="inlineStr">
        <is>
          <t>1</t>
        </is>
      </c>
      <c r="J312" t="inlineStr">
        <is>
          <t>No</t>
        </is>
      </c>
      <c r="K312" t="inlineStr">
        <is>
          <t>No</t>
        </is>
      </c>
      <c r="L312" t="inlineStr">
        <is>
          <t>0</t>
        </is>
      </c>
      <c r="M312" t="inlineStr">
        <is>
          <t>National Conference on Nursing Education (3rd : 1986 : New Orleans, La.)</t>
        </is>
      </c>
      <c r="N312" t="inlineStr">
        <is>
          <t>New York, NY : National League for Nursing, c1987.</t>
        </is>
      </c>
      <c r="O312" t="inlineStr">
        <is>
          <t>1987</t>
        </is>
      </c>
      <c r="Q312" t="inlineStr">
        <is>
          <t>eng</t>
        </is>
      </c>
      <c r="R312" t="inlineStr">
        <is>
          <t>nyu</t>
        </is>
      </c>
      <c r="S312" t="inlineStr">
        <is>
          <t>NLN pub. no. 15-2179</t>
        </is>
      </c>
      <c r="T312" t="inlineStr">
        <is>
          <t xml:space="preserve">WY </t>
        </is>
      </c>
      <c r="U312" t="n">
        <v>4</v>
      </c>
      <c r="V312" t="n">
        <v>4</v>
      </c>
      <c r="W312" t="inlineStr">
        <is>
          <t>1991-04-01</t>
        </is>
      </c>
      <c r="X312" t="inlineStr">
        <is>
          <t>1991-04-01</t>
        </is>
      </c>
      <c r="Y312" t="inlineStr">
        <is>
          <t>1987-10-27</t>
        </is>
      </c>
      <c r="Z312" t="inlineStr">
        <is>
          <t>1987-10-27</t>
        </is>
      </c>
      <c r="AA312" t="n">
        <v>211</v>
      </c>
      <c r="AB312" t="n">
        <v>185</v>
      </c>
      <c r="AC312" t="n">
        <v>194</v>
      </c>
      <c r="AD312" t="n">
        <v>2</v>
      </c>
      <c r="AE312" t="n">
        <v>2</v>
      </c>
      <c r="AF312" t="n">
        <v>8</v>
      </c>
      <c r="AG312" t="n">
        <v>8</v>
      </c>
      <c r="AH312" t="n">
        <v>3</v>
      </c>
      <c r="AI312" t="n">
        <v>3</v>
      </c>
      <c r="AJ312" t="n">
        <v>0</v>
      </c>
      <c r="AK312" t="n">
        <v>0</v>
      </c>
      <c r="AL312" t="n">
        <v>6</v>
      </c>
      <c r="AM312" t="n">
        <v>6</v>
      </c>
      <c r="AN312" t="n">
        <v>0</v>
      </c>
      <c r="AO312" t="n">
        <v>0</v>
      </c>
      <c r="AP312" t="n">
        <v>0</v>
      </c>
      <c r="AQ312" t="n">
        <v>0</v>
      </c>
      <c r="AR312" t="inlineStr">
        <is>
          <t>No</t>
        </is>
      </c>
      <c r="AS312" t="inlineStr">
        <is>
          <t>Yes</t>
        </is>
      </c>
      <c r="AT312">
        <f>HYPERLINK("http://catalog.hathitrust.org/Record/004404655","HathiTrust Record")</f>
        <v/>
      </c>
      <c r="AU312">
        <f>HYPERLINK("https://creighton-primo.hosted.exlibrisgroup.com/primo-explore/search?tab=default_tab&amp;search_scope=EVERYTHING&amp;vid=01CRU&amp;lang=en_US&amp;offset=0&amp;query=any,contains,991001201989702656","Catalog Record")</f>
        <v/>
      </c>
      <c r="AV312">
        <f>HYPERLINK("http://www.worldcat.org/oclc/15799359","WorldCat Record")</f>
        <v/>
      </c>
      <c r="AW312" t="inlineStr">
        <is>
          <t>11764707:eng</t>
        </is>
      </c>
      <c r="AX312" t="inlineStr">
        <is>
          <t>15799359</t>
        </is>
      </c>
      <c r="AY312" t="inlineStr">
        <is>
          <t>991001201989702656</t>
        </is>
      </c>
      <c r="AZ312" t="inlineStr">
        <is>
          <t>991001201989702656</t>
        </is>
      </c>
      <c r="BA312" t="inlineStr">
        <is>
          <t>2264590230002656</t>
        </is>
      </c>
      <c r="BB312" t="inlineStr">
        <is>
          <t>BOOK</t>
        </is>
      </c>
      <c r="BD312" t="inlineStr">
        <is>
          <t>9780887373602</t>
        </is>
      </c>
      <c r="BE312" t="inlineStr">
        <is>
          <t>30001000317174</t>
        </is>
      </c>
      <c r="BF312" t="inlineStr">
        <is>
          <t>893643305</t>
        </is>
      </c>
    </row>
    <row r="313">
      <c r="A313" t="inlineStr">
        <is>
          <t>No</t>
        </is>
      </c>
      <c r="B313" t="inlineStr">
        <is>
          <t>CUHSL</t>
        </is>
      </c>
      <c r="C313" t="inlineStr">
        <is>
          <t>SHELVES</t>
        </is>
      </c>
      <c r="D313" t="inlineStr">
        <is>
          <t>WY 18 N273p 1969</t>
        </is>
      </c>
      <c r="E313" t="inlineStr">
        <is>
          <t>0                      WY 0018000N  273p        1969</t>
        </is>
      </c>
      <c r="F313" t="inlineStr">
        <is>
          <t>Proceedings book.</t>
        </is>
      </c>
      <c r="H313" t="inlineStr">
        <is>
          <t>No</t>
        </is>
      </c>
      <c r="I313" t="inlineStr">
        <is>
          <t>1</t>
        </is>
      </c>
      <c r="J313" t="inlineStr">
        <is>
          <t>No</t>
        </is>
      </c>
      <c r="K313" t="inlineStr">
        <is>
          <t>No</t>
        </is>
      </c>
      <c r="L313" t="inlineStr">
        <is>
          <t>0</t>
        </is>
      </c>
      <c r="M313" t="inlineStr">
        <is>
          <t>National Conference on Continuing Education for Nurses (1st : 1969 : Williamsburg, Va.)</t>
        </is>
      </c>
      <c r="N313" t="inlineStr">
        <is>
          <t>[Williamsburg, Va. : s.n., 1969?]</t>
        </is>
      </c>
      <c r="O313" t="inlineStr">
        <is>
          <t>1969</t>
        </is>
      </c>
      <c r="Q313" t="inlineStr">
        <is>
          <t>eng</t>
        </is>
      </c>
      <c r="R313" t="inlineStr">
        <is>
          <t xml:space="preserve">xx </t>
        </is>
      </c>
      <c r="T313" t="inlineStr">
        <is>
          <t xml:space="preserve">WY </t>
        </is>
      </c>
      <c r="U313" t="n">
        <v>3</v>
      </c>
      <c r="V313" t="n">
        <v>3</v>
      </c>
      <c r="W313" t="inlineStr">
        <is>
          <t>1994-10-12</t>
        </is>
      </c>
      <c r="X313" t="inlineStr">
        <is>
          <t>1994-10-12</t>
        </is>
      </c>
      <c r="Y313" t="inlineStr">
        <is>
          <t>1987-12-28</t>
        </is>
      </c>
      <c r="Z313" t="inlineStr">
        <is>
          <t>1987-12-28</t>
        </is>
      </c>
      <c r="AA313" t="n">
        <v>27</v>
      </c>
      <c r="AB313" t="n">
        <v>24</v>
      </c>
      <c r="AC313" t="n">
        <v>24</v>
      </c>
      <c r="AD313" t="n">
        <v>1</v>
      </c>
      <c r="AE313" t="n">
        <v>1</v>
      </c>
      <c r="AF313" t="n">
        <v>2</v>
      </c>
      <c r="AG313" t="n">
        <v>2</v>
      </c>
      <c r="AH313" t="n">
        <v>0</v>
      </c>
      <c r="AI313" t="n">
        <v>0</v>
      </c>
      <c r="AJ313" t="n">
        <v>0</v>
      </c>
      <c r="AK313" t="n">
        <v>0</v>
      </c>
      <c r="AL313" t="n">
        <v>2</v>
      </c>
      <c r="AM313" t="n">
        <v>2</v>
      </c>
      <c r="AN313" t="n">
        <v>0</v>
      </c>
      <c r="AO313" t="n">
        <v>0</v>
      </c>
      <c r="AP313" t="n">
        <v>0</v>
      </c>
      <c r="AQ313" t="n">
        <v>0</v>
      </c>
      <c r="AR313" t="inlineStr">
        <is>
          <t>No</t>
        </is>
      </c>
      <c r="AS313" t="inlineStr">
        <is>
          <t>No</t>
        </is>
      </c>
      <c r="AU313">
        <f>HYPERLINK("https://creighton-primo.hosted.exlibrisgroup.com/primo-explore/search?tab=default_tab&amp;search_scope=EVERYTHING&amp;vid=01CRU&amp;lang=en_US&amp;offset=0&amp;query=any,contains,991001043549702656","Catalog Record")</f>
        <v/>
      </c>
      <c r="AV313">
        <f>HYPERLINK("http://www.worldcat.org/oclc/3144880","WorldCat Record")</f>
        <v/>
      </c>
      <c r="AW313" t="inlineStr">
        <is>
          <t>8944030:eng</t>
        </is>
      </c>
      <c r="AX313" t="inlineStr">
        <is>
          <t>3144880</t>
        </is>
      </c>
      <c r="AY313" t="inlineStr">
        <is>
          <t>991001043549702656</t>
        </is>
      </c>
      <c r="AZ313" t="inlineStr">
        <is>
          <t>991001043549702656</t>
        </is>
      </c>
      <c r="BA313" t="inlineStr">
        <is>
          <t>2256368920002656</t>
        </is>
      </c>
      <c r="BB313" t="inlineStr">
        <is>
          <t>BOOK</t>
        </is>
      </c>
      <c r="BE313" t="inlineStr">
        <is>
          <t>30001000243198</t>
        </is>
      </c>
      <c r="BF313" t="inlineStr">
        <is>
          <t>893736171</t>
        </is>
      </c>
    </row>
    <row r="314">
      <c r="A314" t="inlineStr">
        <is>
          <t>No</t>
        </is>
      </c>
      <c r="B314" t="inlineStr">
        <is>
          <t>CUHSL</t>
        </is>
      </c>
      <c r="C314" t="inlineStr">
        <is>
          <t>SHELVES</t>
        </is>
      </c>
      <c r="D314" t="inlineStr">
        <is>
          <t>WY 18 N27523 1976</t>
        </is>
      </c>
      <c r="E314" t="inlineStr">
        <is>
          <t>0                      WY 0018000N  27523       1976</t>
        </is>
      </c>
      <c r="F314" t="inlineStr">
        <is>
          <t>Current issues affecting nursing as a part of higher education : papers presented at the fifteenth conference of the Council of Baccalaureate and Higher Degree Programs, Houston, Texas, March 1976.</t>
        </is>
      </c>
      <c r="H314" t="inlineStr">
        <is>
          <t>No</t>
        </is>
      </c>
      <c r="I314" t="inlineStr">
        <is>
          <t>1</t>
        </is>
      </c>
      <c r="J314" t="inlineStr">
        <is>
          <t>No</t>
        </is>
      </c>
      <c r="K314" t="inlineStr">
        <is>
          <t>No</t>
        </is>
      </c>
      <c r="L314" t="inlineStr">
        <is>
          <t>0</t>
        </is>
      </c>
      <c r="M314" t="inlineStr">
        <is>
          <t>National League for Nursing. Council of Baccalaureate and Higher Degree Programs.</t>
        </is>
      </c>
      <c r="N314" t="inlineStr">
        <is>
          <t>New York : National League for Nursing, c1976.</t>
        </is>
      </c>
      <c r="O314" t="inlineStr">
        <is>
          <t>1976</t>
        </is>
      </c>
      <c r="Q314" t="inlineStr">
        <is>
          <t>eng</t>
        </is>
      </c>
      <c r="R314" t="inlineStr">
        <is>
          <t>nyu</t>
        </is>
      </c>
      <c r="S314" t="inlineStr">
        <is>
          <t>NLN pub. no. 15-1639</t>
        </is>
      </c>
      <c r="T314" t="inlineStr">
        <is>
          <t xml:space="preserve">WY </t>
        </is>
      </c>
      <c r="U314" t="n">
        <v>2</v>
      </c>
      <c r="V314" t="n">
        <v>2</v>
      </c>
      <c r="W314" t="inlineStr">
        <is>
          <t>1990-04-06</t>
        </is>
      </c>
      <c r="X314" t="inlineStr">
        <is>
          <t>1990-04-06</t>
        </is>
      </c>
      <c r="Y314" t="inlineStr">
        <is>
          <t>1987-10-26</t>
        </is>
      </c>
      <c r="Z314" t="inlineStr">
        <is>
          <t>1987-10-26</t>
        </is>
      </c>
      <c r="AA314" t="n">
        <v>71</v>
      </c>
      <c r="AB314" t="n">
        <v>69</v>
      </c>
      <c r="AC314" t="n">
        <v>76</v>
      </c>
      <c r="AD314" t="n">
        <v>3</v>
      </c>
      <c r="AE314" t="n">
        <v>3</v>
      </c>
      <c r="AF314" t="n">
        <v>4</v>
      </c>
      <c r="AG314" t="n">
        <v>4</v>
      </c>
      <c r="AH314" t="n">
        <v>1</v>
      </c>
      <c r="AI314" t="n">
        <v>1</v>
      </c>
      <c r="AJ314" t="n">
        <v>0</v>
      </c>
      <c r="AK314" t="n">
        <v>0</v>
      </c>
      <c r="AL314" t="n">
        <v>2</v>
      </c>
      <c r="AM314" t="n">
        <v>2</v>
      </c>
      <c r="AN314" t="n">
        <v>1</v>
      </c>
      <c r="AO314" t="n">
        <v>1</v>
      </c>
      <c r="AP314" t="n">
        <v>0</v>
      </c>
      <c r="AQ314" t="n">
        <v>0</v>
      </c>
      <c r="AR314" t="inlineStr">
        <is>
          <t>No</t>
        </is>
      </c>
      <c r="AS314" t="inlineStr">
        <is>
          <t>Yes</t>
        </is>
      </c>
      <c r="AT314">
        <f>HYPERLINK("http://catalog.hathitrust.org/Record/000129507","HathiTrust Record")</f>
        <v/>
      </c>
      <c r="AU314">
        <f>HYPERLINK("https://creighton-primo.hosted.exlibrisgroup.com/primo-explore/search?tab=default_tab&amp;search_scope=EVERYTHING&amp;vid=01CRU&amp;lang=en_US&amp;offset=0&amp;query=any,contains,991001370419702656","Catalog Record")</f>
        <v/>
      </c>
      <c r="AV314">
        <f>HYPERLINK("http://www.worldcat.org/oclc/2642728","WorldCat Record")</f>
        <v/>
      </c>
      <c r="AW314" t="inlineStr">
        <is>
          <t>57531467:eng</t>
        </is>
      </c>
      <c r="AX314" t="inlineStr">
        <is>
          <t>2642728</t>
        </is>
      </c>
      <c r="AY314" t="inlineStr">
        <is>
          <t>991001370419702656</t>
        </is>
      </c>
      <c r="AZ314" t="inlineStr">
        <is>
          <t>991001370419702656</t>
        </is>
      </c>
      <c r="BA314" t="inlineStr">
        <is>
          <t>2255815080002656</t>
        </is>
      </c>
      <c r="BB314" t="inlineStr">
        <is>
          <t>BOOK</t>
        </is>
      </c>
      <c r="BE314" t="inlineStr">
        <is>
          <t>30001000461683</t>
        </is>
      </c>
      <c r="BF314" t="inlineStr">
        <is>
          <t>893268410</t>
        </is>
      </c>
    </row>
    <row r="315">
      <c r="A315" t="inlineStr">
        <is>
          <t>No</t>
        </is>
      </c>
      <c r="B315" t="inlineStr">
        <is>
          <t>CUHSL</t>
        </is>
      </c>
      <c r="C315" t="inlineStr">
        <is>
          <t>SHELVES</t>
        </is>
      </c>
      <c r="D315" t="inlineStr">
        <is>
          <t>WY 18 N27523q 1975</t>
        </is>
      </c>
      <c r="E315" t="inlineStr">
        <is>
          <t>0                      WY 0018000N  27523q      1975</t>
        </is>
      </c>
      <c r="F315" t="inlineStr">
        <is>
          <t>Quality assurance : models for nursing education : papers presented at the fourteenth conference of the Council of Baccalaureate and Higher Degree Programs, Washington, D.C., November 1975.</t>
        </is>
      </c>
      <c r="H315" t="inlineStr">
        <is>
          <t>No</t>
        </is>
      </c>
      <c r="I315" t="inlineStr">
        <is>
          <t>1</t>
        </is>
      </c>
      <c r="J315" t="inlineStr">
        <is>
          <t>No</t>
        </is>
      </c>
      <c r="K315" t="inlineStr">
        <is>
          <t>No</t>
        </is>
      </c>
      <c r="L315" t="inlineStr">
        <is>
          <t>0</t>
        </is>
      </c>
      <c r="M315" t="inlineStr">
        <is>
          <t>National League for Nursing. Council of Baccalaureate and Higher Degree Programs.</t>
        </is>
      </c>
      <c r="N315" t="inlineStr">
        <is>
          <t>New York : Dept. of Baccalaureate and Higher Degree Programs, National League for Nursing, c1976.</t>
        </is>
      </c>
      <c r="O315" t="inlineStr">
        <is>
          <t>1976</t>
        </is>
      </c>
      <c r="Q315" t="inlineStr">
        <is>
          <t>eng</t>
        </is>
      </c>
      <c r="R315" t="inlineStr">
        <is>
          <t xml:space="preserve">xx </t>
        </is>
      </c>
      <c r="S315" t="inlineStr">
        <is>
          <t>NLN pub. no. 15-1611</t>
        </is>
      </c>
      <c r="T315" t="inlineStr">
        <is>
          <t xml:space="preserve">WY </t>
        </is>
      </c>
      <c r="U315" t="n">
        <v>2</v>
      </c>
      <c r="V315" t="n">
        <v>2</v>
      </c>
      <c r="W315" t="inlineStr">
        <is>
          <t>1990-04-06</t>
        </is>
      </c>
      <c r="X315" t="inlineStr">
        <is>
          <t>1990-04-06</t>
        </is>
      </c>
      <c r="Y315" t="inlineStr">
        <is>
          <t>1987-10-21</t>
        </is>
      </c>
      <c r="Z315" t="inlineStr">
        <is>
          <t>1987-10-21</t>
        </is>
      </c>
      <c r="AA315" t="n">
        <v>84</v>
      </c>
      <c r="AB315" t="n">
        <v>72</v>
      </c>
      <c r="AC315" t="n">
        <v>74</v>
      </c>
      <c r="AD315" t="n">
        <v>1</v>
      </c>
      <c r="AE315" t="n">
        <v>1</v>
      </c>
      <c r="AF315" t="n">
        <v>4</v>
      </c>
      <c r="AG315" t="n">
        <v>4</v>
      </c>
      <c r="AH315" t="n">
        <v>1</v>
      </c>
      <c r="AI315" t="n">
        <v>1</v>
      </c>
      <c r="AJ315" t="n">
        <v>0</v>
      </c>
      <c r="AK315" t="n">
        <v>0</v>
      </c>
      <c r="AL315" t="n">
        <v>3</v>
      </c>
      <c r="AM315" t="n">
        <v>3</v>
      </c>
      <c r="AN315" t="n">
        <v>0</v>
      </c>
      <c r="AO315" t="n">
        <v>0</v>
      </c>
      <c r="AP315" t="n">
        <v>0</v>
      </c>
      <c r="AQ315" t="n">
        <v>0</v>
      </c>
      <c r="AR315" t="inlineStr">
        <is>
          <t>No</t>
        </is>
      </c>
      <c r="AS315" t="inlineStr">
        <is>
          <t>Yes</t>
        </is>
      </c>
      <c r="AT315">
        <f>HYPERLINK("http://catalog.hathitrust.org/Record/000212612","HathiTrust Record")</f>
        <v/>
      </c>
      <c r="AU315">
        <f>HYPERLINK("https://creighton-primo.hosted.exlibrisgroup.com/primo-explore/search?tab=default_tab&amp;search_scope=EVERYTHING&amp;vid=01CRU&amp;lang=en_US&amp;offset=0&amp;query=any,contains,991001369739702656","Catalog Record")</f>
        <v/>
      </c>
      <c r="AV315">
        <f>HYPERLINK("http://www.worldcat.org/oclc/2930639","WorldCat Record")</f>
        <v/>
      </c>
      <c r="AW315" t="inlineStr">
        <is>
          <t>6802973:eng</t>
        </is>
      </c>
      <c r="AX315" t="inlineStr">
        <is>
          <t>2930639</t>
        </is>
      </c>
      <c r="AY315" t="inlineStr">
        <is>
          <t>991001369739702656</t>
        </is>
      </c>
      <c r="AZ315" t="inlineStr">
        <is>
          <t>991001369739702656</t>
        </is>
      </c>
      <c r="BA315" t="inlineStr">
        <is>
          <t>2265562360002656</t>
        </is>
      </c>
      <c r="BB315" t="inlineStr">
        <is>
          <t>BOOK</t>
        </is>
      </c>
      <c r="BE315" t="inlineStr">
        <is>
          <t>30001000461634</t>
        </is>
      </c>
      <c r="BF315" t="inlineStr">
        <is>
          <t>893834652</t>
        </is>
      </c>
    </row>
    <row r="316">
      <c r="A316" t="inlineStr">
        <is>
          <t>No</t>
        </is>
      </c>
      <c r="B316" t="inlineStr">
        <is>
          <t>CUHSL</t>
        </is>
      </c>
      <c r="C316" t="inlineStr">
        <is>
          <t>SHELVES</t>
        </is>
      </c>
      <c r="D316" t="inlineStr">
        <is>
          <t>WY 18 N2753ca 1976 pt.2</t>
        </is>
      </c>
      <c r="E316" t="inlineStr">
        <is>
          <t>0                      WY 0018000N  2753ca      1976                                        pt.2</t>
        </is>
      </c>
      <c r="F316" t="inlineStr">
        <is>
          <t>Curriculum in graduate education in nursing.</t>
        </is>
      </c>
      <c r="G316" t="inlineStr">
        <is>
          <t>pt.2*</t>
        </is>
      </c>
      <c r="H316" t="inlineStr">
        <is>
          <t>No</t>
        </is>
      </c>
      <c r="I316" t="inlineStr">
        <is>
          <t>1</t>
        </is>
      </c>
      <c r="J316" t="inlineStr">
        <is>
          <t>No</t>
        </is>
      </c>
      <c r="K316" t="inlineStr">
        <is>
          <t>No</t>
        </is>
      </c>
      <c r="L316" t="inlineStr">
        <is>
          <t>0</t>
        </is>
      </c>
      <c r="M316" t="inlineStr">
        <is>
          <t>National League for Nursing. Department of Baccalaureate and Higher Degree Programs.</t>
        </is>
      </c>
      <c r="N316" t="inlineStr">
        <is>
          <t>New York : The League, c1976.</t>
        </is>
      </c>
      <c r="O316" t="inlineStr">
        <is>
          <t>1976</t>
        </is>
      </c>
      <c r="Q316" t="inlineStr">
        <is>
          <t>eng</t>
        </is>
      </c>
      <c r="R316" t="inlineStr">
        <is>
          <t>nyu</t>
        </is>
      </c>
      <c r="S316" t="inlineStr">
        <is>
          <t>Pub. no. 15-1632 (pt.2)</t>
        </is>
      </c>
      <c r="T316" t="inlineStr">
        <is>
          <t xml:space="preserve">WY </t>
        </is>
      </c>
      <c r="U316" t="n">
        <v>1</v>
      </c>
      <c r="V316" t="n">
        <v>1</v>
      </c>
      <c r="W316" t="inlineStr">
        <is>
          <t>2003-02-11</t>
        </is>
      </c>
      <c r="X316" t="inlineStr">
        <is>
          <t>2003-02-11</t>
        </is>
      </c>
      <c r="Y316" t="inlineStr">
        <is>
          <t>1992-08-31</t>
        </is>
      </c>
      <c r="Z316" t="inlineStr">
        <is>
          <t>1992-08-31</t>
        </is>
      </c>
      <c r="AA316" t="n">
        <v>67</v>
      </c>
      <c r="AB316" t="n">
        <v>56</v>
      </c>
      <c r="AC316" t="n">
        <v>58</v>
      </c>
      <c r="AD316" t="n">
        <v>1</v>
      </c>
      <c r="AE316" t="n">
        <v>1</v>
      </c>
      <c r="AF316" t="n">
        <v>1</v>
      </c>
      <c r="AG316" t="n">
        <v>1</v>
      </c>
      <c r="AH316" t="n">
        <v>0</v>
      </c>
      <c r="AI316" t="n">
        <v>0</v>
      </c>
      <c r="AJ316" t="n">
        <v>1</v>
      </c>
      <c r="AK316" t="n">
        <v>1</v>
      </c>
      <c r="AL316" t="n">
        <v>0</v>
      </c>
      <c r="AM316" t="n">
        <v>0</v>
      </c>
      <c r="AN316" t="n">
        <v>0</v>
      </c>
      <c r="AO316" t="n">
        <v>0</v>
      </c>
      <c r="AP316" t="n">
        <v>0</v>
      </c>
      <c r="AQ316" t="n">
        <v>0</v>
      </c>
      <c r="AR316" t="inlineStr">
        <is>
          <t>No</t>
        </is>
      </c>
      <c r="AS316" t="inlineStr">
        <is>
          <t>Yes</t>
        </is>
      </c>
      <c r="AT316">
        <f>HYPERLINK("http://catalog.hathitrust.org/Record/000188384","HathiTrust Record")</f>
        <v/>
      </c>
      <c r="AU316">
        <f>HYPERLINK("https://creighton-primo.hosted.exlibrisgroup.com/primo-explore/search?tab=default_tab&amp;search_scope=EVERYTHING&amp;vid=01CRU&amp;lang=en_US&amp;offset=0&amp;query=any,contains,991001342729702656","Catalog Record")</f>
        <v/>
      </c>
      <c r="AV316">
        <f>HYPERLINK("http://www.worldcat.org/oclc/2615821","WorldCat Record")</f>
        <v/>
      </c>
      <c r="AW316" t="inlineStr">
        <is>
          <t>3891343947:eng</t>
        </is>
      </c>
      <c r="AX316" t="inlineStr">
        <is>
          <t>2615821</t>
        </is>
      </c>
      <c r="AY316" t="inlineStr">
        <is>
          <t>991001342729702656</t>
        </is>
      </c>
      <c r="AZ316" t="inlineStr">
        <is>
          <t>991001342729702656</t>
        </is>
      </c>
      <c r="BA316" t="inlineStr">
        <is>
          <t>2263358810002656</t>
        </is>
      </c>
      <c r="BB316" t="inlineStr">
        <is>
          <t>BOOK</t>
        </is>
      </c>
      <c r="BE316" t="inlineStr">
        <is>
          <t>30001002456376</t>
        </is>
      </c>
      <c r="BF316" t="inlineStr">
        <is>
          <t>893736508</t>
        </is>
      </c>
    </row>
    <row r="317">
      <c r="A317" t="inlineStr">
        <is>
          <t>No</t>
        </is>
      </c>
      <c r="B317" t="inlineStr">
        <is>
          <t>CUHSL</t>
        </is>
      </c>
      <c r="C317" t="inlineStr">
        <is>
          <t>SHELVES</t>
        </is>
      </c>
      <c r="D317" t="inlineStr">
        <is>
          <t>WY 18 N275p 1976</t>
        </is>
      </c>
      <c r="E317" t="inlineStr">
        <is>
          <t>0                      WY 0018000N  275p        1976</t>
        </is>
      </c>
      <c r="F317" t="inlineStr">
        <is>
          <t>Policies and procedures of accreditation for programs in nursing education : associate degree programs, baccalaureate and higher degree programs, diploma programs, practical nursing programs.</t>
        </is>
      </c>
      <c r="H317" t="inlineStr">
        <is>
          <t>No</t>
        </is>
      </c>
      <c r="I317" t="inlineStr">
        <is>
          <t>1</t>
        </is>
      </c>
      <c r="J317" t="inlineStr">
        <is>
          <t>No</t>
        </is>
      </c>
      <c r="K317" t="inlineStr">
        <is>
          <t>Yes</t>
        </is>
      </c>
      <c r="L317" t="inlineStr">
        <is>
          <t>0</t>
        </is>
      </c>
      <c r="N317" t="inlineStr">
        <is>
          <t>New York : National League for Nursing, c1976.</t>
        </is>
      </c>
      <c r="O317" t="inlineStr">
        <is>
          <t>1976</t>
        </is>
      </c>
      <c r="P317" t="inlineStr">
        <is>
          <t>2d.</t>
        </is>
      </c>
      <c r="Q317" t="inlineStr">
        <is>
          <t>eng</t>
        </is>
      </c>
      <c r="R317" t="inlineStr">
        <is>
          <t>xxu</t>
        </is>
      </c>
      <c r="S317" t="inlineStr">
        <is>
          <t>NLN pub. no. 14-1473</t>
        </is>
      </c>
      <c r="T317" t="inlineStr">
        <is>
          <t xml:space="preserve">WY </t>
        </is>
      </c>
      <c r="U317" t="n">
        <v>1</v>
      </c>
      <c r="V317" t="n">
        <v>1</v>
      </c>
      <c r="W317" t="inlineStr">
        <is>
          <t>1990-04-24</t>
        </is>
      </c>
      <c r="X317" t="inlineStr">
        <is>
          <t>1990-04-24</t>
        </is>
      </c>
      <c r="Y317" t="inlineStr">
        <is>
          <t>1987-10-14</t>
        </is>
      </c>
      <c r="Z317" t="inlineStr">
        <is>
          <t>1987-10-14</t>
        </is>
      </c>
      <c r="AA317" t="n">
        <v>13</v>
      </c>
      <c r="AB317" t="n">
        <v>13</v>
      </c>
      <c r="AC317" t="n">
        <v>223</v>
      </c>
      <c r="AD317" t="n">
        <v>1</v>
      </c>
      <c r="AE317" t="n">
        <v>3</v>
      </c>
      <c r="AF317" t="n">
        <v>1</v>
      </c>
      <c r="AG317" t="n">
        <v>11</v>
      </c>
      <c r="AH317" t="n">
        <v>0</v>
      </c>
      <c r="AI317" t="n">
        <v>2</v>
      </c>
      <c r="AJ317" t="n">
        <v>0</v>
      </c>
      <c r="AK317" t="n">
        <v>2</v>
      </c>
      <c r="AL317" t="n">
        <v>1</v>
      </c>
      <c r="AM317" t="n">
        <v>7</v>
      </c>
      <c r="AN317" t="n">
        <v>0</v>
      </c>
      <c r="AO317" t="n">
        <v>1</v>
      </c>
      <c r="AP317" t="n">
        <v>0</v>
      </c>
      <c r="AQ317" t="n">
        <v>0</v>
      </c>
      <c r="AR317" t="inlineStr">
        <is>
          <t>No</t>
        </is>
      </c>
      <c r="AS317" t="inlineStr">
        <is>
          <t>No</t>
        </is>
      </c>
      <c r="AU317">
        <f>HYPERLINK("https://creighton-primo.hosted.exlibrisgroup.com/primo-explore/search?tab=default_tab&amp;search_scope=EVERYTHING&amp;vid=01CRU&amp;lang=en_US&amp;offset=0&amp;query=any,contains,991001363009702656","Catalog Record")</f>
        <v/>
      </c>
      <c r="AV317">
        <f>HYPERLINK("http://www.worldcat.org/oclc/14382593","WorldCat Record")</f>
        <v/>
      </c>
      <c r="AW317" t="inlineStr">
        <is>
          <t>1475777:eng</t>
        </is>
      </c>
      <c r="AX317" t="inlineStr">
        <is>
          <t>14382593</t>
        </is>
      </c>
      <c r="AY317" t="inlineStr">
        <is>
          <t>991001363009702656</t>
        </is>
      </c>
      <c r="AZ317" t="inlineStr">
        <is>
          <t>991001363009702656</t>
        </is>
      </c>
      <c r="BA317" t="inlineStr">
        <is>
          <t>2268471270002656</t>
        </is>
      </c>
      <c r="BB317" t="inlineStr">
        <is>
          <t>BOOK</t>
        </is>
      </c>
      <c r="BE317" t="inlineStr">
        <is>
          <t>30001000460990</t>
        </is>
      </c>
      <c r="BF317" t="inlineStr">
        <is>
          <t>893816334</t>
        </is>
      </c>
    </row>
    <row r="318">
      <c r="A318" t="inlineStr">
        <is>
          <t>No</t>
        </is>
      </c>
      <c r="B318" t="inlineStr">
        <is>
          <t>CUHSL</t>
        </is>
      </c>
      <c r="C318" t="inlineStr">
        <is>
          <t>SHELVES</t>
        </is>
      </c>
      <c r="D318" t="inlineStr">
        <is>
          <t>WY 18.N277 p 1984</t>
        </is>
      </c>
      <c r="E318" t="inlineStr">
        <is>
          <t>0                      WY 0018000N  277                                                     p 1984</t>
        </is>
      </c>
      <c r="F318" t="inlineStr">
        <is>
          <t>Patterns in education : the unfolding of nursing.</t>
        </is>
      </c>
      <c r="H318" t="inlineStr">
        <is>
          <t>No</t>
        </is>
      </c>
      <c r="I318" t="inlineStr">
        <is>
          <t>1</t>
        </is>
      </c>
      <c r="J318" t="inlineStr">
        <is>
          <t>No</t>
        </is>
      </c>
      <c r="K318" t="inlineStr">
        <is>
          <t>No</t>
        </is>
      </c>
      <c r="L318" t="inlineStr">
        <is>
          <t>0</t>
        </is>
      </c>
      <c r="M318" t="inlineStr">
        <is>
          <t>National Conference on Nursing Education (1st : 1984 : Philadelphia, Pa.)</t>
        </is>
      </c>
      <c r="N318" t="inlineStr">
        <is>
          <t>New York, NY : National League for Nursing, c1985.</t>
        </is>
      </c>
      <c r="O318" t="inlineStr">
        <is>
          <t>1985</t>
        </is>
      </c>
      <c r="Q318" t="inlineStr">
        <is>
          <t>eng</t>
        </is>
      </c>
      <c r="R318" t="inlineStr">
        <is>
          <t>nyu</t>
        </is>
      </c>
      <c r="T318" t="inlineStr">
        <is>
          <t xml:space="preserve">WY </t>
        </is>
      </c>
      <c r="U318" t="n">
        <v>5</v>
      </c>
      <c r="V318" t="n">
        <v>5</v>
      </c>
      <c r="W318" t="inlineStr">
        <is>
          <t>1990-06-12</t>
        </is>
      </c>
      <c r="X318" t="inlineStr">
        <is>
          <t>1990-06-12</t>
        </is>
      </c>
      <c r="Y318" t="inlineStr">
        <is>
          <t>1987-12-28</t>
        </is>
      </c>
      <c r="Z318" t="inlineStr">
        <is>
          <t>1987-12-28</t>
        </is>
      </c>
      <c r="AA318" t="n">
        <v>256</v>
      </c>
      <c r="AB318" t="n">
        <v>221</v>
      </c>
      <c r="AC318" t="n">
        <v>228</v>
      </c>
      <c r="AD318" t="n">
        <v>3</v>
      </c>
      <c r="AE318" t="n">
        <v>3</v>
      </c>
      <c r="AF318" t="n">
        <v>15</v>
      </c>
      <c r="AG318" t="n">
        <v>15</v>
      </c>
      <c r="AH318" t="n">
        <v>5</v>
      </c>
      <c r="AI318" t="n">
        <v>5</v>
      </c>
      <c r="AJ318" t="n">
        <v>4</v>
      </c>
      <c r="AK318" t="n">
        <v>4</v>
      </c>
      <c r="AL318" t="n">
        <v>9</v>
      </c>
      <c r="AM318" t="n">
        <v>9</v>
      </c>
      <c r="AN318" t="n">
        <v>1</v>
      </c>
      <c r="AO318" t="n">
        <v>1</v>
      </c>
      <c r="AP318" t="n">
        <v>0</v>
      </c>
      <c r="AQ318" t="n">
        <v>0</v>
      </c>
      <c r="AR318" t="inlineStr">
        <is>
          <t>No</t>
        </is>
      </c>
      <c r="AS318" t="inlineStr">
        <is>
          <t>Yes</t>
        </is>
      </c>
      <c r="AT318">
        <f>HYPERLINK("http://catalog.hathitrust.org/Record/000585806","HathiTrust Record")</f>
        <v/>
      </c>
      <c r="AU318">
        <f>HYPERLINK("https://creighton-primo.hosted.exlibrisgroup.com/primo-explore/search?tab=default_tab&amp;search_scope=EVERYTHING&amp;vid=01CRU&amp;lang=en_US&amp;offset=0&amp;query=any,contains,991001043639702656","Catalog Record")</f>
        <v/>
      </c>
      <c r="AV318">
        <f>HYPERLINK("http://www.worldcat.org/oclc/12667134","WorldCat Record")</f>
        <v/>
      </c>
      <c r="AW318" t="inlineStr">
        <is>
          <t>1151043080:eng</t>
        </is>
      </c>
      <c r="AX318" t="inlineStr">
        <is>
          <t>12667134</t>
        </is>
      </c>
      <c r="AY318" t="inlineStr">
        <is>
          <t>991001043639702656</t>
        </is>
      </c>
      <c r="AZ318" t="inlineStr">
        <is>
          <t>991001043639702656</t>
        </is>
      </c>
      <c r="BA318" t="inlineStr">
        <is>
          <t>2262721480002656</t>
        </is>
      </c>
      <c r="BB318" t="inlineStr">
        <is>
          <t>BOOK</t>
        </is>
      </c>
      <c r="BD318" t="inlineStr">
        <is>
          <t>9780887371400</t>
        </is>
      </c>
      <c r="BE318" t="inlineStr">
        <is>
          <t>30001000243214</t>
        </is>
      </c>
      <c r="BF318" t="inlineStr">
        <is>
          <t>893643165</t>
        </is>
      </c>
    </row>
    <row r="319">
      <c r="A319" t="inlineStr">
        <is>
          <t>No</t>
        </is>
      </c>
      <c r="B319" t="inlineStr">
        <is>
          <t>CUHSL</t>
        </is>
      </c>
      <c r="C319" t="inlineStr">
        <is>
          <t>SHELVES</t>
        </is>
      </c>
      <c r="D319" t="inlineStr">
        <is>
          <t>WY 18 N2772c 1987</t>
        </is>
      </c>
      <c r="E319" t="inlineStr">
        <is>
          <t>0                      WY 0018000N  2772c       1987</t>
        </is>
      </c>
      <c r="F319" t="inlineStr">
        <is>
          <t>Characteristics of baccalaureate education in nursing / Division of Baccalaureate and Higher Degree Programs.</t>
        </is>
      </c>
      <c r="H319" t="inlineStr">
        <is>
          <t>No</t>
        </is>
      </c>
      <c r="I319" t="inlineStr">
        <is>
          <t>1</t>
        </is>
      </c>
      <c r="J319" t="inlineStr">
        <is>
          <t>No</t>
        </is>
      </c>
      <c r="K319" t="inlineStr">
        <is>
          <t>No</t>
        </is>
      </c>
      <c r="L319" t="inlineStr">
        <is>
          <t>0</t>
        </is>
      </c>
      <c r="M319" t="inlineStr">
        <is>
          <t>National League for Nursing. Division of Baccalaureate and Higher Degree Programs.</t>
        </is>
      </c>
      <c r="N319" t="inlineStr">
        <is>
          <t>New York : National League for Nursing, c1987.</t>
        </is>
      </c>
      <c r="O319" t="inlineStr">
        <is>
          <t>1987</t>
        </is>
      </c>
      <c r="Q319" t="inlineStr">
        <is>
          <t>eng</t>
        </is>
      </c>
      <c r="R319" t="inlineStr">
        <is>
          <t>xxu</t>
        </is>
      </c>
      <c r="S319" t="inlineStr">
        <is>
          <t>NLN pub. no. 15-1758</t>
        </is>
      </c>
      <c r="T319" t="inlineStr">
        <is>
          <t xml:space="preserve">WY </t>
        </is>
      </c>
      <c r="U319" t="n">
        <v>3</v>
      </c>
      <c r="V319" t="n">
        <v>3</v>
      </c>
      <c r="W319" t="inlineStr">
        <is>
          <t>1990-06-12</t>
        </is>
      </c>
      <c r="X319" t="inlineStr">
        <is>
          <t>1990-06-12</t>
        </is>
      </c>
      <c r="Y319" t="inlineStr">
        <is>
          <t>1987-10-27</t>
        </is>
      </c>
      <c r="Z319" t="inlineStr">
        <is>
          <t>1987-10-27</t>
        </is>
      </c>
      <c r="AA319" t="n">
        <v>91</v>
      </c>
      <c r="AB319" t="n">
        <v>83</v>
      </c>
      <c r="AC319" t="n">
        <v>118</v>
      </c>
      <c r="AD319" t="n">
        <v>1</v>
      </c>
      <c r="AE319" t="n">
        <v>1</v>
      </c>
      <c r="AF319" t="n">
        <v>3</v>
      </c>
      <c r="AG319" t="n">
        <v>4</v>
      </c>
      <c r="AH319" t="n">
        <v>1</v>
      </c>
      <c r="AI319" t="n">
        <v>1</v>
      </c>
      <c r="AJ319" t="n">
        <v>0</v>
      </c>
      <c r="AK319" t="n">
        <v>0</v>
      </c>
      <c r="AL319" t="n">
        <v>2</v>
      </c>
      <c r="AM319" t="n">
        <v>3</v>
      </c>
      <c r="AN319" t="n">
        <v>0</v>
      </c>
      <c r="AO319" t="n">
        <v>0</v>
      </c>
      <c r="AP319" t="n">
        <v>0</v>
      </c>
      <c r="AQ319" t="n">
        <v>0</v>
      </c>
      <c r="AR319" t="inlineStr">
        <is>
          <t>No</t>
        </is>
      </c>
      <c r="AS319" t="inlineStr">
        <is>
          <t>No</t>
        </is>
      </c>
      <c r="AU319">
        <f>HYPERLINK("https://creighton-primo.hosted.exlibrisgroup.com/primo-explore/search?tab=default_tab&amp;search_scope=EVERYTHING&amp;vid=01CRU&amp;lang=en_US&amp;offset=0&amp;query=any,contains,991000761549702656","Catalog Record")</f>
        <v/>
      </c>
      <c r="AV319">
        <f>HYPERLINK("http://www.worldcat.org/oclc/18629024","WorldCat Record")</f>
        <v/>
      </c>
      <c r="AW319" t="inlineStr">
        <is>
          <t>17792330:eng</t>
        </is>
      </c>
      <c r="AX319" t="inlineStr">
        <is>
          <t>18629024</t>
        </is>
      </c>
      <c r="AY319" t="inlineStr">
        <is>
          <t>991000761549702656</t>
        </is>
      </c>
      <c r="AZ319" t="inlineStr">
        <is>
          <t>991000761549702656</t>
        </is>
      </c>
      <c r="BA319" t="inlineStr">
        <is>
          <t>2265298420002656</t>
        </is>
      </c>
      <c r="BB319" t="inlineStr">
        <is>
          <t>BOOK</t>
        </is>
      </c>
      <c r="BD319" t="inlineStr">
        <is>
          <t>9780887373732</t>
        </is>
      </c>
      <c r="BE319" t="inlineStr">
        <is>
          <t>30001000056301</t>
        </is>
      </c>
      <c r="BF319" t="inlineStr">
        <is>
          <t>893148236</t>
        </is>
      </c>
    </row>
    <row r="320">
      <c r="A320" t="inlineStr">
        <is>
          <t>No</t>
        </is>
      </c>
      <c r="B320" t="inlineStr">
        <is>
          <t>CUHSL</t>
        </is>
      </c>
      <c r="C320" t="inlineStr">
        <is>
          <t>SHELVES</t>
        </is>
      </c>
      <c r="D320" t="inlineStr">
        <is>
          <t>WY 18 N2774r 1989</t>
        </is>
      </c>
      <c r="E320" t="inlineStr">
        <is>
          <t>0                      WY 0018000N  2774r       1989</t>
        </is>
      </c>
      <c r="F320" t="inlineStr">
        <is>
          <t>Role and competencies of graduates of diploma programs in nursing / Council of Diploma Programs.</t>
        </is>
      </c>
      <c r="H320" t="inlineStr">
        <is>
          <t>No</t>
        </is>
      </c>
      <c r="I320" t="inlineStr">
        <is>
          <t>1</t>
        </is>
      </c>
      <c r="J320" t="inlineStr">
        <is>
          <t>No</t>
        </is>
      </c>
      <c r="K320" t="inlineStr">
        <is>
          <t>No</t>
        </is>
      </c>
      <c r="L320" t="inlineStr">
        <is>
          <t>0</t>
        </is>
      </c>
      <c r="M320" t="inlineStr">
        <is>
          <t>National League for Nursing. Council of Diploma Programs.</t>
        </is>
      </c>
      <c r="N320" t="inlineStr">
        <is>
          <t>New York : NLN, c1989.</t>
        </is>
      </c>
      <c r="O320" t="inlineStr">
        <is>
          <t>1989</t>
        </is>
      </c>
      <c r="P320" t="inlineStr">
        <is>
          <t>2nd ed.</t>
        </is>
      </c>
      <c r="Q320" t="inlineStr">
        <is>
          <t>eng</t>
        </is>
      </c>
      <c r="R320" t="inlineStr">
        <is>
          <t>nyu</t>
        </is>
      </c>
      <c r="S320" t="inlineStr">
        <is>
          <t>NLN Pub. no. 16-1735.</t>
        </is>
      </c>
      <c r="T320" t="inlineStr">
        <is>
          <t xml:space="preserve">WY </t>
        </is>
      </c>
      <c r="U320" t="n">
        <v>0</v>
      </c>
      <c r="V320" t="n">
        <v>0</v>
      </c>
      <c r="W320" t="inlineStr">
        <is>
          <t>2003-02-11</t>
        </is>
      </c>
      <c r="X320" t="inlineStr">
        <is>
          <t>2003-02-11</t>
        </is>
      </c>
      <c r="Y320" t="inlineStr">
        <is>
          <t>2000-06-15</t>
        </is>
      </c>
      <c r="Z320" t="inlineStr">
        <is>
          <t>2000-06-15</t>
        </is>
      </c>
      <c r="AA320" t="n">
        <v>88</v>
      </c>
      <c r="AB320" t="n">
        <v>78</v>
      </c>
      <c r="AC320" t="n">
        <v>109</v>
      </c>
      <c r="AD320" t="n">
        <v>1</v>
      </c>
      <c r="AE320" t="n">
        <v>1</v>
      </c>
      <c r="AF320" t="n">
        <v>1</v>
      </c>
      <c r="AG320" t="n">
        <v>4</v>
      </c>
      <c r="AH320" t="n">
        <v>1</v>
      </c>
      <c r="AI320" t="n">
        <v>2</v>
      </c>
      <c r="AJ320" t="n">
        <v>0</v>
      </c>
      <c r="AK320" t="n">
        <v>0</v>
      </c>
      <c r="AL320" t="n">
        <v>1</v>
      </c>
      <c r="AM320" t="n">
        <v>3</v>
      </c>
      <c r="AN320" t="n">
        <v>0</v>
      </c>
      <c r="AO320" t="n">
        <v>0</v>
      </c>
      <c r="AP320" t="n">
        <v>0</v>
      </c>
      <c r="AQ320" t="n">
        <v>0</v>
      </c>
      <c r="AR320" t="inlineStr">
        <is>
          <t>No</t>
        </is>
      </c>
      <c r="AS320" t="inlineStr">
        <is>
          <t>Yes</t>
        </is>
      </c>
      <c r="AT320">
        <f>HYPERLINK("http://catalog.hathitrust.org/Record/002506801","HathiTrust Record")</f>
        <v/>
      </c>
      <c r="AU320">
        <f>HYPERLINK("https://creighton-primo.hosted.exlibrisgroup.com/primo-explore/search?tab=default_tab&amp;search_scope=EVERYTHING&amp;vid=01CRU&amp;lang=en_US&amp;offset=0&amp;query=any,contains,991000221749702656","Catalog Record")</f>
        <v/>
      </c>
      <c r="AV320">
        <f>HYPERLINK("http://www.worldcat.org/oclc/22815210","WorldCat Record")</f>
        <v/>
      </c>
      <c r="AW320" t="inlineStr">
        <is>
          <t>24234516:eng</t>
        </is>
      </c>
      <c r="AX320" t="inlineStr">
        <is>
          <t>22815210</t>
        </is>
      </c>
      <c r="AY320" t="inlineStr">
        <is>
          <t>991000221749702656</t>
        </is>
      </c>
      <c r="AZ320" t="inlineStr">
        <is>
          <t>991000221749702656</t>
        </is>
      </c>
      <c r="BA320" t="inlineStr">
        <is>
          <t>2266366740002656</t>
        </is>
      </c>
      <c r="BB320" t="inlineStr">
        <is>
          <t>BOOK</t>
        </is>
      </c>
      <c r="BD320" t="inlineStr">
        <is>
          <t>9780887374746</t>
        </is>
      </c>
      <c r="BE320" t="inlineStr">
        <is>
          <t>30001001881368</t>
        </is>
      </c>
      <c r="BF320" t="inlineStr">
        <is>
          <t>893732592</t>
        </is>
      </c>
    </row>
    <row r="321">
      <c r="A321" t="inlineStr">
        <is>
          <t>No</t>
        </is>
      </c>
      <c r="B321" t="inlineStr">
        <is>
          <t>CUHSL</t>
        </is>
      </c>
      <c r="C321" t="inlineStr">
        <is>
          <t>SHELVES</t>
        </is>
      </c>
      <c r="D321" t="inlineStr">
        <is>
          <t>WY 18 N277c 1986</t>
        </is>
      </c>
      <c r="E321" t="inlineStr">
        <is>
          <t>0                      WY 0018000N  277c        1986</t>
        </is>
      </c>
      <c r="F321" t="inlineStr">
        <is>
          <t>Criteria for the evaluation of practical nursing programs / Council of Practical Nursing Programs, National League for Nursing.</t>
        </is>
      </c>
      <c r="H321" t="inlineStr">
        <is>
          <t>No</t>
        </is>
      </c>
      <c r="I321" t="inlineStr">
        <is>
          <t>1</t>
        </is>
      </c>
      <c r="J321" t="inlineStr">
        <is>
          <t>No</t>
        </is>
      </c>
      <c r="K321" t="inlineStr">
        <is>
          <t>No</t>
        </is>
      </c>
      <c r="L321" t="inlineStr">
        <is>
          <t>0</t>
        </is>
      </c>
      <c r="M321" t="inlineStr">
        <is>
          <t>National League for Nursing. Council of Practical Nursing Programs.</t>
        </is>
      </c>
      <c r="N321" t="inlineStr">
        <is>
          <t>New York : Council of Practical Nursing Programs, National League for Nursing, c1986.</t>
        </is>
      </c>
      <c r="O321" t="inlineStr">
        <is>
          <t>1986</t>
        </is>
      </c>
      <c r="P321" t="inlineStr">
        <is>
          <t>5th ed.</t>
        </is>
      </c>
      <c r="Q321" t="inlineStr">
        <is>
          <t>eng</t>
        </is>
      </c>
      <c r="R321" t="inlineStr">
        <is>
          <t>nyu</t>
        </is>
      </c>
      <c r="S321" t="inlineStr">
        <is>
          <t>NLN pub. no. 38-1178</t>
        </is>
      </c>
      <c r="T321" t="inlineStr">
        <is>
          <t xml:space="preserve">WY </t>
        </is>
      </c>
      <c r="U321" t="n">
        <v>1</v>
      </c>
      <c r="V321" t="n">
        <v>1</v>
      </c>
      <c r="W321" t="inlineStr">
        <is>
          <t>1990-03-30</t>
        </is>
      </c>
      <c r="X321" t="inlineStr">
        <is>
          <t>1990-03-30</t>
        </is>
      </c>
      <c r="Y321" t="inlineStr">
        <is>
          <t>1987-11-12</t>
        </is>
      </c>
      <c r="Z321" t="inlineStr">
        <is>
          <t>1987-11-12</t>
        </is>
      </c>
      <c r="AA321" t="n">
        <v>67</v>
      </c>
      <c r="AB321" t="n">
        <v>62</v>
      </c>
      <c r="AC321" t="n">
        <v>83</v>
      </c>
      <c r="AD321" t="n">
        <v>2</v>
      </c>
      <c r="AE321" t="n">
        <v>2</v>
      </c>
      <c r="AF321" t="n">
        <v>3</v>
      </c>
      <c r="AG321" t="n">
        <v>4</v>
      </c>
      <c r="AH321" t="n">
        <v>1</v>
      </c>
      <c r="AI321" t="n">
        <v>1</v>
      </c>
      <c r="AJ321" t="n">
        <v>0</v>
      </c>
      <c r="AK321" t="n">
        <v>1</v>
      </c>
      <c r="AL321" t="n">
        <v>3</v>
      </c>
      <c r="AM321" t="n">
        <v>3</v>
      </c>
      <c r="AN321" t="n">
        <v>0</v>
      </c>
      <c r="AO321" t="n">
        <v>0</v>
      </c>
      <c r="AP321" t="n">
        <v>0</v>
      </c>
      <c r="AQ321" t="n">
        <v>0</v>
      </c>
      <c r="AR321" t="inlineStr">
        <is>
          <t>No</t>
        </is>
      </c>
      <c r="AS321" t="inlineStr">
        <is>
          <t>No</t>
        </is>
      </c>
      <c r="AU321">
        <f>HYPERLINK("https://creighton-primo.hosted.exlibrisgroup.com/primo-explore/search?tab=default_tab&amp;search_scope=EVERYTHING&amp;vid=01CRU&amp;lang=en_US&amp;offset=0&amp;query=any,contains,991001389569702656","Catalog Record")</f>
        <v/>
      </c>
      <c r="AV321">
        <f>HYPERLINK("http://www.worldcat.org/oclc/14268024","WorldCat Record")</f>
        <v/>
      </c>
      <c r="AW321" t="inlineStr">
        <is>
          <t>3855463184:eng</t>
        </is>
      </c>
      <c r="AX321" t="inlineStr">
        <is>
          <t>14268024</t>
        </is>
      </c>
      <c r="AY321" t="inlineStr">
        <is>
          <t>991001389569702656</t>
        </is>
      </c>
      <c r="AZ321" t="inlineStr">
        <is>
          <t>991001389569702656</t>
        </is>
      </c>
      <c r="BA321" t="inlineStr">
        <is>
          <t>2255279720002656</t>
        </is>
      </c>
      <c r="BB321" t="inlineStr">
        <is>
          <t>BOOK</t>
        </is>
      </c>
      <c r="BD321" t="inlineStr">
        <is>
          <t>9780887373367</t>
        </is>
      </c>
      <c r="BE321" t="inlineStr">
        <is>
          <t>30001000464653</t>
        </is>
      </c>
      <c r="BF321" t="inlineStr">
        <is>
          <t>893741085</t>
        </is>
      </c>
    </row>
    <row r="322">
      <c r="A322" t="inlineStr">
        <is>
          <t>No</t>
        </is>
      </c>
      <c r="B322" t="inlineStr">
        <is>
          <t>CUHSL</t>
        </is>
      </c>
      <c r="C322" t="inlineStr">
        <is>
          <t>SHELVES</t>
        </is>
      </c>
      <c r="D322" t="inlineStr">
        <is>
          <t>WY 18 N277c 1987</t>
        </is>
      </c>
      <c r="E322" t="inlineStr">
        <is>
          <t>0                      WY 0018000N  277c        1987</t>
        </is>
      </c>
      <c r="F322" t="inlineStr">
        <is>
          <t>Curriculum revolution, mandate for change.</t>
        </is>
      </c>
      <c r="H322" t="inlineStr">
        <is>
          <t>No</t>
        </is>
      </c>
      <c r="I322" t="inlineStr">
        <is>
          <t>1</t>
        </is>
      </c>
      <c r="J322" t="inlineStr">
        <is>
          <t>No</t>
        </is>
      </c>
      <c r="K322" t="inlineStr">
        <is>
          <t>No</t>
        </is>
      </c>
      <c r="L322" t="inlineStr">
        <is>
          <t>0</t>
        </is>
      </c>
      <c r="M322" t="inlineStr">
        <is>
          <t>National Conference on Nursing Education (4th : 1987)</t>
        </is>
      </c>
      <c r="N322" t="inlineStr">
        <is>
          <t>New York, NY : National League for Nursing, c1988.</t>
        </is>
      </c>
      <c r="O322" t="inlineStr">
        <is>
          <t>1988</t>
        </is>
      </c>
      <c r="Q322" t="inlineStr">
        <is>
          <t>eng</t>
        </is>
      </c>
      <c r="R322" t="inlineStr">
        <is>
          <t>nyu</t>
        </is>
      </c>
      <c r="S322" t="inlineStr">
        <is>
          <t>National League for Nursing: "Pub. no. 15-2224."</t>
        </is>
      </c>
      <c r="T322" t="inlineStr">
        <is>
          <t xml:space="preserve">WY </t>
        </is>
      </c>
      <c r="U322" t="n">
        <v>6</v>
      </c>
      <c r="V322" t="n">
        <v>6</v>
      </c>
      <c r="W322" t="inlineStr">
        <is>
          <t>1995-05-27</t>
        </is>
      </c>
      <c r="X322" t="inlineStr">
        <is>
          <t>1995-05-27</t>
        </is>
      </c>
      <c r="Y322" t="inlineStr">
        <is>
          <t>1988-10-19</t>
        </is>
      </c>
      <c r="Z322" t="inlineStr">
        <is>
          <t>1988-10-19</t>
        </is>
      </c>
      <c r="AA322" t="n">
        <v>281</v>
      </c>
      <c r="AB322" t="n">
        <v>238</v>
      </c>
      <c r="AC322" t="n">
        <v>245</v>
      </c>
      <c r="AD322" t="n">
        <v>4</v>
      </c>
      <c r="AE322" t="n">
        <v>4</v>
      </c>
      <c r="AF322" t="n">
        <v>19</v>
      </c>
      <c r="AG322" t="n">
        <v>19</v>
      </c>
      <c r="AH322" t="n">
        <v>7</v>
      </c>
      <c r="AI322" t="n">
        <v>7</v>
      </c>
      <c r="AJ322" t="n">
        <v>4</v>
      </c>
      <c r="AK322" t="n">
        <v>4</v>
      </c>
      <c r="AL322" t="n">
        <v>11</v>
      </c>
      <c r="AM322" t="n">
        <v>11</v>
      </c>
      <c r="AN322" t="n">
        <v>2</v>
      </c>
      <c r="AO322" t="n">
        <v>2</v>
      </c>
      <c r="AP322" t="n">
        <v>0</v>
      </c>
      <c r="AQ322" t="n">
        <v>0</v>
      </c>
      <c r="AR322" t="inlineStr">
        <is>
          <t>No</t>
        </is>
      </c>
      <c r="AS322" t="inlineStr">
        <is>
          <t>Yes</t>
        </is>
      </c>
      <c r="AT322">
        <f>HYPERLINK("http://catalog.hathitrust.org/Record/002506751","HathiTrust Record")</f>
        <v/>
      </c>
      <c r="AU322">
        <f>HYPERLINK("https://creighton-primo.hosted.exlibrisgroup.com/primo-explore/search?tab=default_tab&amp;search_scope=EVERYTHING&amp;vid=01CRU&amp;lang=en_US&amp;offset=0&amp;query=any,contains,991001426339702656","Catalog Record")</f>
        <v/>
      </c>
      <c r="AV322">
        <f>HYPERLINK("http://www.worldcat.org/oclc/19982298","WorldCat Record")</f>
        <v/>
      </c>
      <c r="AW322" t="inlineStr">
        <is>
          <t>21671494:eng</t>
        </is>
      </c>
      <c r="AX322" t="inlineStr">
        <is>
          <t>19982298</t>
        </is>
      </c>
      <c r="AY322" t="inlineStr">
        <is>
          <t>991001426339702656</t>
        </is>
      </c>
      <c r="AZ322" t="inlineStr">
        <is>
          <t>991001426339702656</t>
        </is>
      </c>
      <c r="BA322" t="inlineStr">
        <is>
          <t>2267867950002656</t>
        </is>
      </c>
      <c r="BB322" t="inlineStr">
        <is>
          <t>BOOK</t>
        </is>
      </c>
      <c r="BD322" t="inlineStr">
        <is>
          <t>9780887374043</t>
        </is>
      </c>
      <c r="BE322" t="inlineStr">
        <is>
          <t>30001001184573</t>
        </is>
      </c>
      <c r="BF322" t="inlineStr">
        <is>
          <t>893274141</t>
        </is>
      </c>
    </row>
    <row r="323">
      <c r="A323" t="inlineStr">
        <is>
          <t>No</t>
        </is>
      </c>
      <c r="B323" t="inlineStr">
        <is>
          <t>CUHSL</t>
        </is>
      </c>
      <c r="C323" t="inlineStr">
        <is>
          <t>SHELVES</t>
        </is>
      </c>
      <c r="D323" t="inlineStr">
        <is>
          <t>WY 18 N277c 1988</t>
        </is>
      </c>
      <c r="E323" t="inlineStr">
        <is>
          <t>0                      WY 0018000N  277c        1988</t>
        </is>
      </c>
      <c r="F323" t="inlineStr">
        <is>
          <t>Curriculum revolution-- reconceptualizing nursing education.</t>
        </is>
      </c>
      <c r="H323" t="inlineStr">
        <is>
          <t>No</t>
        </is>
      </c>
      <c r="I323" t="inlineStr">
        <is>
          <t>1</t>
        </is>
      </c>
      <c r="J323" t="inlineStr">
        <is>
          <t>No</t>
        </is>
      </c>
      <c r="K323" t="inlineStr">
        <is>
          <t>No</t>
        </is>
      </c>
      <c r="L323" t="inlineStr">
        <is>
          <t>0</t>
        </is>
      </c>
      <c r="M323" t="inlineStr">
        <is>
          <t>National Conference on Nursing Education (5th : 1988)</t>
        </is>
      </c>
      <c r="N323" t="inlineStr">
        <is>
          <t>New York, NY : National League for Nursing, c1989.</t>
        </is>
      </c>
      <c r="O323" t="inlineStr">
        <is>
          <t>1989</t>
        </is>
      </c>
      <c r="Q323" t="inlineStr">
        <is>
          <t>eng</t>
        </is>
      </c>
      <c r="R323" t="inlineStr">
        <is>
          <t>nyu</t>
        </is>
      </c>
      <c r="S323" t="inlineStr">
        <is>
          <t>NLN pub. no. 15-2280</t>
        </is>
      </c>
      <c r="T323" t="inlineStr">
        <is>
          <t xml:space="preserve">WY </t>
        </is>
      </c>
      <c r="U323" t="n">
        <v>13</v>
      </c>
      <c r="V323" t="n">
        <v>13</v>
      </c>
      <c r="W323" t="inlineStr">
        <is>
          <t>1997-03-12</t>
        </is>
      </c>
      <c r="X323" t="inlineStr">
        <is>
          <t>1997-03-12</t>
        </is>
      </c>
      <c r="Y323" t="inlineStr">
        <is>
          <t>1989-07-10</t>
        </is>
      </c>
      <c r="Z323" t="inlineStr">
        <is>
          <t>1989-07-10</t>
        </is>
      </c>
      <c r="AA323" t="n">
        <v>327</v>
      </c>
      <c r="AB323" t="n">
        <v>277</v>
      </c>
      <c r="AC323" t="n">
        <v>284</v>
      </c>
      <c r="AD323" t="n">
        <v>4</v>
      </c>
      <c r="AE323" t="n">
        <v>4</v>
      </c>
      <c r="AF323" t="n">
        <v>18</v>
      </c>
      <c r="AG323" t="n">
        <v>18</v>
      </c>
      <c r="AH323" t="n">
        <v>7</v>
      </c>
      <c r="AI323" t="n">
        <v>7</v>
      </c>
      <c r="AJ323" t="n">
        <v>3</v>
      </c>
      <c r="AK323" t="n">
        <v>3</v>
      </c>
      <c r="AL323" t="n">
        <v>12</v>
      </c>
      <c r="AM323" t="n">
        <v>12</v>
      </c>
      <c r="AN323" t="n">
        <v>2</v>
      </c>
      <c r="AO323" t="n">
        <v>2</v>
      </c>
      <c r="AP323" t="n">
        <v>0</v>
      </c>
      <c r="AQ323" t="n">
        <v>0</v>
      </c>
      <c r="AR323" t="inlineStr">
        <is>
          <t>No</t>
        </is>
      </c>
      <c r="AS323" t="inlineStr">
        <is>
          <t>Yes</t>
        </is>
      </c>
      <c r="AT323">
        <f>HYPERLINK("http://catalog.hathitrust.org/Record/002508382","HathiTrust Record")</f>
        <v/>
      </c>
      <c r="AU323">
        <f>HYPERLINK("https://creighton-primo.hosted.exlibrisgroup.com/primo-explore/search?tab=default_tab&amp;search_scope=EVERYTHING&amp;vid=01CRU&amp;lang=en_US&amp;offset=0&amp;query=any,contains,991001311629702656","Catalog Record")</f>
        <v/>
      </c>
      <c r="AV323">
        <f>HYPERLINK("http://www.worldcat.org/oclc/20691602","WorldCat Record")</f>
        <v/>
      </c>
      <c r="AW323" t="inlineStr">
        <is>
          <t>3901337413:eng</t>
        </is>
      </c>
      <c r="AX323" t="inlineStr">
        <is>
          <t>20691602</t>
        </is>
      </c>
      <c r="AY323" t="inlineStr">
        <is>
          <t>991001311629702656</t>
        </is>
      </c>
      <c r="AZ323" t="inlineStr">
        <is>
          <t>991001311629702656</t>
        </is>
      </c>
      <c r="BA323" t="inlineStr">
        <is>
          <t>2262492500002656</t>
        </is>
      </c>
      <c r="BB323" t="inlineStr">
        <is>
          <t>BOOK</t>
        </is>
      </c>
      <c r="BD323" t="inlineStr">
        <is>
          <t>9780887374425</t>
        </is>
      </c>
      <c r="BE323" t="inlineStr">
        <is>
          <t>30001001750993</t>
        </is>
      </c>
      <c r="BF323" t="inlineStr">
        <is>
          <t>893121397</t>
        </is>
      </c>
    </row>
    <row r="324">
      <c r="A324" t="inlineStr">
        <is>
          <t>No</t>
        </is>
      </c>
      <c r="B324" t="inlineStr">
        <is>
          <t>CUHSL</t>
        </is>
      </c>
      <c r="C324" t="inlineStr">
        <is>
          <t>SHELVES</t>
        </is>
      </c>
      <c r="D324" t="inlineStr">
        <is>
          <t>WY 18 N277n 1978</t>
        </is>
      </c>
      <c r="E324" t="inlineStr">
        <is>
          <t>0                      WY 0018000N  277n        1978</t>
        </is>
      </c>
      <c r="F324" t="inlineStr">
        <is>
          <t>NLN nursing data book : statistical information on nursing education and newly licensed nurses / Division of Research.</t>
        </is>
      </c>
      <c r="H324" t="inlineStr">
        <is>
          <t>No</t>
        </is>
      </c>
      <c r="I324" t="inlineStr">
        <is>
          <t>1</t>
        </is>
      </c>
      <c r="J324" t="inlineStr">
        <is>
          <t>No</t>
        </is>
      </c>
      <c r="K324" t="inlineStr">
        <is>
          <t>No</t>
        </is>
      </c>
      <c r="L324" t="inlineStr">
        <is>
          <t>0</t>
        </is>
      </c>
      <c r="M324" t="inlineStr">
        <is>
          <t>National League for Nursing. Division of Research.</t>
        </is>
      </c>
      <c r="N324" t="inlineStr">
        <is>
          <t>New York : National League for Nursing, c1978.</t>
        </is>
      </c>
      <c r="O324" t="inlineStr">
        <is>
          <t>1978</t>
        </is>
      </c>
      <c r="P324" t="inlineStr">
        <is>
          <t>[1st ed.]</t>
        </is>
      </c>
      <c r="Q324" t="inlineStr">
        <is>
          <t>eng</t>
        </is>
      </c>
      <c r="R324" t="inlineStr">
        <is>
          <t>nyu</t>
        </is>
      </c>
      <c r="S324" t="inlineStr">
        <is>
          <t>NLN pub. no. 19-1751</t>
        </is>
      </c>
      <c r="T324" t="inlineStr">
        <is>
          <t xml:space="preserve">WY </t>
        </is>
      </c>
      <c r="U324" t="n">
        <v>1</v>
      </c>
      <c r="V324" t="n">
        <v>1</v>
      </c>
      <c r="W324" t="inlineStr">
        <is>
          <t>1990-07-03</t>
        </is>
      </c>
      <c r="X324" t="inlineStr">
        <is>
          <t>1990-07-03</t>
        </is>
      </c>
      <c r="Y324" t="inlineStr">
        <is>
          <t>1987-11-03</t>
        </is>
      </c>
      <c r="Z324" t="inlineStr">
        <is>
          <t>1987-11-03</t>
        </is>
      </c>
      <c r="AA324" t="n">
        <v>55</v>
      </c>
      <c r="AB324" t="n">
        <v>50</v>
      </c>
      <c r="AC324" t="n">
        <v>50</v>
      </c>
      <c r="AD324" t="n">
        <v>1</v>
      </c>
      <c r="AE324" t="n">
        <v>1</v>
      </c>
      <c r="AF324" t="n">
        <v>1</v>
      </c>
      <c r="AG324" t="n">
        <v>1</v>
      </c>
      <c r="AH324" t="n">
        <v>0</v>
      </c>
      <c r="AI324" t="n">
        <v>0</v>
      </c>
      <c r="AJ324" t="n">
        <v>0</v>
      </c>
      <c r="AK324" t="n">
        <v>0</v>
      </c>
      <c r="AL324" t="n">
        <v>1</v>
      </c>
      <c r="AM324" t="n">
        <v>1</v>
      </c>
      <c r="AN324" t="n">
        <v>0</v>
      </c>
      <c r="AO324" t="n">
        <v>0</v>
      </c>
      <c r="AP324" t="n">
        <v>0</v>
      </c>
      <c r="AQ324" t="n">
        <v>0</v>
      </c>
      <c r="AR324" t="inlineStr">
        <is>
          <t>No</t>
        </is>
      </c>
      <c r="AS324" t="inlineStr">
        <is>
          <t>No</t>
        </is>
      </c>
      <c r="AU324">
        <f>HYPERLINK("https://creighton-primo.hosted.exlibrisgroup.com/primo-explore/search?tab=default_tab&amp;search_scope=EVERYTHING&amp;vid=01CRU&amp;lang=en_US&amp;offset=0&amp;query=any,contains,991001381259702656","Catalog Record")</f>
        <v/>
      </c>
      <c r="AV324">
        <f>HYPERLINK("http://www.worldcat.org/oclc/5051578","WorldCat Record")</f>
        <v/>
      </c>
      <c r="AW324" t="inlineStr">
        <is>
          <t>131807856:eng</t>
        </is>
      </c>
      <c r="AX324" t="inlineStr">
        <is>
          <t>5051578</t>
        </is>
      </c>
      <c r="AY324" t="inlineStr">
        <is>
          <t>991001381259702656</t>
        </is>
      </c>
      <c r="AZ324" t="inlineStr">
        <is>
          <t>991001381259702656</t>
        </is>
      </c>
      <c r="BA324" t="inlineStr">
        <is>
          <t>2263904420002656</t>
        </is>
      </c>
      <c r="BB324" t="inlineStr">
        <is>
          <t>BOOK</t>
        </is>
      </c>
      <c r="BE324" t="inlineStr">
        <is>
          <t>30001000462822</t>
        </is>
      </c>
      <c r="BF324" t="inlineStr">
        <is>
          <t>893727522</t>
        </is>
      </c>
    </row>
    <row r="325">
      <c r="A325" t="inlineStr">
        <is>
          <t>No</t>
        </is>
      </c>
      <c r="B325" t="inlineStr">
        <is>
          <t>CUHSL</t>
        </is>
      </c>
      <c r="C325" t="inlineStr">
        <is>
          <t>SHELVES</t>
        </is>
      </c>
      <c r="D325" t="inlineStr">
        <is>
          <t>WY 18 N277n 1979</t>
        </is>
      </c>
      <c r="E325" t="inlineStr">
        <is>
          <t>0                      WY 0018000N  277n        1979</t>
        </is>
      </c>
      <c r="F325" t="inlineStr">
        <is>
          <t>NLN nursing data book 1979 : statistical information on nursing education and newly licensed nurses / Division of Research.</t>
        </is>
      </c>
      <c r="H325" t="inlineStr">
        <is>
          <t>No</t>
        </is>
      </c>
      <c r="I325" t="inlineStr">
        <is>
          <t>1</t>
        </is>
      </c>
      <c r="J325" t="inlineStr">
        <is>
          <t>No</t>
        </is>
      </c>
      <c r="K325" t="inlineStr">
        <is>
          <t>No</t>
        </is>
      </c>
      <c r="L325" t="inlineStr">
        <is>
          <t>0</t>
        </is>
      </c>
      <c r="M325" t="inlineStr">
        <is>
          <t>National League for Nursing. Division of Research.</t>
        </is>
      </c>
      <c r="N325" t="inlineStr">
        <is>
          <t>New York : National League for Nursing, 1980.</t>
        </is>
      </c>
      <c r="O325" t="inlineStr">
        <is>
          <t>1980</t>
        </is>
      </c>
      <c r="P325" t="inlineStr">
        <is>
          <t>[2nd ed.]</t>
        </is>
      </c>
      <c r="Q325" t="inlineStr">
        <is>
          <t>eng</t>
        </is>
      </c>
      <c r="R325" t="inlineStr">
        <is>
          <t>nyu</t>
        </is>
      </c>
      <c r="S325" t="inlineStr">
        <is>
          <t>NLN pub. no. 19-1797</t>
        </is>
      </c>
      <c r="T325" t="inlineStr">
        <is>
          <t xml:space="preserve">WY </t>
        </is>
      </c>
      <c r="U325" t="n">
        <v>1</v>
      </c>
      <c r="V325" t="n">
        <v>1</v>
      </c>
      <c r="W325" t="inlineStr">
        <is>
          <t>1990-07-11</t>
        </is>
      </c>
      <c r="X325" t="inlineStr">
        <is>
          <t>1990-07-11</t>
        </is>
      </c>
      <c r="Y325" t="inlineStr">
        <is>
          <t>1987-11-03</t>
        </is>
      </c>
      <c r="Z325" t="inlineStr">
        <is>
          <t>1987-11-03</t>
        </is>
      </c>
      <c r="AA325" t="n">
        <v>28</v>
      </c>
      <c r="AB325" t="n">
        <v>27</v>
      </c>
      <c r="AC325" t="n">
        <v>27</v>
      </c>
      <c r="AD325" t="n">
        <v>1</v>
      </c>
      <c r="AE325" t="n">
        <v>1</v>
      </c>
      <c r="AF325" t="n">
        <v>0</v>
      </c>
      <c r="AG325" t="n">
        <v>0</v>
      </c>
      <c r="AH325" t="n">
        <v>0</v>
      </c>
      <c r="AI325" t="n">
        <v>0</v>
      </c>
      <c r="AJ325" t="n">
        <v>0</v>
      </c>
      <c r="AK325" t="n">
        <v>0</v>
      </c>
      <c r="AL325" t="n">
        <v>0</v>
      </c>
      <c r="AM325" t="n">
        <v>0</v>
      </c>
      <c r="AN325" t="n">
        <v>0</v>
      </c>
      <c r="AO325" t="n">
        <v>0</v>
      </c>
      <c r="AP325" t="n">
        <v>0</v>
      </c>
      <c r="AQ325" t="n">
        <v>0</v>
      </c>
      <c r="AR325" t="inlineStr">
        <is>
          <t>No</t>
        </is>
      </c>
      <c r="AS325" t="inlineStr">
        <is>
          <t>No</t>
        </is>
      </c>
      <c r="AU325">
        <f>HYPERLINK("https://creighton-primo.hosted.exlibrisgroup.com/primo-explore/search?tab=default_tab&amp;search_scope=EVERYTHING&amp;vid=01CRU&amp;lang=en_US&amp;offset=0&amp;query=any,contains,991001381749702656","Catalog Record")</f>
        <v/>
      </c>
      <c r="AV325">
        <f>HYPERLINK("http://www.worldcat.org/oclc/7112397","WorldCat Record")</f>
        <v/>
      </c>
      <c r="AW325" t="inlineStr">
        <is>
          <t>3147328176:eng</t>
        </is>
      </c>
      <c r="AX325" t="inlineStr">
        <is>
          <t>7112397</t>
        </is>
      </c>
      <c r="AY325" t="inlineStr">
        <is>
          <t>991001381749702656</t>
        </is>
      </c>
      <c r="AZ325" t="inlineStr">
        <is>
          <t>991001381749702656</t>
        </is>
      </c>
      <c r="BA325" t="inlineStr">
        <is>
          <t>2260788650002656</t>
        </is>
      </c>
      <c r="BB325" t="inlineStr">
        <is>
          <t>BOOK</t>
        </is>
      </c>
      <c r="BE325" t="inlineStr">
        <is>
          <t>30001000462939</t>
        </is>
      </c>
      <c r="BF325" t="inlineStr">
        <is>
          <t>893638277</t>
        </is>
      </c>
    </row>
    <row r="326">
      <c r="A326" t="inlineStr">
        <is>
          <t>No</t>
        </is>
      </c>
      <c r="B326" t="inlineStr">
        <is>
          <t>CUHSL</t>
        </is>
      </c>
      <c r="C326" t="inlineStr">
        <is>
          <t>SHELVES</t>
        </is>
      </c>
      <c r="D326" t="inlineStr">
        <is>
          <t>WY 18 N489n 1982</t>
        </is>
      </c>
      <c r="E326" t="inlineStr">
        <is>
          <t>0                      WY 0018000N  489n        1982</t>
        </is>
      </c>
      <c r="F326" t="inlineStr">
        <is>
          <t>The Neuman systems model : application to nursing education and practice / Betty Neuman.</t>
        </is>
      </c>
      <c r="H326" t="inlineStr">
        <is>
          <t>No</t>
        </is>
      </c>
      <c r="I326" t="inlineStr">
        <is>
          <t>1</t>
        </is>
      </c>
      <c r="J326" t="inlineStr">
        <is>
          <t>No</t>
        </is>
      </c>
      <c r="K326" t="inlineStr">
        <is>
          <t>Yes</t>
        </is>
      </c>
      <c r="L326" t="inlineStr">
        <is>
          <t>0</t>
        </is>
      </c>
      <c r="M326" t="inlineStr">
        <is>
          <t>Neuman, Betty M.</t>
        </is>
      </c>
      <c r="N326" t="inlineStr">
        <is>
          <t>Norwalk, Conn. : Appleton-Century-Crofts, c1982.</t>
        </is>
      </c>
      <c r="O326" t="inlineStr">
        <is>
          <t>1982</t>
        </is>
      </c>
      <c r="Q326" t="inlineStr">
        <is>
          <t>eng</t>
        </is>
      </c>
      <c r="R326" t="inlineStr">
        <is>
          <t>ctu</t>
        </is>
      </c>
      <c r="T326" t="inlineStr">
        <is>
          <t xml:space="preserve">WY </t>
        </is>
      </c>
      <c r="U326" t="n">
        <v>26</v>
      </c>
      <c r="V326" t="n">
        <v>26</v>
      </c>
      <c r="W326" t="inlineStr">
        <is>
          <t>1998-10-27</t>
        </is>
      </c>
      <c r="X326" t="inlineStr">
        <is>
          <t>1998-10-27</t>
        </is>
      </c>
      <c r="Y326" t="inlineStr">
        <is>
          <t>1987-10-22</t>
        </is>
      </c>
      <c r="Z326" t="inlineStr">
        <is>
          <t>1987-10-22</t>
        </is>
      </c>
      <c r="AA326" t="n">
        <v>269</v>
      </c>
      <c r="AB326" t="n">
        <v>219</v>
      </c>
      <c r="AC326" t="n">
        <v>681</v>
      </c>
      <c r="AD326" t="n">
        <v>1</v>
      </c>
      <c r="AE326" t="n">
        <v>5</v>
      </c>
      <c r="AF326" t="n">
        <v>8</v>
      </c>
      <c r="AG326" t="n">
        <v>31</v>
      </c>
      <c r="AH326" t="n">
        <v>2</v>
      </c>
      <c r="AI326" t="n">
        <v>13</v>
      </c>
      <c r="AJ326" t="n">
        <v>2</v>
      </c>
      <c r="AK326" t="n">
        <v>6</v>
      </c>
      <c r="AL326" t="n">
        <v>6</v>
      </c>
      <c r="AM326" t="n">
        <v>17</v>
      </c>
      <c r="AN326" t="n">
        <v>0</v>
      </c>
      <c r="AO326" t="n">
        <v>2</v>
      </c>
      <c r="AP326" t="n">
        <v>0</v>
      </c>
      <c r="AQ326" t="n">
        <v>0</v>
      </c>
      <c r="AR326" t="inlineStr">
        <is>
          <t>No</t>
        </is>
      </c>
      <c r="AS326" t="inlineStr">
        <is>
          <t>Yes</t>
        </is>
      </c>
      <c r="AT326">
        <f>HYPERLINK("http://catalog.hathitrust.org/Record/000163199","HathiTrust Record")</f>
        <v/>
      </c>
      <c r="AU326">
        <f>HYPERLINK("https://creighton-primo.hosted.exlibrisgroup.com/primo-explore/search?tab=default_tab&amp;search_scope=EVERYTHING&amp;vid=01CRU&amp;lang=en_US&amp;offset=0&amp;query=any,contains,991000740079702656","Catalog Record")</f>
        <v/>
      </c>
      <c r="AV326">
        <f>HYPERLINK("http://www.worldcat.org/oclc/8170097","WorldCat Record")</f>
        <v/>
      </c>
      <c r="AW326" t="inlineStr">
        <is>
          <t>342049492:eng</t>
        </is>
      </c>
      <c r="AX326" t="inlineStr">
        <is>
          <t>8170097</t>
        </is>
      </c>
      <c r="AY326" t="inlineStr">
        <is>
          <t>991000740079702656</t>
        </is>
      </c>
      <c r="AZ326" t="inlineStr">
        <is>
          <t>991000740079702656</t>
        </is>
      </c>
      <c r="BA326" t="inlineStr">
        <is>
          <t>2256675020002656</t>
        </is>
      </c>
      <c r="BB326" t="inlineStr">
        <is>
          <t>BOOK</t>
        </is>
      </c>
      <c r="BD326" t="inlineStr">
        <is>
          <t>9780838566886</t>
        </is>
      </c>
      <c r="BE326" t="inlineStr">
        <is>
          <t>30001000043200</t>
        </is>
      </c>
      <c r="BF326" t="inlineStr">
        <is>
          <t>893278053</t>
        </is>
      </c>
    </row>
    <row r="327">
      <c r="A327" t="inlineStr">
        <is>
          <t>No</t>
        </is>
      </c>
      <c r="B327" t="inlineStr">
        <is>
          <t>CUHSL</t>
        </is>
      </c>
      <c r="C327" t="inlineStr">
        <is>
          <t>SHELVES</t>
        </is>
      </c>
      <c r="D327" t="inlineStr">
        <is>
          <t>WY 18 N532n 1976</t>
        </is>
      </c>
      <c r="E327" t="inlineStr">
        <is>
          <t>0                      WY 0018000N  532n        1976</t>
        </is>
      </c>
      <c r="F327" t="inlineStr">
        <is>
          <t>The New York Regents external degrees in nursing : historical developments and program study guides for the associate degree.</t>
        </is>
      </c>
      <c r="H327" t="inlineStr">
        <is>
          <t>No</t>
        </is>
      </c>
      <c r="I327" t="inlineStr">
        <is>
          <t>1</t>
        </is>
      </c>
      <c r="J327" t="inlineStr">
        <is>
          <t>No</t>
        </is>
      </c>
      <c r="K327" t="inlineStr">
        <is>
          <t>No</t>
        </is>
      </c>
      <c r="L327" t="inlineStr">
        <is>
          <t>0</t>
        </is>
      </c>
      <c r="M327" t="inlineStr">
        <is>
          <t>University of the State of New York. Regents External Degree Program.</t>
        </is>
      </c>
      <c r="N327" t="inlineStr">
        <is>
          <t>Albany, N.Y. : University of the State of New York, Regents External Degrees, 1976</t>
        </is>
      </c>
      <c r="O327" t="inlineStr">
        <is>
          <t>1976</t>
        </is>
      </c>
      <c r="Q327" t="inlineStr">
        <is>
          <t>eng</t>
        </is>
      </c>
      <c r="R327" t="inlineStr">
        <is>
          <t xml:space="preserve">xx </t>
        </is>
      </c>
      <c r="T327" t="inlineStr">
        <is>
          <t xml:space="preserve">WY </t>
        </is>
      </c>
      <c r="U327" t="n">
        <v>2</v>
      </c>
      <c r="V327" t="n">
        <v>2</v>
      </c>
      <c r="W327" t="inlineStr">
        <is>
          <t>1991-02-01</t>
        </is>
      </c>
      <c r="X327" t="inlineStr">
        <is>
          <t>1991-02-01</t>
        </is>
      </c>
      <c r="Y327" t="inlineStr">
        <is>
          <t>1991-02-01</t>
        </is>
      </c>
      <c r="Z327" t="inlineStr">
        <is>
          <t>1991-02-01</t>
        </is>
      </c>
      <c r="AA327" t="n">
        <v>16</v>
      </c>
      <c r="AB327" t="n">
        <v>15</v>
      </c>
      <c r="AC327" t="n">
        <v>15</v>
      </c>
      <c r="AD327" t="n">
        <v>1</v>
      </c>
      <c r="AE327" t="n">
        <v>1</v>
      </c>
      <c r="AF327" t="n">
        <v>1</v>
      </c>
      <c r="AG327" t="n">
        <v>1</v>
      </c>
      <c r="AH327" t="n">
        <v>0</v>
      </c>
      <c r="AI327" t="n">
        <v>0</v>
      </c>
      <c r="AJ327" t="n">
        <v>0</v>
      </c>
      <c r="AK327" t="n">
        <v>0</v>
      </c>
      <c r="AL327" t="n">
        <v>1</v>
      </c>
      <c r="AM327" t="n">
        <v>1</v>
      </c>
      <c r="AN327" t="n">
        <v>0</v>
      </c>
      <c r="AO327" t="n">
        <v>0</v>
      </c>
      <c r="AP327" t="n">
        <v>0</v>
      </c>
      <c r="AQ327" t="n">
        <v>0</v>
      </c>
      <c r="AR327" t="inlineStr">
        <is>
          <t>No</t>
        </is>
      </c>
      <c r="AS327" t="inlineStr">
        <is>
          <t>No</t>
        </is>
      </c>
      <c r="AU327">
        <f>HYPERLINK("https://creighton-primo.hosted.exlibrisgroup.com/primo-explore/search?tab=default_tab&amp;search_scope=EVERYTHING&amp;vid=01CRU&amp;lang=en_US&amp;offset=0&amp;query=any,contains,991000817069702656","Catalog Record")</f>
        <v/>
      </c>
      <c r="AV327">
        <f>HYPERLINK("http://www.worldcat.org/oclc/3857451","WorldCat Record")</f>
        <v/>
      </c>
      <c r="AW327" t="inlineStr">
        <is>
          <t>12556905:eng</t>
        </is>
      </c>
      <c r="AX327" t="inlineStr">
        <is>
          <t>3857451</t>
        </is>
      </c>
      <c r="AY327" t="inlineStr">
        <is>
          <t>991000817069702656</t>
        </is>
      </c>
      <c r="AZ327" t="inlineStr">
        <is>
          <t>991000817069702656</t>
        </is>
      </c>
      <c r="BA327" t="inlineStr">
        <is>
          <t>2262509980002656</t>
        </is>
      </c>
      <c r="BB327" t="inlineStr">
        <is>
          <t>BOOK</t>
        </is>
      </c>
      <c r="BE327" t="inlineStr">
        <is>
          <t>30001002086611</t>
        </is>
      </c>
      <c r="BF327" t="inlineStr">
        <is>
          <t>893815673</t>
        </is>
      </c>
    </row>
    <row r="328">
      <c r="A328" t="inlineStr">
        <is>
          <t>No</t>
        </is>
      </c>
      <c r="B328" t="inlineStr">
        <is>
          <t>CUHSL</t>
        </is>
      </c>
      <c r="C328" t="inlineStr">
        <is>
          <t>SHELVES</t>
        </is>
      </c>
      <c r="D328" t="inlineStr">
        <is>
          <t>WY 18 N842 1977</t>
        </is>
      </c>
      <c r="E328" t="inlineStr">
        <is>
          <t>0                      WY 0018000N  842         1977</t>
        </is>
      </c>
      <c r="F328" t="inlineStr">
        <is>
          <t>Normal development of body image / author and consultant, Marie Scott Brown.</t>
        </is>
      </c>
      <c r="H328" t="inlineStr">
        <is>
          <t>No</t>
        </is>
      </c>
      <c r="I328" t="inlineStr">
        <is>
          <t>1</t>
        </is>
      </c>
      <c r="J328" t="inlineStr">
        <is>
          <t>No</t>
        </is>
      </c>
      <c r="K328" t="inlineStr">
        <is>
          <t>No</t>
        </is>
      </c>
      <c r="L328" t="inlineStr">
        <is>
          <t>0</t>
        </is>
      </c>
      <c r="M328" t="inlineStr">
        <is>
          <t>Brown, Marie Scott.</t>
        </is>
      </c>
      <c r="N328" t="inlineStr">
        <is>
          <t>-- New York : Wiley, c1977.</t>
        </is>
      </c>
      <c r="O328" t="inlineStr">
        <is>
          <t>1977</t>
        </is>
      </c>
      <c r="Q328" t="inlineStr">
        <is>
          <t>eng</t>
        </is>
      </c>
      <c r="R328" t="inlineStr">
        <is>
          <t>nyu</t>
        </is>
      </c>
      <c r="S328" t="inlineStr">
        <is>
          <t>A Wiley medical publication</t>
        </is>
      </c>
      <c r="T328" t="inlineStr">
        <is>
          <t xml:space="preserve">WY </t>
        </is>
      </c>
      <c r="U328" t="n">
        <v>1</v>
      </c>
      <c r="V328" t="n">
        <v>1</v>
      </c>
      <c r="W328" t="inlineStr">
        <is>
          <t>2001-11-25</t>
        </is>
      </c>
      <c r="X328" t="inlineStr">
        <is>
          <t>2001-11-25</t>
        </is>
      </c>
      <c r="Y328" t="inlineStr">
        <is>
          <t>1987-12-28</t>
        </is>
      </c>
      <c r="Z328" t="inlineStr">
        <is>
          <t>1987-12-28</t>
        </is>
      </c>
      <c r="AA328" t="n">
        <v>192</v>
      </c>
      <c r="AB328" t="n">
        <v>142</v>
      </c>
      <c r="AC328" t="n">
        <v>143</v>
      </c>
      <c r="AD328" t="n">
        <v>2</v>
      </c>
      <c r="AE328" t="n">
        <v>2</v>
      </c>
      <c r="AF328" t="n">
        <v>4</v>
      </c>
      <c r="AG328" t="n">
        <v>4</v>
      </c>
      <c r="AH328" t="n">
        <v>1</v>
      </c>
      <c r="AI328" t="n">
        <v>1</v>
      </c>
      <c r="AJ328" t="n">
        <v>1</v>
      </c>
      <c r="AK328" t="n">
        <v>1</v>
      </c>
      <c r="AL328" t="n">
        <v>2</v>
      </c>
      <c r="AM328" t="n">
        <v>2</v>
      </c>
      <c r="AN328" t="n">
        <v>1</v>
      </c>
      <c r="AO328" t="n">
        <v>1</v>
      </c>
      <c r="AP328" t="n">
        <v>0</v>
      </c>
      <c r="AQ328" t="n">
        <v>0</v>
      </c>
      <c r="AR328" t="inlineStr">
        <is>
          <t>No</t>
        </is>
      </c>
      <c r="AS328" t="inlineStr">
        <is>
          <t>Yes</t>
        </is>
      </c>
      <c r="AT328">
        <f>HYPERLINK("http://catalog.hathitrust.org/Record/004445806","HathiTrust Record")</f>
        <v/>
      </c>
      <c r="AU328">
        <f>HYPERLINK("https://creighton-primo.hosted.exlibrisgroup.com/primo-explore/search?tab=default_tab&amp;search_scope=EVERYTHING&amp;vid=01CRU&amp;lang=en_US&amp;offset=0&amp;query=any,contains,991001040289702656","Catalog Record")</f>
        <v/>
      </c>
      <c r="AV328">
        <f>HYPERLINK("http://www.worldcat.org/oclc/2837276","WorldCat Record")</f>
        <v/>
      </c>
      <c r="AW328" t="inlineStr">
        <is>
          <t>6492797:eng</t>
        </is>
      </c>
      <c r="AX328" t="inlineStr">
        <is>
          <t>2837276</t>
        </is>
      </c>
      <c r="AY328" t="inlineStr">
        <is>
          <t>991001040289702656</t>
        </is>
      </c>
      <c r="AZ328" t="inlineStr">
        <is>
          <t>991001040289702656</t>
        </is>
      </c>
      <c r="BA328" t="inlineStr">
        <is>
          <t>2262151010002656</t>
        </is>
      </c>
      <c r="BB328" t="inlineStr">
        <is>
          <t>BOOK</t>
        </is>
      </c>
      <c r="BD328" t="inlineStr">
        <is>
          <t>9780471021704</t>
        </is>
      </c>
      <c r="BE328" t="inlineStr">
        <is>
          <t>30001000242083</t>
        </is>
      </c>
      <c r="BF328" t="inlineStr">
        <is>
          <t>893278650</t>
        </is>
      </c>
    </row>
    <row r="329">
      <c r="A329" t="inlineStr">
        <is>
          <t>No</t>
        </is>
      </c>
      <c r="B329" t="inlineStr">
        <is>
          <t>CUHSL</t>
        </is>
      </c>
      <c r="C329" t="inlineStr">
        <is>
          <t>SHELVES</t>
        </is>
      </c>
      <c r="D329" t="inlineStr">
        <is>
          <t>WY 18 N919g 1978</t>
        </is>
      </c>
      <c r="E329" t="inlineStr">
        <is>
          <t>0                      WY 0018000N  919g        1978</t>
        </is>
      </c>
      <c r="F329" t="inlineStr">
        <is>
          <t>Guidelines for implementation of open curriculum practices in nursing education / prepared by Lucille Notter, assisted by Marguerite C. Robey and Mark H. Weinstein ; in cooperation with the Open Curriculum Project Guidelines Committee.</t>
        </is>
      </c>
      <c r="H329" t="inlineStr">
        <is>
          <t>No</t>
        </is>
      </c>
      <c r="I329" t="inlineStr">
        <is>
          <t>1</t>
        </is>
      </c>
      <c r="J329" t="inlineStr">
        <is>
          <t>No</t>
        </is>
      </c>
      <c r="K329" t="inlineStr">
        <is>
          <t>No</t>
        </is>
      </c>
      <c r="L329" t="inlineStr">
        <is>
          <t>0</t>
        </is>
      </c>
      <c r="M329" t="inlineStr">
        <is>
          <t>Notter, Lucille E. (Lucille Elizabeth), 1907-1993.</t>
        </is>
      </c>
      <c r="N329" t="inlineStr">
        <is>
          <t>New York : National League for Nursing, c1978.</t>
        </is>
      </c>
      <c r="O329" t="inlineStr">
        <is>
          <t>1978</t>
        </is>
      </c>
      <c r="Q329" t="inlineStr">
        <is>
          <t>eng</t>
        </is>
      </c>
      <c r="R329" t="inlineStr">
        <is>
          <t>nyu</t>
        </is>
      </c>
      <c r="S329" t="inlineStr">
        <is>
          <t>NLN pub. no. 19-1701</t>
        </is>
      </c>
      <c r="T329" t="inlineStr">
        <is>
          <t xml:space="preserve">WY </t>
        </is>
      </c>
      <c r="U329" t="n">
        <v>1</v>
      </c>
      <c r="V329" t="n">
        <v>1</v>
      </c>
      <c r="W329" t="inlineStr">
        <is>
          <t>1990-08-29</t>
        </is>
      </c>
      <c r="X329" t="inlineStr">
        <is>
          <t>1990-08-29</t>
        </is>
      </c>
      <c r="Y329" t="inlineStr">
        <is>
          <t>1987-11-03</t>
        </is>
      </c>
      <c r="Z329" t="inlineStr">
        <is>
          <t>1987-11-03</t>
        </is>
      </c>
      <c r="AA329" t="n">
        <v>93</v>
      </c>
      <c r="AB329" t="n">
        <v>80</v>
      </c>
      <c r="AC329" t="n">
        <v>80</v>
      </c>
      <c r="AD329" t="n">
        <v>1</v>
      </c>
      <c r="AE329" t="n">
        <v>1</v>
      </c>
      <c r="AF329" t="n">
        <v>4</v>
      </c>
      <c r="AG329" t="n">
        <v>4</v>
      </c>
      <c r="AH329" t="n">
        <v>0</v>
      </c>
      <c r="AI329" t="n">
        <v>0</v>
      </c>
      <c r="AJ329" t="n">
        <v>0</v>
      </c>
      <c r="AK329" t="n">
        <v>0</v>
      </c>
      <c r="AL329" t="n">
        <v>4</v>
      </c>
      <c r="AM329" t="n">
        <v>4</v>
      </c>
      <c r="AN329" t="n">
        <v>0</v>
      </c>
      <c r="AO329" t="n">
        <v>0</v>
      </c>
      <c r="AP329" t="n">
        <v>0</v>
      </c>
      <c r="AQ329" t="n">
        <v>0</v>
      </c>
      <c r="AR329" t="inlineStr">
        <is>
          <t>No</t>
        </is>
      </c>
      <c r="AS329" t="inlineStr">
        <is>
          <t>No</t>
        </is>
      </c>
      <c r="AU329">
        <f>HYPERLINK("https://creighton-primo.hosted.exlibrisgroup.com/primo-explore/search?tab=default_tab&amp;search_scope=EVERYTHING&amp;vid=01CRU&amp;lang=en_US&amp;offset=0&amp;query=any,contains,991001381169702656","Catalog Record")</f>
        <v/>
      </c>
      <c r="AV329">
        <f>HYPERLINK("http://www.worldcat.org/oclc/3632726","WorldCat Record")</f>
        <v/>
      </c>
      <c r="AW329" t="inlineStr">
        <is>
          <t>11807313:eng</t>
        </is>
      </c>
      <c r="AX329" t="inlineStr">
        <is>
          <t>3632726</t>
        </is>
      </c>
      <c r="AY329" t="inlineStr">
        <is>
          <t>991001381169702656</t>
        </is>
      </c>
      <c r="AZ329" t="inlineStr">
        <is>
          <t>991001381169702656</t>
        </is>
      </c>
      <c r="BA329" t="inlineStr">
        <is>
          <t>2256869580002656</t>
        </is>
      </c>
      <c r="BB329" t="inlineStr">
        <is>
          <t>BOOK</t>
        </is>
      </c>
      <c r="BE329" t="inlineStr">
        <is>
          <t>30001000462772</t>
        </is>
      </c>
      <c r="BF329" t="inlineStr">
        <is>
          <t>893727521</t>
        </is>
      </c>
    </row>
    <row r="330">
      <c r="A330" t="inlineStr">
        <is>
          <t>No</t>
        </is>
      </c>
      <c r="B330" t="inlineStr">
        <is>
          <t>CUHSL</t>
        </is>
      </c>
      <c r="C330" t="inlineStr">
        <is>
          <t>SHELVES</t>
        </is>
      </c>
      <c r="D330" t="inlineStr">
        <is>
          <t>WY 18 N964p 1975</t>
        </is>
      </c>
      <c r="E330" t="inlineStr">
        <is>
          <t>0                      WY 0018000N  964p        1975</t>
        </is>
      </c>
      <c r="F330" t="inlineStr">
        <is>
          <t>Pediatric nurse practitioner preparation in a graduate program / Katherine B. Nuckolls, Judith Deborah Ferholt, Roberta S. O'Grady.</t>
        </is>
      </c>
      <c r="H330" t="inlineStr">
        <is>
          <t>No</t>
        </is>
      </c>
      <c r="I330" t="inlineStr">
        <is>
          <t>1</t>
        </is>
      </c>
      <c r="J330" t="inlineStr">
        <is>
          <t>No</t>
        </is>
      </c>
      <c r="K330" t="inlineStr">
        <is>
          <t>No</t>
        </is>
      </c>
      <c r="L330" t="inlineStr">
        <is>
          <t>0</t>
        </is>
      </c>
      <c r="M330" t="inlineStr">
        <is>
          <t>Nuckolls, Katherine Buckley, 1916-</t>
        </is>
      </c>
      <c r="N330" t="inlineStr">
        <is>
          <t>New York : National League for Nursing, c1975.</t>
        </is>
      </c>
      <c r="O330" t="inlineStr">
        <is>
          <t>1975</t>
        </is>
      </c>
      <c r="Q330" t="inlineStr">
        <is>
          <t>eng</t>
        </is>
      </c>
      <c r="R330" t="inlineStr">
        <is>
          <t xml:space="preserve">xx </t>
        </is>
      </c>
      <c r="S330" t="inlineStr">
        <is>
          <t>League exchange, no. 105</t>
        </is>
      </c>
      <c r="T330" t="inlineStr">
        <is>
          <t xml:space="preserve">WY </t>
        </is>
      </c>
      <c r="U330" t="n">
        <v>1</v>
      </c>
      <c r="V330" t="n">
        <v>1</v>
      </c>
      <c r="W330" t="inlineStr">
        <is>
          <t>1990-04-20</t>
        </is>
      </c>
      <c r="X330" t="inlineStr">
        <is>
          <t>1990-04-20</t>
        </is>
      </c>
      <c r="Y330" t="inlineStr">
        <is>
          <t>1987-10-21</t>
        </is>
      </c>
      <c r="Z330" t="inlineStr">
        <is>
          <t>1987-10-21</t>
        </is>
      </c>
      <c r="AA330" t="n">
        <v>62</v>
      </c>
      <c r="AB330" t="n">
        <v>53</v>
      </c>
      <c r="AC330" t="n">
        <v>54</v>
      </c>
      <c r="AD330" t="n">
        <v>2</v>
      </c>
      <c r="AE330" t="n">
        <v>2</v>
      </c>
      <c r="AF330" t="n">
        <v>3</v>
      </c>
      <c r="AG330" t="n">
        <v>3</v>
      </c>
      <c r="AH330" t="n">
        <v>0</v>
      </c>
      <c r="AI330" t="n">
        <v>0</v>
      </c>
      <c r="AJ330" t="n">
        <v>0</v>
      </c>
      <c r="AK330" t="n">
        <v>0</v>
      </c>
      <c r="AL330" t="n">
        <v>2</v>
      </c>
      <c r="AM330" t="n">
        <v>2</v>
      </c>
      <c r="AN330" t="n">
        <v>1</v>
      </c>
      <c r="AO330" t="n">
        <v>1</v>
      </c>
      <c r="AP330" t="n">
        <v>0</v>
      </c>
      <c r="AQ330" t="n">
        <v>0</v>
      </c>
      <c r="AR330" t="inlineStr">
        <is>
          <t>No</t>
        </is>
      </c>
      <c r="AS330" t="inlineStr">
        <is>
          <t>No</t>
        </is>
      </c>
      <c r="AU330">
        <f>HYPERLINK("https://creighton-primo.hosted.exlibrisgroup.com/primo-explore/search?tab=default_tab&amp;search_scope=EVERYTHING&amp;vid=01CRU&amp;lang=en_US&amp;offset=0&amp;query=any,contains,991001368939702656","Catalog Record")</f>
        <v/>
      </c>
      <c r="AV330">
        <f>HYPERLINK("http://www.worldcat.org/oclc/1315779","WorldCat Record")</f>
        <v/>
      </c>
      <c r="AW330" t="inlineStr">
        <is>
          <t>1788955834:eng</t>
        </is>
      </c>
      <c r="AX330" t="inlineStr">
        <is>
          <t>1315779</t>
        </is>
      </c>
      <c r="AY330" t="inlineStr">
        <is>
          <t>991001368939702656</t>
        </is>
      </c>
      <c r="AZ330" t="inlineStr">
        <is>
          <t>991001368939702656</t>
        </is>
      </c>
      <c r="BA330" t="inlineStr">
        <is>
          <t>2267646130002656</t>
        </is>
      </c>
      <c r="BB330" t="inlineStr">
        <is>
          <t>BOOK</t>
        </is>
      </c>
      <c r="BE330" t="inlineStr">
        <is>
          <t>30001000461576</t>
        </is>
      </c>
      <c r="BF330" t="inlineStr">
        <is>
          <t>893161918</t>
        </is>
      </c>
    </row>
    <row r="331">
      <c r="A331" t="inlineStr">
        <is>
          <t>No</t>
        </is>
      </c>
      <c r="B331" t="inlineStr">
        <is>
          <t>CUHSL</t>
        </is>
      </c>
      <c r="C331" t="inlineStr">
        <is>
          <t>SHELVES</t>
        </is>
      </c>
      <c r="D331" t="inlineStr">
        <is>
          <t>WY 18 N974 1996</t>
        </is>
      </c>
      <c r="E331" t="inlineStr">
        <is>
          <t>0                      WY 0018000N  974         1996</t>
        </is>
      </c>
      <c r="F331" t="inlineStr">
        <is>
          <t>Nursing datasource 1996. Volume III. Focus on practical/vocational nursing / NLN Center of Research.</t>
        </is>
      </c>
      <c r="G331" t="inlineStr">
        <is>
          <t>V. 3</t>
        </is>
      </c>
      <c r="H331" t="inlineStr">
        <is>
          <t>No</t>
        </is>
      </c>
      <c r="I331" t="inlineStr">
        <is>
          <t>1</t>
        </is>
      </c>
      <c r="J331" t="inlineStr">
        <is>
          <t>No</t>
        </is>
      </c>
      <c r="K331" t="inlineStr">
        <is>
          <t>No</t>
        </is>
      </c>
      <c r="L331" t="inlineStr">
        <is>
          <t>0</t>
        </is>
      </c>
      <c r="N331" t="inlineStr">
        <is>
          <t>New York : National League for Nursing, c1996.</t>
        </is>
      </c>
      <c r="O331" t="inlineStr">
        <is>
          <t>1996</t>
        </is>
      </c>
      <c r="Q331" t="inlineStr">
        <is>
          <t>eng</t>
        </is>
      </c>
      <c r="R331" t="inlineStr">
        <is>
          <t>nyu</t>
        </is>
      </c>
      <c r="S331" t="inlineStr">
        <is>
          <t>NLN pub. no.19-6959</t>
        </is>
      </c>
      <c r="T331" t="inlineStr">
        <is>
          <t xml:space="preserve">WY </t>
        </is>
      </c>
      <c r="U331" t="n">
        <v>0</v>
      </c>
      <c r="V331" t="n">
        <v>0</v>
      </c>
      <c r="W331" t="inlineStr">
        <is>
          <t>2002-07-21</t>
        </is>
      </c>
      <c r="X331" t="inlineStr">
        <is>
          <t>2002-07-21</t>
        </is>
      </c>
      <c r="Y331" t="inlineStr">
        <is>
          <t>2000-06-15</t>
        </is>
      </c>
      <c r="Z331" t="inlineStr">
        <is>
          <t>2000-06-15</t>
        </is>
      </c>
      <c r="AA331" t="n">
        <v>16</v>
      </c>
      <c r="AB331" t="n">
        <v>15</v>
      </c>
      <c r="AC331" t="n">
        <v>15</v>
      </c>
      <c r="AD331" t="n">
        <v>2</v>
      </c>
      <c r="AE331" t="n">
        <v>2</v>
      </c>
      <c r="AF331" t="n">
        <v>2</v>
      </c>
      <c r="AG331" t="n">
        <v>2</v>
      </c>
      <c r="AH331" t="n">
        <v>1</v>
      </c>
      <c r="AI331" t="n">
        <v>1</v>
      </c>
      <c r="AJ331" t="n">
        <v>1</v>
      </c>
      <c r="AK331" t="n">
        <v>1</v>
      </c>
      <c r="AL331" t="n">
        <v>0</v>
      </c>
      <c r="AM331" t="n">
        <v>0</v>
      </c>
      <c r="AN331" t="n">
        <v>0</v>
      </c>
      <c r="AO331" t="n">
        <v>0</v>
      </c>
      <c r="AP331" t="n">
        <v>0</v>
      </c>
      <c r="AQ331" t="n">
        <v>0</v>
      </c>
      <c r="AR331" t="inlineStr">
        <is>
          <t>No</t>
        </is>
      </c>
      <c r="AS331" t="inlineStr">
        <is>
          <t>No</t>
        </is>
      </c>
      <c r="AU331">
        <f>HYPERLINK("https://creighton-primo.hosted.exlibrisgroup.com/primo-explore/search?tab=default_tab&amp;search_scope=EVERYTHING&amp;vid=01CRU&amp;lang=en_US&amp;offset=0&amp;query=any,contains,991000265979702656","Catalog Record")</f>
        <v/>
      </c>
      <c r="AV331">
        <f>HYPERLINK("http://www.worldcat.org/oclc/36827489","WorldCat Record")</f>
        <v/>
      </c>
      <c r="AW331" t="inlineStr">
        <is>
          <t>41288461:eng</t>
        </is>
      </c>
      <c r="AX331" t="inlineStr">
        <is>
          <t>36827489</t>
        </is>
      </c>
      <c r="AY331" t="inlineStr">
        <is>
          <t>991000265979702656</t>
        </is>
      </c>
      <c r="AZ331" t="inlineStr">
        <is>
          <t>991000265979702656</t>
        </is>
      </c>
      <c r="BA331" t="inlineStr">
        <is>
          <t>2271080200002656</t>
        </is>
      </c>
      <c r="BB331" t="inlineStr">
        <is>
          <t>BOOK</t>
        </is>
      </c>
      <c r="BD331" t="inlineStr">
        <is>
          <t>9780887376955</t>
        </is>
      </c>
      <c r="BE331" t="inlineStr">
        <is>
          <t>30001003592583</t>
        </is>
      </c>
      <c r="BF331" t="inlineStr">
        <is>
          <t>893466169</t>
        </is>
      </c>
    </row>
    <row r="332">
      <c r="A332" t="inlineStr">
        <is>
          <t>No</t>
        </is>
      </c>
      <c r="B332" t="inlineStr">
        <is>
          <t>CUHSL</t>
        </is>
      </c>
      <c r="C332" t="inlineStr">
        <is>
          <t>SHELVES</t>
        </is>
      </c>
      <c r="D332" t="inlineStr">
        <is>
          <t>WY 18 N974 1997</t>
        </is>
      </c>
      <c r="E332" t="inlineStr">
        <is>
          <t>0                      WY 0018000N  974         1997</t>
        </is>
      </c>
      <c r="F332" t="inlineStr">
        <is>
          <t>Nursing data review 1997.</t>
        </is>
      </c>
      <c r="H332" t="inlineStr">
        <is>
          <t>No</t>
        </is>
      </c>
      <c r="I332" t="inlineStr">
        <is>
          <t>1</t>
        </is>
      </c>
      <c r="J332" t="inlineStr">
        <is>
          <t>No</t>
        </is>
      </c>
      <c r="K332" t="inlineStr">
        <is>
          <t>No</t>
        </is>
      </c>
      <c r="L332" t="inlineStr">
        <is>
          <t>0</t>
        </is>
      </c>
      <c r="N332" t="inlineStr">
        <is>
          <t>New York : Center for Research in Nursing Education and Community Health, National League for Nursing Press, c1997.</t>
        </is>
      </c>
      <c r="O332" t="inlineStr">
        <is>
          <t>1997</t>
        </is>
      </c>
      <c r="Q332" t="inlineStr">
        <is>
          <t>eng</t>
        </is>
      </c>
      <c r="R332" t="inlineStr">
        <is>
          <t>nyu</t>
        </is>
      </c>
      <c r="S332" t="inlineStr">
        <is>
          <t>NLN pub. no. 19-7327</t>
        </is>
      </c>
      <c r="T332" t="inlineStr">
        <is>
          <t xml:space="preserve">WY </t>
        </is>
      </c>
      <c r="U332" t="n">
        <v>6</v>
      </c>
      <c r="V332" t="n">
        <v>6</v>
      </c>
      <c r="W332" t="inlineStr">
        <is>
          <t>1997-10-06</t>
        </is>
      </c>
      <c r="X332" t="inlineStr">
        <is>
          <t>1997-10-06</t>
        </is>
      </c>
      <c r="Y332" t="inlineStr">
        <is>
          <t>1997-10-06</t>
        </is>
      </c>
      <c r="Z332" t="inlineStr">
        <is>
          <t>1997-10-06</t>
        </is>
      </c>
      <c r="AA332" t="n">
        <v>31</v>
      </c>
      <c r="AB332" t="n">
        <v>21</v>
      </c>
      <c r="AC332" t="n">
        <v>21</v>
      </c>
      <c r="AD332" t="n">
        <v>1</v>
      </c>
      <c r="AE332" t="n">
        <v>1</v>
      </c>
      <c r="AF332" t="n">
        <v>3</v>
      </c>
      <c r="AG332" t="n">
        <v>3</v>
      </c>
      <c r="AH332" t="n">
        <v>2</v>
      </c>
      <c r="AI332" t="n">
        <v>2</v>
      </c>
      <c r="AJ332" t="n">
        <v>0</v>
      </c>
      <c r="AK332" t="n">
        <v>0</v>
      </c>
      <c r="AL332" t="n">
        <v>1</v>
      </c>
      <c r="AM332" t="n">
        <v>1</v>
      </c>
      <c r="AN332" t="n">
        <v>0</v>
      </c>
      <c r="AO332" t="n">
        <v>0</v>
      </c>
      <c r="AP332" t="n">
        <v>0</v>
      </c>
      <c r="AQ332" t="n">
        <v>0</v>
      </c>
      <c r="AR332" t="inlineStr">
        <is>
          <t>No</t>
        </is>
      </c>
      <c r="AS332" t="inlineStr">
        <is>
          <t>No</t>
        </is>
      </c>
      <c r="AU332">
        <f>HYPERLINK("https://creighton-primo.hosted.exlibrisgroup.com/primo-explore/search?tab=default_tab&amp;search_scope=EVERYTHING&amp;vid=01CRU&amp;lang=en_US&amp;offset=0&amp;query=any,contains,991000267589702656","Catalog Record")</f>
        <v/>
      </c>
      <c r="AV332">
        <f>HYPERLINK("http://www.worldcat.org/oclc/37823259","WorldCat Record")</f>
        <v/>
      </c>
      <c r="AW332" t="inlineStr">
        <is>
          <t>44147552:eng</t>
        </is>
      </c>
      <c r="AX332" t="inlineStr">
        <is>
          <t>37823259</t>
        </is>
      </c>
      <c r="AY332" t="inlineStr">
        <is>
          <t>991000267589702656</t>
        </is>
      </c>
      <c r="AZ332" t="inlineStr">
        <is>
          <t>991000267589702656</t>
        </is>
      </c>
      <c r="BA332" t="inlineStr">
        <is>
          <t>2270631230002656</t>
        </is>
      </c>
      <c r="BB332" t="inlineStr">
        <is>
          <t>BOOK</t>
        </is>
      </c>
      <c r="BD332" t="inlineStr">
        <is>
          <t>9780887377327</t>
        </is>
      </c>
      <c r="BE332" t="inlineStr">
        <is>
          <t>30001003603083</t>
        </is>
      </c>
      <c r="BF332" t="inlineStr">
        <is>
          <t>893644033</t>
        </is>
      </c>
    </row>
    <row r="333">
      <c r="A333" t="inlineStr">
        <is>
          <t>No</t>
        </is>
      </c>
      <c r="B333" t="inlineStr">
        <is>
          <t>CUHSL</t>
        </is>
      </c>
      <c r="C333" t="inlineStr">
        <is>
          <t>SHELVES</t>
        </is>
      </c>
      <c r="D333" t="inlineStr">
        <is>
          <t>WY 18 N9741 1996 v.1</t>
        </is>
      </c>
      <c r="E333" t="inlineStr">
        <is>
          <t>0                      WY 0018000N  9741        1996                                        v.1</t>
        </is>
      </c>
      <c r="F333" t="inlineStr">
        <is>
          <t>Nursing datasource 1996.</t>
        </is>
      </c>
      <c r="G333" t="inlineStr">
        <is>
          <t>V.1</t>
        </is>
      </c>
      <c r="H333" t="inlineStr">
        <is>
          <t>No</t>
        </is>
      </c>
      <c r="I333" t="inlineStr">
        <is>
          <t>1</t>
        </is>
      </c>
      <c r="J333" t="inlineStr">
        <is>
          <t>No</t>
        </is>
      </c>
      <c r="K333" t="inlineStr">
        <is>
          <t>No</t>
        </is>
      </c>
      <c r="L333" t="inlineStr">
        <is>
          <t>0</t>
        </is>
      </c>
      <c r="N333" t="inlineStr">
        <is>
          <t>New York : National League for Nursing, Center for Research in Nursing Education and Community Health, c1996.</t>
        </is>
      </c>
      <c r="O333" t="inlineStr">
        <is>
          <t>1996</t>
        </is>
      </c>
      <c r="Q333" t="inlineStr">
        <is>
          <t>eng</t>
        </is>
      </c>
      <c r="R333" t="inlineStr">
        <is>
          <t>nyu</t>
        </is>
      </c>
      <c r="S333" t="inlineStr">
        <is>
          <t>NLN pub. no. 19-6932</t>
        </is>
      </c>
      <c r="T333" t="inlineStr">
        <is>
          <t xml:space="preserve">WY </t>
        </is>
      </c>
      <c r="U333" t="n">
        <v>0</v>
      </c>
      <c r="V333" t="n">
        <v>0</v>
      </c>
      <c r="W333" t="inlineStr">
        <is>
          <t>2002-07-21</t>
        </is>
      </c>
      <c r="X333" t="inlineStr">
        <is>
          <t>2002-07-21</t>
        </is>
      </c>
      <c r="Y333" t="inlineStr">
        <is>
          <t>2000-06-15</t>
        </is>
      </c>
      <c r="Z333" t="inlineStr">
        <is>
          <t>2000-06-15</t>
        </is>
      </c>
      <c r="AA333" t="n">
        <v>27</v>
      </c>
      <c r="AB333" t="n">
        <v>26</v>
      </c>
      <c r="AC333" t="n">
        <v>26</v>
      </c>
      <c r="AD333" t="n">
        <v>2</v>
      </c>
      <c r="AE333" t="n">
        <v>2</v>
      </c>
      <c r="AF333" t="n">
        <v>2</v>
      </c>
      <c r="AG333" t="n">
        <v>2</v>
      </c>
      <c r="AH333" t="n">
        <v>1</v>
      </c>
      <c r="AI333" t="n">
        <v>1</v>
      </c>
      <c r="AJ333" t="n">
        <v>0</v>
      </c>
      <c r="AK333" t="n">
        <v>0</v>
      </c>
      <c r="AL333" t="n">
        <v>1</v>
      </c>
      <c r="AM333" t="n">
        <v>1</v>
      </c>
      <c r="AN333" t="n">
        <v>0</v>
      </c>
      <c r="AO333" t="n">
        <v>0</v>
      </c>
      <c r="AP333" t="n">
        <v>0</v>
      </c>
      <c r="AQ333" t="n">
        <v>0</v>
      </c>
      <c r="AR333" t="inlineStr">
        <is>
          <t>No</t>
        </is>
      </c>
      <c r="AS333" t="inlineStr">
        <is>
          <t>No</t>
        </is>
      </c>
      <c r="AU333">
        <f>HYPERLINK("https://creighton-primo.hosted.exlibrisgroup.com/primo-explore/search?tab=default_tab&amp;search_scope=EVERYTHING&amp;vid=01CRU&amp;lang=en_US&amp;offset=0&amp;query=any,contains,991000263899702656","Catalog Record")</f>
        <v/>
      </c>
      <c r="AV333">
        <f>HYPERLINK("http://www.worldcat.org/oclc/35845439","WorldCat Record")</f>
        <v/>
      </c>
      <c r="AW333" t="inlineStr">
        <is>
          <t>3373557705:eng</t>
        </is>
      </c>
      <c r="AX333" t="inlineStr">
        <is>
          <t>35845439</t>
        </is>
      </c>
      <c r="AY333" t="inlineStr">
        <is>
          <t>991000263899702656</t>
        </is>
      </c>
      <c r="AZ333" t="inlineStr">
        <is>
          <t>991000263899702656</t>
        </is>
      </c>
      <c r="BA333" t="inlineStr">
        <is>
          <t>2265494830002656</t>
        </is>
      </c>
      <c r="BB333" t="inlineStr">
        <is>
          <t>BOOK</t>
        </is>
      </c>
      <c r="BD333" t="inlineStr">
        <is>
          <t>9780887376931</t>
        </is>
      </c>
      <c r="BE333" t="inlineStr">
        <is>
          <t>30001003733286</t>
        </is>
      </c>
      <c r="BF333" t="inlineStr">
        <is>
          <t>893547559</t>
        </is>
      </c>
    </row>
    <row r="334">
      <c r="A334" t="inlineStr">
        <is>
          <t>No</t>
        </is>
      </c>
      <c r="B334" t="inlineStr">
        <is>
          <t>CUHSL</t>
        </is>
      </c>
      <c r="C334" t="inlineStr">
        <is>
          <t>SHELVES</t>
        </is>
      </c>
      <c r="D334" t="inlineStr">
        <is>
          <t>WY 18 N9745 1988</t>
        </is>
      </c>
      <c r="E334" t="inlineStr">
        <is>
          <t>0                      WY 0018000N  9745        1988</t>
        </is>
      </c>
      <c r="F334" t="inlineStr">
        <is>
          <t>Nursing data review, 1988.</t>
        </is>
      </c>
      <c r="H334" t="inlineStr">
        <is>
          <t>No</t>
        </is>
      </c>
      <c r="I334" t="inlineStr">
        <is>
          <t>1</t>
        </is>
      </c>
      <c r="J334" t="inlineStr">
        <is>
          <t>No</t>
        </is>
      </c>
      <c r="K334" t="inlineStr">
        <is>
          <t>No</t>
        </is>
      </c>
      <c r="L334" t="inlineStr">
        <is>
          <t>0</t>
        </is>
      </c>
      <c r="N334" t="inlineStr">
        <is>
          <t>New York : Division of Public Policy and Research, National League for Nursing, c1989.</t>
        </is>
      </c>
      <c r="O334" t="inlineStr">
        <is>
          <t>1989</t>
        </is>
      </c>
      <c r="Q334" t="inlineStr">
        <is>
          <t>eng</t>
        </is>
      </c>
      <c r="R334" t="inlineStr">
        <is>
          <t>nyu</t>
        </is>
      </c>
      <c r="S334" t="inlineStr">
        <is>
          <t>NLN pub. no. 19-2290</t>
        </is>
      </c>
      <c r="T334" t="inlineStr">
        <is>
          <t xml:space="preserve">WY </t>
        </is>
      </c>
      <c r="U334" t="n">
        <v>3</v>
      </c>
      <c r="V334" t="n">
        <v>3</v>
      </c>
      <c r="W334" t="inlineStr">
        <is>
          <t>1993-05-18</t>
        </is>
      </c>
      <c r="X334" t="inlineStr">
        <is>
          <t>1993-05-18</t>
        </is>
      </c>
      <c r="Y334" t="inlineStr">
        <is>
          <t>1989-05-31</t>
        </is>
      </c>
      <c r="Z334" t="inlineStr">
        <is>
          <t>1989-05-31</t>
        </is>
      </c>
      <c r="AA334" t="n">
        <v>21</v>
      </c>
      <c r="AB334" t="n">
        <v>18</v>
      </c>
      <c r="AC334" t="n">
        <v>18</v>
      </c>
      <c r="AD334" t="n">
        <v>1</v>
      </c>
      <c r="AE334" t="n">
        <v>1</v>
      </c>
      <c r="AF334" t="n">
        <v>0</v>
      </c>
      <c r="AG334" t="n">
        <v>0</v>
      </c>
      <c r="AH334" t="n">
        <v>0</v>
      </c>
      <c r="AI334" t="n">
        <v>0</v>
      </c>
      <c r="AJ334" t="n">
        <v>0</v>
      </c>
      <c r="AK334" t="n">
        <v>0</v>
      </c>
      <c r="AL334" t="n">
        <v>0</v>
      </c>
      <c r="AM334" t="n">
        <v>0</v>
      </c>
      <c r="AN334" t="n">
        <v>0</v>
      </c>
      <c r="AO334" t="n">
        <v>0</v>
      </c>
      <c r="AP334" t="n">
        <v>0</v>
      </c>
      <c r="AQ334" t="n">
        <v>0</v>
      </c>
      <c r="AR334" t="inlineStr">
        <is>
          <t>No</t>
        </is>
      </c>
      <c r="AS334" t="inlineStr">
        <is>
          <t>No</t>
        </is>
      </c>
      <c r="AU334">
        <f>HYPERLINK("https://creighton-primo.hosted.exlibrisgroup.com/primo-explore/search?tab=default_tab&amp;search_scope=EVERYTHING&amp;vid=01CRU&amp;lang=en_US&amp;offset=0&amp;query=any,contains,991001248869702656","Catalog Record")</f>
        <v/>
      </c>
      <c r="AV334">
        <f>HYPERLINK("http://www.worldcat.org/oclc/19715395","WorldCat Record")</f>
        <v/>
      </c>
      <c r="AW334" t="inlineStr">
        <is>
          <t>4794555163:eng</t>
        </is>
      </c>
      <c r="AX334" t="inlineStr">
        <is>
          <t>19715395</t>
        </is>
      </c>
      <c r="AY334" t="inlineStr">
        <is>
          <t>991001248869702656</t>
        </is>
      </c>
      <c r="AZ334" t="inlineStr">
        <is>
          <t>991001248869702656</t>
        </is>
      </c>
      <c r="BA334" t="inlineStr">
        <is>
          <t>2260663690002656</t>
        </is>
      </c>
      <c r="BB334" t="inlineStr">
        <is>
          <t>BOOK</t>
        </is>
      </c>
      <c r="BD334" t="inlineStr">
        <is>
          <t>9780887374524</t>
        </is>
      </c>
      <c r="BE334" t="inlineStr">
        <is>
          <t>30001001678368</t>
        </is>
      </c>
      <c r="BF334" t="inlineStr">
        <is>
          <t>893834614</t>
        </is>
      </c>
    </row>
    <row r="335">
      <c r="A335" t="inlineStr">
        <is>
          <t>No</t>
        </is>
      </c>
      <c r="B335" t="inlineStr">
        <is>
          <t>CUHSL</t>
        </is>
      </c>
      <c r="C335" t="inlineStr">
        <is>
          <t>SHELVES</t>
        </is>
      </c>
      <c r="D335" t="inlineStr">
        <is>
          <t>WY 18 N9745 1991</t>
        </is>
      </c>
      <c r="E335" t="inlineStr">
        <is>
          <t>0                      WY 0018000N  9745        1991</t>
        </is>
      </c>
      <c r="F335" t="inlineStr">
        <is>
          <t>Nursing datasource 1991. Volume II. focus on practical/vocational nursing / NLN Division of Research.</t>
        </is>
      </c>
      <c r="G335" t="inlineStr">
        <is>
          <t>V. 2</t>
        </is>
      </c>
      <c r="H335" t="inlineStr">
        <is>
          <t>No</t>
        </is>
      </c>
      <c r="I335" t="inlineStr">
        <is>
          <t>1</t>
        </is>
      </c>
      <c r="J335" t="inlineStr">
        <is>
          <t>No</t>
        </is>
      </c>
      <c r="K335" t="inlineStr">
        <is>
          <t>No</t>
        </is>
      </c>
      <c r="L335" t="inlineStr">
        <is>
          <t>0</t>
        </is>
      </c>
      <c r="N335" t="inlineStr">
        <is>
          <t>New York : National League for Nursing, c1991.</t>
        </is>
      </c>
      <c r="O335" t="inlineStr">
        <is>
          <t>1991</t>
        </is>
      </c>
      <c r="Q335" t="inlineStr">
        <is>
          <t>eng</t>
        </is>
      </c>
      <c r="R335" t="inlineStr">
        <is>
          <t>nyu</t>
        </is>
      </c>
      <c r="S335" t="inlineStr">
        <is>
          <t>NLN pub. no. 19-2421.</t>
        </is>
      </c>
      <c r="T335" t="inlineStr">
        <is>
          <t xml:space="preserve">WY </t>
        </is>
      </c>
      <c r="U335" t="n">
        <v>0</v>
      </c>
      <c r="V335" t="n">
        <v>0</v>
      </c>
      <c r="W335" t="inlineStr">
        <is>
          <t>2003-03-26</t>
        </is>
      </c>
      <c r="X335" t="inlineStr">
        <is>
          <t>2003-03-26</t>
        </is>
      </c>
      <c r="Y335" t="inlineStr">
        <is>
          <t>2000-06-15</t>
        </is>
      </c>
      <c r="Z335" t="inlineStr">
        <is>
          <t>2000-06-15</t>
        </is>
      </c>
      <c r="AA335" t="n">
        <v>13</v>
      </c>
      <c r="AB335" t="n">
        <v>12</v>
      </c>
      <c r="AC335" t="n">
        <v>12</v>
      </c>
      <c r="AD335" t="n">
        <v>1</v>
      </c>
      <c r="AE335" t="n">
        <v>1</v>
      </c>
      <c r="AF335" t="n">
        <v>0</v>
      </c>
      <c r="AG335" t="n">
        <v>0</v>
      </c>
      <c r="AH335" t="n">
        <v>0</v>
      </c>
      <c r="AI335" t="n">
        <v>0</v>
      </c>
      <c r="AJ335" t="n">
        <v>0</v>
      </c>
      <c r="AK335" t="n">
        <v>0</v>
      </c>
      <c r="AL335" t="n">
        <v>0</v>
      </c>
      <c r="AM335" t="n">
        <v>0</v>
      </c>
      <c r="AN335" t="n">
        <v>0</v>
      </c>
      <c r="AO335" t="n">
        <v>0</v>
      </c>
      <c r="AP335" t="n">
        <v>0</v>
      </c>
      <c r="AQ335" t="n">
        <v>0</v>
      </c>
      <c r="AR335" t="inlineStr">
        <is>
          <t>No</t>
        </is>
      </c>
      <c r="AS335" t="inlineStr">
        <is>
          <t>No</t>
        </is>
      </c>
      <c r="AU335">
        <f>HYPERLINK("https://creighton-primo.hosted.exlibrisgroup.com/primo-explore/search?tab=default_tab&amp;search_scope=EVERYTHING&amp;vid=01CRU&amp;lang=en_US&amp;offset=0&amp;query=any,contains,991000230829702656","Catalog Record")</f>
        <v/>
      </c>
      <c r="AV335">
        <f>HYPERLINK("http://www.worldcat.org/oclc/24570784","WorldCat Record")</f>
        <v/>
      </c>
      <c r="AW335" t="inlineStr">
        <is>
          <t>3377223836:eng</t>
        </is>
      </c>
      <c r="AX335" t="inlineStr">
        <is>
          <t>24570784</t>
        </is>
      </c>
      <c r="AY335" t="inlineStr">
        <is>
          <t>991000230829702656</t>
        </is>
      </c>
      <c r="AZ335" t="inlineStr">
        <is>
          <t>991000230829702656</t>
        </is>
      </c>
      <c r="BA335" t="inlineStr">
        <is>
          <t>2257387230002656</t>
        </is>
      </c>
      <c r="BB335" t="inlineStr">
        <is>
          <t>BOOK</t>
        </is>
      </c>
      <c r="BD335" t="inlineStr">
        <is>
          <t>9780887375323</t>
        </is>
      </c>
      <c r="BE335" t="inlineStr">
        <is>
          <t>30001002276378</t>
        </is>
      </c>
      <c r="BF335" t="inlineStr">
        <is>
          <t>893456488</t>
        </is>
      </c>
    </row>
    <row r="336">
      <c r="A336" t="inlineStr">
        <is>
          <t>No</t>
        </is>
      </c>
      <c r="B336" t="inlineStr">
        <is>
          <t>CUHSL</t>
        </is>
      </c>
      <c r="C336" t="inlineStr">
        <is>
          <t>SHELVES</t>
        </is>
      </c>
      <c r="D336" t="inlineStr">
        <is>
          <t>WY 18 N9745 1992 v.1</t>
        </is>
      </c>
      <c r="E336" t="inlineStr">
        <is>
          <t>0                      WY 0018000N  9745        1992                                        v.1</t>
        </is>
      </c>
      <c r="F336" t="inlineStr">
        <is>
          <t>Nursing datasource 1992 / NLN Division of Research.</t>
        </is>
      </c>
      <c r="G336" t="inlineStr">
        <is>
          <t>V.1</t>
        </is>
      </c>
      <c r="H336" t="inlineStr">
        <is>
          <t>No</t>
        </is>
      </c>
      <c r="I336" t="inlineStr">
        <is>
          <t>1</t>
        </is>
      </c>
      <c r="J336" t="inlineStr">
        <is>
          <t>No</t>
        </is>
      </c>
      <c r="K336" t="inlineStr">
        <is>
          <t>No</t>
        </is>
      </c>
      <c r="L336" t="inlineStr">
        <is>
          <t>0</t>
        </is>
      </c>
      <c r="N336" t="inlineStr">
        <is>
          <t>New York : National League for Nursing. Division of Research, c1992.</t>
        </is>
      </c>
      <c r="O336" t="inlineStr">
        <is>
          <t>1992</t>
        </is>
      </c>
      <c r="Q336" t="inlineStr">
        <is>
          <t>eng</t>
        </is>
      </c>
      <c r="R336" t="inlineStr">
        <is>
          <t>nyu</t>
        </is>
      </c>
      <c r="S336" t="inlineStr">
        <is>
          <t>NLN pub. no. 19-2480.</t>
        </is>
      </c>
      <c r="T336" t="inlineStr">
        <is>
          <t xml:space="preserve">WY </t>
        </is>
      </c>
      <c r="U336" t="n">
        <v>3</v>
      </c>
      <c r="V336" t="n">
        <v>3</v>
      </c>
      <c r="W336" t="inlineStr">
        <is>
          <t>1992-09-09</t>
        </is>
      </c>
      <c r="X336" t="inlineStr">
        <is>
          <t>1992-09-09</t>
        </is>
      </c>
      <c r="Y336" t="inlineStr">
        <is>
          <t>1992-09-09</t>
        </is>
      </c>
      <c r="Z336" t="inlineStr">
        <is>
          <t>1992-09-09</t>
        </is>
      </c>
      <c r="AA336" t="n">
        <v>39</v>
      </c>
      <c r="AB336" t="n">
        <v>35</v>
      </c>
      <c r="AC336" t="n">
        <v>35</v>
      </c>
      <c r="AD336" t="n">
        <v>2</v>
      </c>
      <c r="AE336" t="n">
        <v>2</v>
      </c>
      <c r="AF336" t="n">
        <v>0</v>
      </c>
      <c r="AG336" t="n">
        <v>0</v>
      </c>
      <c r="AH336" t="n">
        <v>0</v>
      </c>
      <c r="AI336" t="n">
        <v>0</v>
      </c>
      <c r="AJ336" t="n">
        <v>0</v>
      </c>
      <c r="AK336" t="n">
        <v>0</v>
      </c>
      <c r="AL336" t="n">
        <v>0</v>
      </c>
      <c r="AM336" t="n">
        <v>0</v>
      </c>
      <c r="AN336" t="n">
        <v>0</v>
      </c>
      <c r="AO336" t="n">
        <v>0</v>
      </c>
      <c r="AP336" t="n">
        <v>0</v>
      </c>
      <c r="AQ336" t="n">
        <v>0</v>
      </c>
      <c r="AR336" t="inlineStr">
        <is>
          <t>No</t>
        </is>
      </c>
      <c r="AS336" t="inlineStr">
        <is>
          <t>No</t>
        </is>
      </c>
      <c r="AU336">
        <f>HYPERLINK("https://creighton-primo.hosted.exlibrisgroup.com/primo-explore/search?tab=default_tab&amp;search_scope=EVERYTHING&amp;vid=01CRU&amp;lang=en_US&amp;offset=0&amp;query=any,contains,991001406169702656","Catalog Record")</f>
        <v/>
      </c>
      <c r="AV336">
        <f>HYPERLINK("http://www.worldcat.org/oclc/27448396","WorldCat Record")</f>
        <v/>
      </c>
      <c r="AW336" t="inlineStr">
        <is>
          <t>1780514563:eng</t>
        </is>
      </c>
      <c r="AX336" t="inlineStr">
        <is>
          <t>27448396</t>
        </is>
      </c>
      <c r="AY336" t="inlineStr">
        <is>
          <t>991001406169702656</t>
        </is>
      </c>
      <c r="AZ336" t="inlineStr">
        <is>
          <t>991001406169702656</t>
        </is>
      </c>
      <c r="BA336" t="inlineStr">
        <is>
          <t>2264551510002656</t>
        </is>
      </c>
      <c r="BB336" t="inlineStr">
        <is>
          <t>BOOK</t>
        </is>
      </c>
      <c r="BD336" t="inlineStr">
        <is>
          <t>9780887375576</t>
        </is>
      </c>
      <c r="BE336" t="inlineStr">
        <is>
          <t>30001002484493</t>
        </is>
      </c>
      <c r="BF336" t="inlineStr">
        <is>
          <t>893460534</t>
        </is>
      </c>
    </row>
    <row r="337">
      <c r="A337" t="inlineStr">
        <is>
          <t>No</t>
        </is>
      </c>
      <c r="B337" t="inlineStr">
        <is>
          <t>CUHSL</t>
        </is>
      </c>
      <c r="C337" t="inlineStr">
        <is>
          <t>SHELVES</t>
        </is>
      </c>
      <c r="D337" t="inlineStr">
        <is>
          <t>WY 18 N9747 1962</t>
        </is>
      </c>
      <c r="E337" t="inlineStr">
        <is>
          <t>0                      WY 0018000N  9747        1962</t>
        </is>
      </c>
      <c r="F337" t="inlineStr">
        <is>
          <t>Nursing education in community colleges : proceedings of the Conference on Nursing Education in Community Colleges held on November 1, 1962, at Newton Junior College, Newtonville, Mass.</t>
        </is>
      </c>
      <c r="H337" t="inlineStr">
        <is>
          <t>No</t>
        </is>
      </c>
      <c r="I337" t="inlineStr">
        <is>
          <t>1</t>
        </is>
      </c>
      <c r="J337" t="inlineStr">
        <is>
          <t>No</t>
        </is>
      </c>
      <c r="K337" t="inlineStr">
        <is>
          <t>No</t>
        </is>
      </c>
      <c r="L337" t="inlineStr">
        <is>
          <t>0</t>
        </is>
      </c>
      <c r="N337" t="inlineStr">
        <is>
          <t>New York : National League for Nursing, Dept. of Diploma and Associate Degree Programs, 1964.</t>
        </is>
      </c>
      <c r="O337" t="inlineStr">
        <is>
          <t>1962</t>
        </is>
      </c>
      <c r="Q337" t="inlineStr">
        <is>
          <t>eng</t>
        </is>
      </c>
      <c r="R337" t="inlineStr">
        <is>
          <t>nyu</t>
        </is>
      </c>
      <c r="S337" t="inlineStr">
        <is>
          <t>League exchange ; no. 68</t>
        </is>
      </c>
      <c r="T337" t="inlineStr">
        <is>
          <t xml:space="preserve">WY </t>
        </is>
      </c>
      <c r="U337" t="n">
        <v>1</v>
      </c>
      <c r="V337" t="n">
        <v>1</v>
      </c>
      <c r="W337" t="inlineStr">
        <is>
          <t>1990-09-05</t>
        </is>
      </c>
      <c r="X337" t="inlineStr">
        <is>
          <t>1990-09-05</t>
        </is>
      </c>
      <c r="Y337" t="inlineStr">
        <is>
          <t>1987-10-29</t>
        </is>
      </c>
      <c r="Z337" t="inlineStr">
        <is>
          <t>1987-10-29</t>
        </is>
      </c>
      <c r="AA337" t="n">
        <v>23</v>
      </c>
      <c r="AB337" t="n">
        <v>22</v>
      </c>
      <c r="AC337" t="n">
        <v>22</v>
      </c>
      <c r="AD337" t="n">
        <v>1</v>
      </c>
      <c r="AE337" t="n">
        <v>1</v>
      </c>
      <c r="AF337" t="n">
        <v>2</v>
      </c>
      <c r="AG337" t="n">
        <v>2</v>
      </c>
      <c r="AH337" t="n">
        <v>0</v>
      </c>
      <c r="AI337" t="n">
        <v>0</v>
      </c>
      <c r="AJ337" t="n">
        <v>0</v>
      </c>
      <c r="AK337" t="n">
        <v>0</v>
      </c>
      <c r="AL337" t="n">
        <v>2</v>
      </c>
      <c r="AM337" t="n">
        <v>2</v>
      </c>
      <c r="AN337" t="n">
        <v>0</v>
      </c>
      <c r="AO337" t="n">
        <v>0</v>
      </c>
      <c r="AP337" t="n">
        <v>0</v>
      </c>
      <c r="AQ337" t="n">
        <v>0</v>
      </c>
      <c r="AR337" t="inlineStr">
        <is>
          <t>No</t>
        </is>
      </c>
      <c r="AS337" t="inlineStr">
        <is>
          <t>No</t>
        </is>
      </c>
      <c r="AU337">
        <f>HYPERLINK("https://creighton-primo.hosted.exlibrisgroup.com/primo-explore/search?tab=default_tab&amp;search_scope=EVERYTHING&amp;vid=01CRU&amp;lang=en_US&amp;offset=0&amp;query=any,contains,991001375629702656","Catalog Record")</f>
        <v/>
      </c>
      <c r="AV337">
        <f>HYPERLINK("http://www.worldcat.org/oclc/1002385","WorldCat Record")</f>
        <v/>
      </c>
      <c r="AW337" t="inlineStr">
        <is>
          <t>4020916263:eng</t>
        </is>
      </c>
      <c r="AX337" t="inlineStr">
        <is>
          <t>1002385</t>
        </is>
      </c>
      <c r="AY337" t="inlineStr">
        <is>
          <t>991001375629702656</t>
        </is>
      </c>
      <c r="AZ337" t="inlineStr">
        <is>
          <t>991001375629702656</t>
        </is>
      </c>
      <c r="BA337" t="inlineStr">
        <is>
          <t>2257202120002656</t>
        </is>
      </c>
      <c r="BB337" t="inlineStr">
        <is>
          <t>BOOK</t>
        </is>
      </c>
      <c r="BE337" t="inlineStr">
        <is>
          <t>30001000462137</t>
        </is>
      </c>
      <c r="BF337" t="inlineStr">
        <is>
          <t>893358519</t>
        </is>
      </c>
    </row>
    <row r="338">
      <c r="A338" t="inlineStr">
        <is>
          <t>No</t>
        </is>
      </c>
      <c r="B338" t="inlineStr">
        <is>
          <t>CUHSL</t>
        </is>
      </c>
      <c r="C338" t="inlineStr">
        <is>
          <t>SHELVES</t>
        </is>
      </c>
      <c r="D338" t="inlineStr">
        <is>
          <t>WY 18 N974n 1965</t>
        </is>
      </c>
      <c r="E338" t="inlineStr">
        <is>
          <t>0                      WY 0018000N  974n        1965</t>
        </is>
      </c>
      <c r="F338" t="inlineStr">
        <is>
          <t>Nursing education, creative, continuing, experimental : papers presented at the twentieth conference of the Council of Member Agencies of the Department of Baccalaureate and Higher Degree Programs held at Philadelphia, Pennsylvania, November 10-12, 1965.</t>
        </is>
      </c>
      <c r="H338" t="inlineStr">
        <is>
          <t>No</t>
        </is>
      </c>
      <c r="I338" t="inlineStr">
        <is>
          <t>1</t>
        </is>
      </c>
      <c r="J338" t="inlineStr">
        <is>
          <t>No</t>
        </is>
      </c>
      <c r="K338" t="inlineStr">
        <is>
          <t>No</t>
        </is>
      </c>
      <c r="L338" t="inlineStr">
        <is>
          <t>0</t>
        </is>
      </c>
      <c r="N338" t="inlineStr">
        <is>
          <t>New York : National League for Nursing, Dept. of Baccalaureate and Higher Degree Programs, 1966.</t>
        </is>
      </c>
      <c r="O338" t="inlineStr">
        <is>
          <t>1966</t>
        </is>
      </c>
      <c r="Q338" t="inlineStr">
        <is>
          <t>eng</t>
        </is>
      </c>
      <c r="R338" t="inlineStr">
        <is>
          <t>nyu</t>
        </is>
      </c>
      <c r="S338" t="inlineStr">
        <is>
          <t>NLN pub. no. 15-1214</t>
        </is>
      </c>
      <c r="T338" t="inlineStr">
        <is>
          <t xml:space="preserve">WY </t>
        </is>
      </c>
      <c r="U338" t="n">
        <v>3</v>
      </c>
      <c r="V338" t="n">
        <v>3</v>
      </c>
      <c r="W338" t="inlineStr">
        <is>
          <t>1990-06-12</t>
        </is>
      </c>
      <c r="X338" t="inlineStr">
        <is>
          <t>1990-06-12</t>
        </is>
      </c>
      <c r="Y338" t="inlineStr">
        <is>
          <t>1987-10-20</t>
        </is>
      </c>
      <c r="Z338" t="inlineStr">
        <is>
          <t>1987-10-20</t>
        </is>
      </c>
      <c r="AA338" t="n">
        <v>47</v>
      </c>
      <c r="AB338" t="n">
        <v>41</v>
      </c>
      <c r="AC338" t="n">
        <v>43</v>
      </c>
      <c r="AD338" t="n">
        <v>1</v>
      </c>
      <c r="AE338" t="n">
        <v>1</v>
      </c>
      <c r="AF338" t="n">
        <v>2</v>
      </c>
      <c r="AG338" t="n">
        <v>2</v>
      </c>
      <c r="AH338" t="n">
        <v>1</v>
      </c>
      <c r="AI338" t="n">
        <v>1</v>
      </c>
      <c r="AJ338" t="n">
        <v>0</v>
      </c>
      <c r="AK338" t="n">
        <v>0</v>
      </c>
      <c r="AL338" t="n">
        <v>1</v>
      </c>
      <c r="AM338" t="n">
        <v>1</v>
      </c>
      <c r="AN338" t="n">
        <v>0</v>
      </c>
      <c r="AO338" t="n">
        <v>0</v>
      </c>
      <c r="AP338" t="n">
        <v>0</v>
      </c>
      <c r="AQ338" t="n">
        <v>0</v>
      </c>
      <c r="AR338" t="inlineStr">
        <is>
          <t>No</t>
        </is>
      </c>
      <c r="AS338" t="inlineStr">
        <is>
          <t>Yes</t>
        </is>
      </c>
      <c r="AT338">
        <f>HYPERLINK("http://catalog.hathitrust.org/Record/002072327","HathiTrust Record")</f>
        <v/>
      </c>
      <c r="AU338">
        <f>HYPERLINK("https://creighton-primo.hosted.exlibrisgroup.com/primo-explore/search?tab=default_tab&amp;search_scope=EVERYTHING&amp;vid=01CRU&amp;lang=en_US&amp;offset=0&amp;query=any,contains,991001365099702656","Catalog Record")</f>
        <v/>
      </c>
      <c r="AV338">
        <f>HYPERLINK("http://www.worldcat.org/oclc/3160731","WorldCat Record")</f>
        <v/>
      </c>
      <c r="AW338" t="inlineStr">
        <is>
          <t>7889583:eng</t>
        </is>
      </c>
      <c r="AX338" t="inlineStr">
        <is>
          <t>3160731</t>
        </is>
      </c>
      <c r="AY338" t="inlineStr">
        <is>
          <t>991001365099702656</t>
        </is>
      </c>
      <c r="AZ338" t="inlineStr">
        <is>
          <t>991001365099702656</t>
        </is>
      </c>
      <c r="BA338" t="inlineStr">
        <is>
          <t>2266703750002656</t>
        </is>
      </c>
      <c r="BB338" t="inlineStr">
        <is>
          <t>BOOK</t>
        </is>
      </c>
      <c r="BE338" t="inlineStr">
        <is>
          <t>30001000461204</t>
        </is>
      </c>
      <c r="BF338" t="inlineStr">
        <is>
          <t>893369332</t>
        </is>
      </c>
    </row>
    <row r="339">
      <c r="A339" t="inlineStr">
        <is>
          <t>No</t>
        </is>
      </c>
      <c r="B339" t="inlineStr">
        <is>
          <t>CUHSL</t>
        </is>
      </c>
      <c r="C339" t="inlineStr">
        <is>
          <t>SHELVES</t>
        </is>
      </c>
      <c r="D339" t="inlineStr">
        <is>
          <t>WY 18 O12 1955</t>
        </is>
      </c>
      <c r="E339" t="inlineStr">
        <is>
          <t>0                      WY 0018000O  12          1955</t>
        </is>
      </c>
      <c r="F339" t="inlineStr">
        <is>
          <t>Objectives of educational programs in nursing.</t>
        </is>
      </c>
      <c r="H339" t="inlineStr">
        <is>
          <t>No</t>
        </is>
      </c>
      <c r="I339" t="inlineStr">
        <is>
          <t>1</t>
        </is>
      </c>
      <c r="J339" t="inlineStr">
        <is>
          <t>No</t>
        </is>
      </c>
      <c r="K339" t="inlineStr">
        <is>
          <t>No</t>
        </is>
      </c>
      <c r="L339" t="inlineStr">
        <is>
          <t>0</t>
        </is>
      </c>
      <c r="N339" t="inlineStr">
        <is>
          <t>New York : National League for Nursing, 1955.</t>
        </is>
      </c>
      <c r="O339" t="inlineStr">
        <is>
          <t>1955</t>
        </is>
      </c>
      <c r="Q339" t="inlineStr">
        <is>
          <t>eng</t>
        </is>
      </c>
      <c r="R339" t="inlineStr">
        <is>
          <t>nyu</t>
        </is>
      </c>
      <c r="T339" t="inlineStr">
        <is>
          <t xml:space="preserve">WY </t>
        </is>
      </c>
      <c r="U339" t="n">
        <v>1</v>
      </c>
      <c r="V339" t="n">
        <v>1</v>
      </c>
      <c r="W339" t="inlineStr">
        <is>
          <t>1990-09-11</t>
        </is>
      </c>
      <c r="X339" t="inlineStr">
        <is>
          <t>1990-09-11</t>
        </is>
      </c>
      <c r="Y339" t="inlineStr">
        <is>
          <t>1987-11-19</t>
        </is>
      </c>
      <c r="Z339" t="inlineStr">
        <is>
          <t>1987-11-19</t>
        </is>
      </c>
      <c r="AA339" t="n">
        <v>37</v>
      </c>
      <c r="AB339" t="n">
        <v>33</v>
      </c>
      <c r="AC339" t="n">
        <v>33</v>
      </c>
      <c r="AD339" t="n">
        <v>1</v>
      </c>
      <c r="AE339" t="n">
        <v>1</v>
      </c>
      <c r="AF339" t="n">
        <v>1</v>
      </c>
      <c r="AG339" t="n">
        <v>1</v>
      </c>
      <c r="AH339" t="n">
        <v>0</v>
      </c>
      <c r="AI339" t="n">
        <v>0</v>
      </c>
      <c r="AJ339" t="n">
        <v>0</v>
      </c>
      <c r="AK339" t="n">
        <v>0</v>
      </c>
      <c r="AL339" t="n">
        <v>1</v>
      </c>
      <c r="AM339" t="n">
        <v>1</v>
      </c>
      <c r="AN339" t="n">
        <v>0</v>
      </c>
      <c r="AO339" t="n">
        <v>0</v>
      </c>
      <c r="AP339" t="n">
        <v>0</v>
      </c>
      <c r="AQ339" t="n">
        <v>0</v>
      </c>
      <c r="AR339" t="inlineStr">
        <is>
          <t>No</t>
        </is>
      </c>
      <c r="AS339" t="inlineStr">
        <is>
          <t>No</t>
        </is>
      </c>
      <c r="AU339">
        <f>HYPERLINK("https://creighton-primo.hosted.exlibrisgroup.com/primo-explore/search?tab=default_tab&amp;search_scope=EVERYTHING&amp;vid=01CRU&amp;lang=en_US&amp;offset=0&amp;query=any,contains,991001518209702656","Catalog Record")</f>
        <v/>
      </c>
      <c r="AV339">
        <f>HYPERLINK("http://www.worldcat.org/oclc/6878983","WorldCat Record")</f>
        <v/>
      </c>
      <c r="AW339" t="inlineStr">
        <is>
          <t>24275991:eng</t>
        </is>
      </c>
      <c r="AX339" t="inlineStr">
        <is>
          <t>6878983</t>
        </is>
      </c>
      <c r="AY339" t="inlineStr">
        <is>
          <t>991001518209702656</t>
        </is>
      </c>
      <c r="AZ339" t="inlineStr">
        <is>
          <t>991001518209702656</t>
        </is>
      </c>
      <c r="BA339" t="inlineStr">
        <is>
          <t>2268978750002656</t>
        </is>
      </c>
      <c r="BB339" t="inlineStr">
        <is>
          <t>BOOK</t>
        </is>
      </c>
      <c r="BE339" t="inlineStr">
        <is>
          <t>30001000600371</t>
        </is>
      </c>
      <c r="BF339" t="inlineStr">
        <is>
          <t>893460666</t>
        </is>
      </c>
    </row>
    <row r="340">
      <c r="A340" t="inlineStr">
        <is>
          <t>No</t>
        </is>
      </c>
      <c r="B340" t="inlineStr">
        <is>
          <t>CUHSL</t>
        </is>
      </c>
      <c r="C340" t="inlineStr">
        <is>
          <t>SHELVES</t>
        </is>
      </c>
      <c r="D340" t="inlineStr">
        <is>
          <t>WY 18 O29e 1998</t>
        </is>
      </c>
      <c r="E340" t="inlineStr">
        <is>
          <t>0                      WY 0018000O  29e         1998</t>
        </is>
      </c>
      <c r="F340" t="inlineStr">
        <is>
          <t>Evaluation and testing in nursing education / Marilyn H. Oermann, Kathleen B. Gaberson.</t>
        </is>
      </c>
      <c r="H340" t="inlineStr">
        <is>
          <t>No</t>
        </is>
      </c>
      <c r="I340" t="inlineStr">
        <is>
          <t>1</t>
        </is>
      </c>
      <c r="J340" t="inlineStr">
        <is>
          <t>No</t>
        </is>
      </c>
      <c r="K340" t="inlineStr">
        <is>
          <t>No</t>
        </is>
      </c>
      <c r="L340" t="inlineStr">
        <is>
          <t>2</t>
        </is>
      </c>
      <c r="M340" t="inlineStr">
        <is>
          <t>Oermann, Marilyn H.</t>
        </is>
      </c>
      <c r="N340" t="inlineStr">
        <is>
          <t>New York, NY : Springer, c1998.</t>
        </is>
      </c>
      <c r="O340" t="inlineStr">
        <is>
          <t>1998</t>
        </is>
      </c>
      <c r="Q340" t="inlineStr">
        <is>
          <t>eng</t>
        </is>
      </c>
      <c r="R340" t="inlineStr">
        <is>
          <t>nyu</t>
        </is>
      </c>
      <c r="S340" t="inlineStr">
        <is>
          <t>Springer series on the teaching of nursing</t>
        </is>
      </c>
      <c r="T340" t="inlineStr">
        <is>
          <t xml:space="preserve">WY </t>
        </is>
      </c>
      <c r="U340" t="n">
        <v>1</v>
      </c>
      <c r="V340" t="n">
        <v>1</v>
      </c>
      <c r="W340" t="inlineStr">
        <is>
          <t>1999-11-05</t>
        </is>
      </c>
      <c r="X340" t="inlineStr">
        <is>
          <t>1999-11-05</t>
        </is>
      </c>
      <c r="Y340" t="inlineStr">
        <is>
          <t>1999-11-05</t>
        </is>
      </c>
      <c r="Z340" t="inlineStr">
        <is>
          <t>1999-11-05</t>
        </is>
      </c>
      <c r="AA340" t="n">
        <v>261</v>
      </c>
      <c r="AB340" t="n">
        <v>222</v>
      </c>
      <c r="AC340" t="n">
        <v>1484</v>
      </c>
      <c r="AD340" t="n">
        <v>4</v>
      </c>
      <c r="AE340" t="n">
        <v>20</v>
      </c>
      <c r="AF340" t="n">
        <v>14</v>
      </c>
      <c r="AG340" t="n">
        <v>61</v>
      </c>
      <c r="AH340" t="n">
        <v>5</v>
      </c>
      <c r="AI340" t="n">
        <v>21</v>
      </c>
      <c r="AJ340" t="n">
        <v>2</v>
      </c>
      <c r="AK340" t="n">
        <v>11</v>
      </c>
      <c r="AL340" t="n">
        <v>7</v>
      </c>
      <c r="AM340" t="n">
        <v>22</v>
      </c>
      <c r="AN340" t="n">
        <v>3</v>
      </c>
      <c r="AO340" t="n">
        <v>16</v>
      </c>
      <c r="AP340" t="n">
        <v>0</v>
      </c>
      <c r="AQ340" t="n">
        <v>2</v>
      </c>
      <c r="AR340" t="inlineStr">
        <is>
          <t>No</t>
        </is>
      </c>
      <c r="AS340" t="inlineStr">
        <is>
          <t>Yes</t>
        </is>
      </c>
      <c r="AT340">
        <f>HYPERLINK("http://catalog.hathitrust.org/Record/003252722","HathiTrust Record")</f>
        <v/>
      </c>
      <c r="AU340">
        <f>HYPERLINK("https://creighton-primo.hosted.exlibrisgroup.com/primo-explore/search?tab=default_tab&amp;search_scope=EVERYTHING&amp;vid=01CRU&amp;lang=en_US&amp;offset=0&amp;query=any,contains,991001574269702656","Catalog Record")</f>
        <v/>
      </c>
      <c r="AV340">
        <f>HYPERLINK("http://www.worldcat.org/oclc/37844450","WorldCat Record")</f>
        <v/>
      </c>
      <c r="AW340" t="inlineStr">
        <is>
          <t>629213:eng</t>
        </is>
      </c>
      <c r="AX340" t="inlineStr">
        <is>
          <t>37844450</t>
        </is>
      </c>
      <c r="AY340" t="inlineStr">
        <is>
          <t>991001574269702656</t>
        </is>
      </c>
      <c r="AZ340" t="inlineStr">
        <is>
          <t>991001574269702656</t>
        </is>
      </c>
      <c r="BA340" t="inlineStr">
        <is>
          <t>2264252470002656</t>
        </is>
      </c>
      <c r="BB340" t="inlineStr">
        <is>
          <t>BOOK</t>
        </is>
      </c>
      <c r="BD340" t="inlineStr">
        <is>
          <t>9780826199508</t>
        </is>
      </c>
      <c r="BE340" t="inlineStr">
        <is>
          <t>30001004015857</t>
        </is>
      </c>
      <c r="BF340" t="inlineStr">
        <is>
          <t>893558109</t>
        </is>
      </c>
    </row>
    <row r="341">
      <c r="A341" t="inlineStr">
        <is>
          <t>No</t>
        </is>
      </c>
      <c r="B341" t="inlineStr">
        <is>
          <t>CUHSL</t>
        </is>
      </c>
      <c r="C341" t="inlineStr">
        <is>
          <t>SHELVES</t>
        </is>
      </c>
      <c r="D341" t="inlineStr">
        <is>
          <t>WY 18 O605 1973p</t>
        </is>
      </c>
      <c r="E341" t="inlineStr">
        <is>
          <t>0                      WY 0018000O  605         1973p</t>
        </is>
      </c>
      <c r="F341" t="inlineStr">
        <is>
          <t>Proceedings, Open Curriculum Conference I : November 27-28, 1973 St. Louis, Missouri / edited by Lucille Notter, assisted by Marguerite Robey.</t>
        </is>
      </c>
      <c r="H341" t="inlineStr">
        <is>
          <t>No</t>
        </is>
      </c>
      <c r="I341" t="inlineStr">
        <is>
          <t>1</t>
        </is>
      </c>
      <c r="J341" t="inlineStr">
        <is>
          <t>No</t>
        </is>
      </c>
      <c r="K341" t="inlineStr">
        <is>
          <t>Yes</t>
        </is>
      </c>
      <c r="L341" t="inlineStr">
        <is>
          <t>0</t>
        </is>
      </c>
      <c r="M341" t="inlineStr">
        <is>
          <t>Open Curriculum Conference in Nursing (1st : 1973 : Saint Louis, Mo.)</t>
        </is>
      </c>
      <c r="N341" t="inlineStr">
        <is>
          <t>New York : National League for Nursing, Division of Research, c1974.</t>
        </is>
      </c>
      <c r="O341" t="inlineStr">
        <is>
          <t>1973</t>
        </is>
      </c>
      <c r="Q341" t="inlineStr">
        <is>
          <t>eng</t>
        </is>
      </c>
      <c r="R341" t="inlineStr">
        <is>
          <t>nyu</t>
        </is>
      </c>
      <c r="S341" t="inlineStr">
        <is>
          <t>NLN pub. no. 19-1534</t>
        </is>
      </c>
      <c r="T341" t="inlineStr">
        <is>
          <t xml:space="preserve">WY </t>
        </is>
      </c>
      <c r="U341" t="n">
        <v>1</v>
      </c>
      <c r="V341" t="n">
        <v>1</v>
      </c>
      <c r="W341" t="inlineStr">
        <is>
          <t>1990-08-29</t>
        </is>
      </c>
      <c r="X341" t="inlineStr">
        <is>
          <t>1990-08-29</t>
        </is>
      </c>
      <c r="Y341" t="inlineStr">
        <is>
          <t>1987-11-03</t>
        </is>
      </c>
      <c r="Z341" t="inlineStr">
        <is>
          <t>1987-11-03</t>
        </is>
      </c>
      <c r="AA341" t="n">
        <v>81</v>
      </c>
      <c r="AB341" t="n">
        <v>76</v>
      </c>
      <c r="AC341" t="n">
        <v>120</v>
      </c>
      <c r="AD341" t="n">
        <v>1</v>
      </c>
      <c r="AE341" t="n">
        <v>2</v>
      </c>
      <c r="AF341" t="n">
        <v>1</v>
      </c>
      <c r="AG341" t="n">
        <v>2</v>
      </c>
      <c r="AH341" t="n">
        <v>0</v>
      </c>
      <c r="AI341" t="n">
        <v>0</v>
      </c>
      <c r="AJ341" t="n">
        <v>0</v>
      </c>
      <c r="AK341" t="n">
        <v>0</v>
      </c>
      <c r="AL341" t="n">
        <v>1</v>
      </c>
      <c r="AM341" t="n">
        <v>1</v>
      </c>
      <c r="AN341" t="n">
        <v>0</v>
      </c>
      <c r="AO341" t="n">
        <v>1</v>
      </c>
      <c r="AP341" t="n">
        <v>0</v>
      </c>
      <c r="AQ341" t="n">
        <v>0</v>
      </c>
      <c r="AR341" t="inlineStr">
        <is>
          <t>No</t>
        </is>
      </c>
      <c r="AS341" t="inlineStr">
        <is>
          <t>No</t>
        </is>
      </c>
      <c r="AU341">
        <f>HYPERLINK("https://creighton-primo.hosted.exlibrisgroup.com/primo-explore/search?tab=default_tab&amp;search_scope=EVERYTHING&amp;vid=01CRU&amp;lang=en_US&amp;offset=0&amp;query=any,contains,991001380629702656","Catalog Record")</f>
        <v/>
      </c>
      <c r="AV341">
        <f>HYPERLINK("http://www.worldcat.org/oclc/1144206","WorldCat Record")</f>
        <v/>
      </c>
      <c r="AW341" t="inlineStr">
        <is>
          <t>10252901543:eng</t>
        </is>
      </c>
      <c r="AX341" t="inlineStr">
        <is>
          <t>1144206</t>
        </is>
      </c>
      <c r="AY341" t="inlineStr">
        <is>
          <t>991001380629702656</t>
        </is>
      </c>
      <c r="AZ341" t="inlineStr">
        <is>
          <t>991001380629702656</t>
        </is>
      </c>
      <c r="BA341" t="inlineStr">
        <is>
          <t>2261536500002656</t>
        </is>
      </c>
      <c r="BB341" t="inlineStr">
        <is>
          <t>BOOK</t>
        </is>
      </c>
      <c r="BE341" t="inlineStr">
        <is>
          <t>30001000462665</t>
        </is>
      </c>
      <c r="BF341" t="inlineStr">
        <is>
          <t>893364041</t>
        </is>
      </c>
    </row>
    <row r="342">
      <c r="A342" t="inlineStr">
        <is>
          <t>No</t>
        </is>
      </c>
      <c r="B342" t="inlineStr">
        <is>
          <t>CUHSL</t>
        </is>
      </c>
      <c r="C342" t="inlineStr">
        <is>
          <t>SHELVES</t>
        </is>
      </c>
      <c r="D342" t="inlineStr">
        <is>
          <t>WY 18 O605 1974p</t>
        </is>
      </c>
      <c r="E342" t="inlineStr">
        <is>
          <t>0                      WY 0018000O  605         1974p</t>
        </is>
      </c>
      <c r="F342" t="inlineStr">
        <is>
          <t>Proceedings, Open Curriculum Conference II : May 6-7, 1974, New York, New York / edited by Lucille Notter, assisted by Marguerite Robey.</t>
        </is>
      </c>
      <c r="H342" t="inlineStr">
        <is>
          <t>No</t>
        </is>
      </c>
      <c r="I342" t="inlineStr">
        <is>
          <t>1</t>
        </is>
      </c>
      <c r="J342" t="inlineStr">
        <is>
          <t>No</t>
        </is>
      </c>
      <c r="K342" t="inlineStr">
        <is>
          <t>No</t>
        </is>
      </c>
      <c r="L342" t="inlineStr">
        <is>
          <t>0</t>
        </is>
      </c>
      <c r="M342" t="inlineStr">
        <is>
          <t>Open Curriculum Conference (2nd : 1974 : New York, N.Y.)</t>
        </is>
      </c>
      <c r="N342" t="inlineStr">
        <is>
          <t>New York : National League for Nursing, Division of Research, c1975.</t>
        </is>
      </c>
      <c r="O342" t="inlineStr">
        <is>
          <t>1974</t>
        </is>
      </c>
      <c r="Q342" t="inlineStr">
        <is>
          <t>eng</t>
        </is>
      </c>
      <c r="R342" t="inlineStr">
        <is>
          <t>nyu</t>
        </is>
      </c>
      <c r="S342" t="inlineStr">
        <is>
          <t>NLN pub. no. 19-1559</t>
        </is>
      </c>
      <c r="T342" t="inlineStr">
        <is>
          <t xml:space="preserve">WY </t>
        </is>
      </c>
      <c r="U342" t="n">
        <v>2</v>
      </c>
      <c r="V342" t="n">
        <v>2</v>
      </c>
      <c r="W342" t="inlineStr">
        <is>
          <t>1990-08-29</t>
        </is>
      </c>
      <c r="X342" t="inlineStr">
        <is>
          <t>1990-08-29</t>
        </is>
      </c>
      <c r="Y342" t="inlineStr">
        <is>
          <t>1987-11-03</t>
        </is>
      </c>
      <c r="Z342" t="inlineStr">
        <is>
          <t>1987-11-03</t>
        </is>
      </c>
      <c r="AA342" t="n">
        <v>11</v>
      </c>
      <c r="AB342" t="n">
        <v>10</v>
      </c>
      <c r="AC342" t="n">
        <v>11</v>
      </c>
      <c r="AD342" t="n">
        <v>1</v>
      </c>
      <c r="AE342" t="n">
        <v>1</v>
      </c>
      <c r="AF342" t="n">
        <v>1</v>
      </c>
      <c r="AG342" t="n">
        <v>1</v>
      </c>
      <c r="AH342" t="n">
        <v>0</v>
      </c>
      <c r="AI342" t="n">
        <v>0</v>
      </c>
      <c r="AJ342" t="n">
        <v>0</v>
      </c>
      <c r="AK342" t="n">
        <v>0</v>
      </c>
      <c r="AL342" t="n">
        <v>1</v>
      </c>
      <c r="AM342" t="n">
        <v>1</v>
      </c>
      <c r="AN342" t="n">
        <v>0</v>
      </c>
      <c r="AO342" t="n">
        <v>0</v>
      </c>
      <c r="AP342" t="n">
        <v>0</v>
      </c>
      <c r="AQ342" t="n">
        <v>0</v>
      </c>
      <c r="AR342" t="inlineStr">
        <is>
          <t>No</t>
        </is>
      </c>
      <c r="AS342" t="inlineStr">
        <is>
          <t>No</t>
        </is>
      </c>
      <c r="AU342">
        <f>HYPERLINK("https://creighton-primo.hosted.exlibrisgroup.com/primo-explore/search?tab=default_tab&amp;search_scope=EVERYTHING&amp;vid=01CRU&amp;lang=en_US&amp;offset=0&amp;query=any,contains,991001380789702656","Catalog Record")</f>
        <v/>
      </c>
      <c r="AV342">
        <f>HYPERLINK("http://www.worldcat.org/oclc/30662467","WorldCat Record")</f>
        <v/>
      </c>
      <c r="AW342" t="inlineStr">
        <is>
          <t>2863423068:eng</t>
        </is>
      </c>
      <c r="AX342" t="inlineStr">
        <is>
          <t>30662467</t>
        </is>
      </c>
      <c r="AY342" t="inlineStr">
        <is>
          <t>991001380789702656</t>
        </is>
      </c>
      <c r="AZ342" t="inlineStr">
        <is>
          <t>991001380789702656</t>
        </is>
      </c>
      <c r="BA342" t="inlineStr">
        <is>
          <t>2255900420002656</t>
        </is>
      </c>
      <c r="BB342" t="inlineStr">
        <is>
          <t>BOOK</t>
        </is>
      </c>
      <c r="BE342" t="inlineStr">
        <is>
          <t>30001000462699</t>
        </is>
      </c>
      <c r="BF342" t="inlineStr">
        <is>
          <t>893821157</t>
        </is>
      </c>
    </row>
    <row r="343">
      <c r="A343" t="inlineStr">
        <is>
          <t>No</t>
        </is>
      </c>
      <c r="B343" t="inlineStr">
        <is>
          <t>CUHSL</t>
        </is>
      </c>
      <c r="C343" t="inlineStr">
        <is>
          <t>SHELVES</t>
        </is>
      </c>
      <c r="D343" t="inlineStr">
        <is>
          <t>WY 18 O605 1974pa</t>
        </is>
      </c>
      <c r="E343" t="inlineStr">
        <is>
          <t>0                      WY 0018000O  605         1974pa</t>
        </is>
      </c>
      <c r="F343" t="inlineStr">
        <is>
          <t>Proceedings, Open Curriculum Conference III : November 7-8, 1974, New York, New York / edited by Lucille Notter, assisted by Marguerite Robey.</t>
        </is>
      </c>
      <c r="H343" t="inlineStr">
        <is>
          <t>No</t>
        </is>
      </c>
      <c r="I343" t="inlineStr">
        <is>
          <t>1</t>
        </is>
      </c>
      <c r="J343" t="inlineStr">
        <is>
          <t>No</t>
        </is>
      </c>
      <c r="K343" t="inlineStr">
        <is>
          <t>No</t>
        </is>
      </c>
      <c r="L343" t="inlineStr">
        <is>
          <t>0</t>
        </is>
      </c>
      <c r="M343" t="inlineStr">
        <is>
          <t>Open Curriculum Conference (3rd : 1974 : New York, N.Y.)</t>
        </is>
      </c>
      <c r="N343" t="inlineStr">
        <is>
          <t>New York : National League for Nursing, Division of Research, c1975.</t>
        </is>
      </c>
      <c r="O343" t="inlineStr">
        <is>
          <t>1974</t>
        </is>
      </c>
      <c r="Q343" t="inlineStr">
        <is>
          <t>eng</t>
        </is>
      </c>
      <c r="R343" t="inlineStr">
        <is>
          <t>nyu</t>
        </is>
      </c>
      <c r="S343" t="inlineStr">
        <is>
          <t>NLN pub. no. 19-1586</t>
        </is>
      </c>
      <c r="T343" t="inlineStr">
        <is>
          <t xml:space="preserve">WY </t>
        </is>
      </c>
      <c r="U343" t="n">
        <v>1</v>
      </c>
      <c r="V343" t="n">
        <v>1</v>
      </c>
      <c r="W343" t="inlineStr">
        <is>
          <t>1990-08-29</t>
        </is>
      </c>
      <c r="X343" t="inlineStr">
        <is>
          <t>1990-08-29</t>
        </is>
      </c>
      <c r="Y343" t="inlineStr">
        <is>
          <t>1987-11-03</t>
        </is>
      </c>
      <c r="Z343" t="inlineStr">
        <is>
          <t>1987-11-03</t>
        </is>
      </c>
      <c r="AA343" t="n">
        <v>64</v>
      </c>
      <c r="AB343" t="n">
        <v>59</v>
      </c>
      <c r="AC343" t="n">
        <v>60</v>
      </c>
      <c r="AD343" t="n">
        <v>2</v>
      </c>
      <c r="AE343" t="n">
        <v>2</v>
      </c>
      <c r="AF343" t="n">
        <v>4</v>
      </c>
      <c r="AG343" t="n">
        <v>4</v>
      </c>
      <c r="AH343" t="n">
        <v>0</v>
      </c>
      <c r="AI343" t="n">
        <v>0</v>
      </c>
      <c r="AJ343" t="n">
        <v>1</v>
      </c>
      <c r="AK343" t="n">
        <v>1</v>
      </c>
      <c r="AL343" t="n">
        <v>2</v>
      </c>
      <c r="AM343" t="n">
        <v>2</v>
      </c>
      <c r="AN343" t="n">
        <v>1</v>
      </c>
      <c r="AO343" t="n">
        <v>1</v>
      </c>
      <c r="AP343" t="n">
        <v>0</v>
      </c>
      <c r="AQ343" t="n">
        <v>0</v>
      </c>
      <c r="AR343" t="inlineStr">
        <is>
          <t>No</t>
        </is>
      </c>
      <c r="AS343" t="inlineStr">
        <is>
          <t>No</t>
        </is>
      </c>
      <c r="AU343">
        <f>HYPERLINK("https://creighton-primo.hosted.exlibrisgroup.com/primo-explore/search?tab=default_tab&amp;search_scope=EVERYTHING&amp;vid=01CRU&amp;lang=en_US&amp;offset=0&amp;query=any,contains,991001380889702656","Catalog Record")</f>
        <v/>
      </c>
      <c r="AV343">
        <f>HYPERLINK("http://www.worldcat.org/oclc/14419437","WorldCat Record")</f>
        <v/>
      </c>
      <c r="AW343" t="inlineStr">
        <is>
          <t>9658035777:eng</t>
        </is>
      </c>
      <c r="AX343" t="inlineStr">
        <is>
          <t>14419437</t>
        </is>
      </c>
      <c r="AY343" t="inlineStr">
        <is>
          <t>991001380889702656</t>
        </is>
      </c>
      <c r="AZ343" t="inlineStr">
        <is>
          <t>991001380889702656</t>
        </is>
      </c>
      <c r="BA343" t="inlineStr">
        <is>
          <t>2266818560002656</t>
        </is>
      </c>
      <c r="BB343" t="inlineStr">
        <is>
          <t>BOOK</t>
        </is>
      </c>
      <c r="BE343" t="inlineStr">
        <is>
          <t>30001000462715</t>
        </is>
      </c>
      <c r="BF343" t="inlineStr">
        <is>
          <t>893552418</t>
        </is>
      </c>
    </row>
    <row r="344">
      <c r="A344" t="inlineStr">
        <is>
          <t>No</t>
        </is>
      </c>
      <c r="B344" t="inlineStr">
        <is>
          <t>CUHSL</t>
        </is>
      </c>
      <c r="C344" t="inlineStr">
        <is>
          <t>SHELVES</t>
        </is>
      </c>
      <c r="D344" t="inlineStr">
        <is>
          <t>WY 18 O605 1975p</t>
        </is>
      </c>
      <c r="E344" t="inlineStr">
        <is>
          <t>0                      WY 0018000O  605         1975p</t>
        </is>
      </c>
      <c r="F344" t="inlineStr">
        <is>
          <t>Proceedings, Open Curriculum Conference IV : September 22-23, 1975, New York, New York / edited by Lucille Notter, assisted by Marguerite Robey.</t>
        </is>
      </c>
      <c r="H344" t="inlineStr">
        <is>
          <t>No</t>
        </is>
      </c>
      <c r="I344" t="inlineStr">
        <is>
          <t>1</t>
        </is>
      </c>
      <c r="J344" t="inlineStr">
        <is>
          <t>No</t>
        </is>
      </c>
      <c r="K344" t="inlineStr">
        <is>
          <t>Yes</t>
        </is>
      </c>
      <c r="L344" t="inlineStr">
        <is>
          <t>0</t>
        </is>
      </c>
      <c r="M344" t="inlineStr">
        <is>
          <t>Open Curriculum Conference (4th : 1975 : New York, N.Y.)</t>
        </is>
      </c>
      <c r="N344" t="inlineStr">
        <is>
          <t>New York : National League for Nursing, Division of Research, c1976.</t>
        </is>
      </c>
      <c r="O344" t="inlineStr">
        <is>
          <t>1975</t>
        </is>
      </c>
      <c r="Q344" t="inlineStr">
        <is>
          <t>eng</t>
        </is>
      </c>
      <c r="R344" t="inlineStr">
        <is>
          <t>nyu</t>
        </is>
      </c>
      <c r="S344" t="inlineStr">
        <is>
          <t>NLN pub. no. 19-1627</t>
        </is>
      </c>
      <c r="T344" t="inlineStr">
        <is>
          <t xml:space="preserve">WY </t>
        </is>
      </c>
      <c r="U344" t="n">
        <v>2</v>
      </c>
      <c r="V344" t="n">
        <v>2</v>
      </c>
      <c r="W344" t="inlineStr">
        <is>
          <t>1990-08-29</t>
        </is>
      </c>
      <c r="X344" t="inlineStr">
        <is>
          <t>1990-08-29</t>
        </is>
      </c>
      <c r="Y344" t="inlineStr">
        <is>
          <t>1987-11-03</t>
        </is>
      </c>
      <c r="Z344" t="inlineStr">
        <is>
          <t>1987-11-03</t>
        </is>
      </c>
      <c r="AA344" t="n">
        <v>83</v>
      </c>
      <c r="AB344" t="n">
        <v>78</v>
      </c>
      <c r="AC344" t="n">
        <v>120</v>
      </c>
      <c r="AD344" t="n">
        <v>2</v>
      </c>
      <c r="AE344" t="n">
        <v>2</v>
      </c>
      <c r="AF344" t="n">
        <v>2</v>
      </c>
      <c r="AG344" t="n">
        <v>2</v>
      </c>
      <c r="AH344" t="n">
        <v>0</v>
      </c>
      <c r="AI344" t="n">
        <v>0</v>
      </c>
      <c r="AJ344" t="n">
        <v>0</v>
      </c>
      <c r="AK344" t="n">
        <v>0</v>
      </c>
      <c r="AL344" t="n">
        <v>1</v>
      </c>
      <c r="AM344" t="n">
        <v>1</v>
      </c>
      <c r="AN344" t="n">
        <v>1</v>
      </c>
      <c r="AO344" t="n">
        <v>1</v>
      </c>
      <c r="AP344" t="n">
        <v>0</v>
      </c>
      <c r="AQ344" t="n">
        <v>0</v>
      </c>
      <c r="AR344" t="inlineStr">
        <is>
          <t>No</t>
        </is>
      </c>
      <c r="AS344" t="inlineStr">
        <is>
          <t>No</t>
        </is>
      </c>
      <c r="AU344">
        <f>HYPERLINK("https://creighton-primo.hosted.exlibrisgroup.com/primo-explore/search?tab=default_tab&amp;search_scope=EVERYTHING&amp;vid=01CRU&amp;lang=en_US&amp;offset=0&amp;query=any,contains,991001380959702656","Catalog Record")</f>
        <v/>
      </c>
      <c r="AV344">
        <f>HYPERLINK("http://www.worldcat.org/oclc/2481084","WorldCat Record")</f>
        <v/>
      </c>
      <c r="AW344" t="inlineStr">
        <is>
          <t>10252901543:eng</t>
        </is>
      </c>
      <c r="AX344" t="inlineStr">
        <is>
          <t>2481084</t>
        </is>
      </c>
      <c r="AY344" t="inlineStr">
        <is>
          <t>991001380959702656</t>
        </is>
      </c>
      <c r="AZ344" t="inlineStr">
        <is>
          <t>991001380959702656</t>
        </is>
      </c>
      <c r="BA344" t="inlineStr">
        <is>
          <t>2265594930002656</t>
        </is>
      </c>
      <c r="BB344" t="inlineStr">
        <is>
          <t>BOOK</t>
        </is>
      </c>
      <c r="BE344" t="inlineStr">
        <is>
          <t>30001000462723</t>
        </is>
      </c>
      <c r="BF344" t="inlineStr">
        <is>
          <t>893274061</t>
        </is>
      </c>
    </row>
    <row r="345">
      <c r="A345" t="inlineStr">
        <is>
          <t>No</t>
        </is>
      </c>
      <c r="B345" t="inlineStr">
        <is>
          <t>CUHSL</t>
        </is>
      </c>
      <c r="C345" t="inlineStr">
        <is>
          <t>SHELVES</t>
        </is>
      </c>
      <c r="D345" t="inlineStr">
        <is>
          <t>WY 18 O99a 1974</t>
        </is>
      </c>
      <c r="E345" t="inlineStr">
        <is>
          <t>0                      WY 0018000O  99a         1974</t>
        </is>
      </c>
      <c r="F345" t="inlineStr">
        <is>
          <t>Accreditation of baccalaureate and masters degree programs in nursing : a comprehensive review.</t>
        </is>
      </c>
      <c r="H345" t="inlineStr">
        <is>
          <t>No</t>
        </is>
      </c>
      <c r="I345" t="inlineStr">
        <is>
          <t>1</t>
        </is>
      </c>
      <c r="J345" t="inlineStr">
        <is>
          <t>No</t>
        </is>
      </c>
      <c r="K345" t="inlineStr">
        <is>
          <t>No</t>
        </is>
      </c>
      <c r="L345" t="inlineStr">
        <is>
          <t>0</t>
        </is>
      </c>
      <c r="M345" t="inlineStr">
        <is>
          <t>Ozimek, Dorothy.</t>
        </is>
      </c>
      <c r="N345" t="inlineStr">
        <is>
          <t>New York : National League for Nursing, 1974.</t>
        </is>
      </c>
      <c r="O345" t="inlineStr">
        <is>
          <t>1974</t>
        </is>
      </c>
      <c r="Q345" t="inlineStr">
        <is>
          <t>eng</t>
        </is>
      </c>
      <c r="R345" t="inlineStr">
        <is>
          <t>nyu</t>
        </is>
      </c>
      <c r="S345" t="inlineStr">
        <is>
          <t>NLN pub. no. 15-1519</t>
        </is>
      </c>
      <c r="T345" t="inlineStr">
        <is>
          <t xml:space="preserve">WY </t>
        </is>
      </c>
      <c r="U345" t="n">
        <v>2</v>
      </c>
      <c r="V345" t="n">
        <v>2</v>
      </c>
      <c r="W345" t="inlineStr">
        <is>
          <t>1990-04-20</t>
        </is>
      </c>
      <c r="X345" t="inlineStr">
        <is>
          <t>1990-04-20</t>
        </is>
      </c>
      <c r="Y345" t="inlineStr">
        <is>
          <t>1987-10-21</t>
        </is>
      </c>
      <c r="Z345" t="inlineStr">
        <is>
          <t>1987-10-21</t>
        </is>
      </c>
      <c r="AA345" t="n">
        <v>91</v>
      </c>
      <c r="AB345" t="n">
        <v>77</v>
      </c>
      <c r="AC345" t="n">
        <v>79</v>
      </c>
      <c r="AD345" t="n">
        <v>1</v>
      </c>
      <c r="AE345" t="n">
        <v>1</v>
      </c>
      <c r="AF345" t="n">
        <v>4</v>
      </c>
      <c r="AG345" t="n">
        <v>4</v>
      </c>
      <c r="AH345" t="n">
        <v>0</v>
      </c>
      <c r="AI345" t="n">
        <v>0</v>
      </c>
      <c r="AJ345" t="n">
        <v>1</v>
      </c>
      <c r="AK345" t="n">
        <v>1</v>
      </c>
      <c r="AL345" t="n">
        <v>3</v>
      </c>
      <c r="AM345" t="n">
        <v>3</v>
      </c>
      <c r="AN345" t="n">
        <v>0</v>
      </c>
      <c r="AO345" t="n">
        <v>0</v>
      </c>
      <c r="AP345" t="n">
        <v>0</v>
      </c>
      <c r="AQ345" t="n">
        <v>0</v>
      </c>
      <c r="AR345" t="inlineStr">
        <is>
          <t>No</t>
        </is>
      </c>
      <c r="AS345" t="inlineStr">
        <is>
          <t>Yes</t>
        </is>
      </c>
      <c r="AT345">
        <f>HYPERLINK("http://catalog.hathitrust.org/Record/001574553","HathiTrust Record")</f>
        <v/>
      </c>
      <c r="AU345">
        <f>HYPERLINK("https://creighton-primo.hosted.exlibrisgroup.com/primo-explore/search?tab=default_tab&amp;search_scope=EVERYTHING&amp;vid=01CRU&amp;lang=en_US&amp;offset=0&amp;query=any,contains,991000799219702656","Catalog Record")</f>
        <v/>
      </c>
      <c r="AV345">
        <f>HYPERLINK("http://www.worldcat.org/oclc/1031880","WorldCat Record")</f>
        <v/>
      </c>
      <c r="AW345" t="inlineStr">
        <is>
          <t>1978722:eng</t>
        </is>
      </c>
      <c r="AX345" t="inlineStr">
        <is>
          <t>1031880</t>
        </is>
      </c>
      <c r="AY345" t="inlineStr">
        <is>
          <t>991000799219702656</t>
        </is>
      </c>
      <c r="AZ345" t="inlineStr">
        <is>
          <t>991000799219702656</t>
        </is>
      </c>
      <c r="BA345" t="inlineStr">
        <is>
          <t>2265372250002656</t>
        </is>
      </c>
      <c r="BB345" t="inlineStr">
        <is>
          <t>BOOK</t>
        </is>
      </c>
      <c r="BE345" t="inlineStr">
        <is>
          <t>30001000741035</t>
        </is>
      </c>
      <c r="BF345" t="inlineStr">
        <is>
          <t>893825753</t>
        </is>
      </c>
    </row>
    <row r="346">
      <c r="A346" t="inlineStr">
        <is>
          <t>No</t>
        </is>
      </c>
      <c r="B346" t="inlineStr">
        <is>
          <t>CUHSL</t>
        </is>
      </c>
      <c r="C346" t="inlineStr">
        <is>
          <t>SHELVES</t>
        </is>
      </c>
      <c r="D346" t="inlineStr">
        <is>
          <t>WY 18 O99b 1974</t>
        </is>
      </c>
      <c r="E346" t="inlineStr">
        <is>
          <t>0                      WY 0018000O  99b         1974</t>
        </is>
      </c>
      <c r="F346" t="inlineStr">
        <is>
          <t>The baccalaureate graduate in nursing : what does society expect?</t>
        </is>
      </c>
      <c r="H346" t="inlineStr">
        <is>
          <t>No</t>
        </is>
      </c>
      <c r="I346" t="inlineStr">
        <is>
          <t>1</t>
        </is>
      </c>
      <c r="J346" t="inlineStr">
        <is>
          <t>No</t>
        </is>
      </c>
      <c r="K346" t="inlineStr">
        <is>
          <t>No</t>
        </is>
      </c>
      <c r="L346" t="inlineStr">
        <is>
          <t>0</t>
        </is>
      </c>
      <c r="M346" t="inlineStr">
        <is>
          <t>Ozimek, Dorothy.</t>
        </is>
      </c>
      <c r="N346" t="inlineStr">
        <is>
          <t>New York : National League for Nursing, 1974.</t>
        </is>
      </c>
      <c r="O346" t="inlineStr">
        <is>
          <t>1974</t>
        </is>
      </c>
      <c r="Q346" t="inlineStr">
        <is>
          <t>eng</t>
        </is>
      </c>
      <c r="R346" t="inlineStr">
        <is>
          <t>nyu</t>
        </is>
      </c>
      <c r="S346" t="inlineStr">
        <is>
          <t>NLN pub. no. 15-1520</t>
        </is>
      </c>
      <c r="T346" t="inlineStr">
        <is>
          <t xml:space="preserve">WY </t>
        </is>
      </c>
      <c r="U346" t="n">
        <v>1</v>
      </c>
      <c r="V346" t="n">
        <v>1</v>
      </c>
      <c r="W346" t="inlineStr">
        <is>
          <t>1990-04-20</t>
        </is>
      </c>
      <c r="X346" t="inlineStr">
        <is>
          <t>1990-04-20</t>
        </is>
      </c>
      <c r="Y346" t="inlineStr">
        <is>
          <t>1987-10-21</t>
        </is>
      </c>
      <c r="Z346" t="inlineStr">
        <is>
          <t>1987-10-21</t>
        </is>
      </c>
      <c r="AA346" t="n">
        <v>71</v>
      </c>
      <c r="AB346" t="n">
        <v>64</v>
      </c>
      <c r="AC346" t="n">
        <v>64</v>
      </c>
      <c r="AD346" t="n">
        <v>1</v>
      </c>
      <c r="AE346" t="n">
        <v>1</v>
      </c>
      <c r="AF346" t="n">
        <v>2</v>
      </c>
      <c r="AG346" t="n">
        <v>2</v>
      </c>
      <c r="AH346" t="n">
        <v>0</v>
      </c>
      <c r="AI346" t="n">
        <v>0</v>
      </c>
      <c r="AJ346" t="n">
        <v>0</v>
      </c>
      <c r="AK346" t="n">
        <v>0</v>
      </c>
      <c r="AL346" t="n">
        <v>2</v>
      </c>
      <c r="AM346" t="n">
        <v>2</v>
      </c>
      <c r="AN346" t="n">
        <v>0</v>
      </c>
      <c r="AO346" t="n">
        <v>0</v>
      </c>
      <c r="AP346" t="n">
        <v>0</v>
      </c>
      <c r="AQ346" t="n">
        <v>0</v>
      </c>
      <c r="AR346" t="inlineStr">
        <is>
          <t>No</t>
        </is>
      </c>
      <c r="AS346" t="inlineStr">
        <is>
          <t>No</t>
        </is>
      </c>
      <c r="AU346">
        <f>HYPERLINK("https://creighton-primo.hosted.exlibrisgroup.com/primo-explore/search?tab=default_tab&amp;search_scope=EVERYTHING&amp;vid=01CRU&amp;lang=en_US&amp;offset=0&amp;query=any,contains,991001368399702656","Catalog Record")</f>
        <v/>
      </c>
      <c r="AV346">
        <f>HYPERLINK("http://www.worldcat.org/oclc/1031879","WorldCat Record")</f>
        <v/>
      </c>
      <c r="AW346" t="inlineStr">
        <is>
          <t>1978717:eng</t>
        </is>
      </c>
      <c r="AX346" t="inlineStr">
        <is>
          <t>1031879</t>
        </is>
      </c>
      <c r="AY346" t="inlineStr">
        <is>
          <t>991001368399702656</t>
        </is>
      </c>
      <c r="AZ346" t="inlineStr">
        <is>
          <t>991001368399702656</t>
        </is>
      </c>
      <c r="BA346" t="inlineStr">
        <is>
          <t>2265378520002656</t>
        </is>
      </c>
      <c r="BB346" t="inlineStr">
        <is>
          <t>BOOK</t>
        </is>
      </c>
      <c r="BE346" t="inlineStr">
        <is>
          <t>30001000461469</t>
        </is>
      </c>
      <c r="BF346" t="inlineStr">
        <is>
          <t>893168150</t>
        </is>
      </c>
    </row>
    <row r="347">
      <c r="A347" t="inlineStr">
        <is>
          <t>No</t>
        </is>
      </c>
      <c r="B347" t="inlineStr">
        <is>
          <t>CUHSL</t>
        </is>
      </c>
      <c r="C347" t="inlineStr">
        <is>
          <t>SHELVES</t>
        </is>
      </c>
      <c r="D347" t="inlineStr">
        <is>
          <t>WY 18 O99c 1977</t>
        </is>
      </c>
      <c r="E347" t="inlineStr">
        <is>
          <t>0                      WY 0018000O  99c         1977</t>
        </is>
      </c>
      <c r="F347" t="inlineStr">
        <is>
          <t>Considerations for the effective utilization of nursing faculty in baccalaureate and higher degree programs / Dorothy Ozimek, Helen Yura.</t>
        </is>
      </c>
      <c r="H347" t="inlineStr">
        <is>
          <t>No</t>
        </is>
      </c>
      <c r="I347" t="inlineStr">
        <is>
          <t>1</t>
        </is>
      </c>
      <c r="J347" t="inlineStr">
        <is>
          <t>No</t>
        </is>
      </c>
      <c r="K347" t="inlineStr">
        <is>
          <t>No</t>
        </is>
      </c>
      <c r="L347" t="inlineStr">
        <is>
          <t>0</t>
        </is>
      </c>
      <c r="M347" t="inlineStr">
        <is>
          <t>Ozimek, Dorothy.</t>
        </is>
      </c>
      <c r="N347" t="inlineStr">
        <is>
          <t>New York : National League for Nursing, c1977.</t>
        </is>
      </c>
      <c r="O347" t="inlineStr">
        <is>
          <t>1977</t>
        </is>
      </c>
      <c r="Q347" t="inlineStr">
        <is>
          <t>eng</t>
        </is>
      </c>
      <c r="R347" t="inlineStr">
        <is>
          <t>nyu</t>
        </is>
      </c>
      <c r="S347" t="inlineStr">
        <is>
          <t>NLN pub. no. 15-1655</t>
        </is>
      </c>
      <c r="T347" t="inlineStr">
        <is>
          <t xml:space="preserve">WY </t>
        </is>
      </c>
      <c r="U347" t="n">
        <v>2</v>
      </c>
      <c r="V347" t="n">
        <v>2</v>
      </c>
      <c r="W347" t="inlineStr">
        <is>
          <t>1990-04-06</t>
        </is>
      </c>
      <c r="X347" t="inlineStr">
        <is>
          <t>1990-04-06</t>
        </is>
      </c>
      <c r="Y347" t="inlineStr">
        <is>
          <t>1987-10-26</t>
        </is>
      </c>
      <c r="Z347" t="inlineStr">
        <is>
          <t>1987-10-26</t>
        </is>
      </c>
      <c r="AA347" t="n">
        <v>87</v>
      </c>
      <c r="AB347" t="n">
        <v>74</v>
      </c>
      <c r="AC347" t="n">
        <v>74</v>
      </c>
      <c r="AD347" t="n">
        <v>3</v>
      </c>
      <c r="AE347" t="n">
        <v>3</v>
      </c>
      <c r="AF347" t="n">
        <v>4</v>
      </c>
      <c r="AG347" t="n">
        <v>4</v>
      </c>
      <c r="AH347" t="n">
        <v>0</v>
      </c>
      <c r="AI347" t="n">
        <v>0</v>
      </c>
      <c r="AJ347" t="n">
        <v>0</v>
      </c>
      <c r="AK347" t="n">
        <v>0</v>
      </c>
      <c r="AL347" t="n">
        <v>3</v>
      </c>
      <c r="AM347" t="n">
        <v>3</v>
      </c>
      <c r="AN347" t="n">
        <v>1</v>
      </c>
      <c r="AO347" t="n">
        <v>1</v>
      </c>
      <c r="AP347" t="n">
        <v>0</v>
      </c>
      <c r="AQ347" t="n">
        <v>0</v>
      </c>
      <c r="AR347" t="inlineStr">
        <is>
          <t>No</t>
        </is>
      </c>
      <c r="AS347" t="inlineStr">
        <is>
          <t>No</t>
        </is>
      </c>
      <c r="AU347">
        <f>HYPERLINK("https://creighton-primo.hosted.exlibrisgroup.com/primo-explore/search?tab=default_tab&amp;search_scope=EVERYTHING&amp;vid=01CRU&amp;lang=en_US&amp;offset=0&amp;query=any,contains,991001370469702656","Catalog Record")</f>
        <v/>
      </c>
      <c r="AV347">
        <f>HYPERLINK("http://www.worldcat.org/oclc/2772401","WorldCat Record")</f>
        <v/>
      </c>
      <c r="AW347" t="inlineStr">
        <is>
          <t>5972160:eng</t>
        </is>
      </c>
      <c r="AX347" t="inlineStr">
        <is>
          <t>2772401</t>
        </is>
      </c>
      <c r="AY347" t="inlineStr">
        <is>
          <t>991001370469702656</t>
        </is>
      </c>
      <c r="AZ347" t="inlineStr">
        <is>
          <t>991001370469702656</t>
        </is>
      </c>
      <c r="BA347" t="inlineStr">
        <is>
          <t>2267213260002656</t>
        </is>
      </c>
      <c r="BB347" t="inlineStr">
        <is>
          <t>BOOK</t>
        </is>
      </c>
      <c r="BE347" t="inlineStr">
        <is>
          <t>30001000461691</t>
        </is>
      </c>
      <c r="BF347" t="inlineStr">
        <is>
          <t>893455726</t>
        </is>
      </c>
    </row>
    <row r="348">
      <c r="A348" t="inlineStr">
        <is>
          <t>No</t>
        </is>
      </c>
      <c r="B348" t="inlineStr">
        <is>
          <t>CUHSL</t>
        </is>
      </c>
      <c r="C348" t="inlineStr">
        <is>
          <t>SHELVES</t>
        </is>
      </c>
      <c r="D348" t="inlineStr">
        <is>
          <t>WY 18 O99f 1975</t>
        </is>
      </c>
      <c r="E348" t="inlineStr">
        <is>
          <t>0                      WY 0018000O  99f         1975</t>
        </is>
      </c>
      <c r="F348" t="inlineStr">
        <is>
          <t>The future of nursing education / Dorothy Ozimek, director, Department of Baccalaureate and Higher Degree Programs.</t>
        </is>
      </c>
      <c r="H348" t="inlineStr">
        <is>
          <t>No</t>
        </is>
      </c>
      <c r="I348" t="inlineStr">
        <is>
          <t>1</t>
        </is>
      </c>
      <c r="J348" t="inlineStr">
        <is>
          <t>No</t>
        </is>
      </c>
      <c r="K348" t="inlineStr">
        <is>
          <t>No</t>
        </is>
      </c>
      <c r="L348" t="inlineStr">
        <is>
          <t>0</t>
        </is>
      </c>
      <c r="M348" t="inlineStr">
        <is>
          <t>Ozimek, Dorothy.</t>
        </is>
      </c>
      <c r="N348" t="inlineStr">
        <is>
          <t>New York : National League for Nursing, c1975.</t>
        </is>
      </c>
      <c r="O348" t="inlineStr">
        <is>
          <t>1975</t>
        </is>
      </c>
      <c r="Q348" t="inlineStr">
        <is>
          <t>eng</t>
        </is>
      </c>
      <c r="R348" t="inlineStr">
        <is>
          <t>nyu</t>
        </is>
      </c>
      <c r="S348" t="inlineStr">
        <is>
          <t>NLN pub. no. 15-1581</t>
        </is>
      </c>
      <c r="T348" t="inlineStr">
        <is>
          <t xml:space="preserve">WY </t>
        </is>
      </c>
      <c r="U348" t="n">
        <v>2</v>
      </c>
      <c r="V348" t="n">
        <v>2</v>
      </c>
      <c r="W348" t="inlineStr">
        <is>
          <t>1990-06-12</t>
        </is>
      </c>
      <c r="X348" t="inlineStr">
        <is>
          <t>1990-06-12</t>
        </is>
      </c>
      <c r="Y348" t="inlineStr">
        <is>
          <t>1987-10-21</t>
        </is>
      </c>
      <c r="Z348" t="inlineStr">
        <is>
          <t>1987-10-21</t>
        </is>
      </c>
      <c r="AA348" t="n">
        <v>97</v>
      </c>
      <c r="AB348" t="n">
        <v>72</v>
      </c>
      <c r="AC348" t="n">
        <v>74</v>
      </c>
      <c r="AD348" t="n">
        <v>2</v>
      </c>
      <c r="AE348" t="n">
        <v>2</v>
      </c>
      <c r="AF348" t="n">
        <v>4</v>
      </c>
      <c r="AG348" t="n">
        <v>4</v>
      </c>
      <c r="AH348" t="n">
        <v>0</v>
      </c>
      <c r="AI348" t="n">
        <v>0</v>
      </c>
      <c r="AJ348" t="n">
        <v>1</v>
      </c>
      <c r="AK348" t="n">
        <v>1</v>
      </c>
      <c r="AL348" t="n">
        <v>2</v>
      </c>
      <c r="AM348" t="n">
        <v>2</v>
      </c>
      <c r="AN348" t="n">
        <v>1</v>
      </c>
      <c r="AO348" t="n">
        <v>1</v>
      </c>
      <c r="AP348" t="n">
        <v>0</v>
      </c>
      <c r="AQ348" t="n">
        <v>0</v>
      </c>
      <c r="AR348" t="inlineStr">
        <is>
          <t>No</t>
        </is>
      </c>
      <c r="AS348" t="inlineStr">
        <is>
          <t>Yes</t>
        </is>
      </c>
      <c r="AT348">
        <f>HYPERLINK("http://catalog.hathitrust.org/Record/001574554","HathiTrust Record")</f>
        <v/>
      </c>
      <c r="AU348">
        <f>HYPERLINK("https://creighton-primo.hosted.exlibrisgroup.com/primo-explore/search?tab=default_tab&amp;search_scope=EVERYTHING&amp;vid=01CRU&amp;lang=en_US&amp;offset=0&amp;query=any,contains,991001369179702656","Catalog Record")</f>
        <v/>
      </c>
      <c r="AV348">
        <f>HYPERLINK("http://www.worldcat.org/oclc/1811304","WorldCat Record")</f>
        <v/>
      </c>
      <c r="AW348" t="inlineStr">
        <is>
          <t>2577612:eng</t>
        </is>
      </c>
      <c r="AX348" t="inlineStr">
        <is>
          <t>1811304</t>
        </is>
      </c>
      <c r="AY348" t="inlineStr">
        <is>
          <t>991001369179702656</t>
        </is>
      </c>
      <c r="AZ348" t="inlineStr">
        <is>
          <t>991001369179702656</t>
        </is>
      </c>
      <c r="BA348" t="inlineStr">
        <is>
          <t>2258805810002656</t>
        </is>
      </c>
      <c r="BB348" t="inlineStr">
        <is>
          <t>BOOK</t>
        </is>
      </c>
      <c r="BE348" t="inlineStr">
        <is>
          <t>30001000461600</t>
        </is>
      </c>
      <c r="BF348" t="inlineStr">
        <is>
          <t>893161919</t>
        </is>
      </c>
    </row>
    <row r="349">
      <c r="A349" t="inlineStr">
        <is>
          <t>No</t>
        </is>
      </c>
      <c r="B349" t="inlineStr">
        <is>
          <t>CUHSL</t>
        </is>
      </c>
      <c r="C349" t="inlineStr">
        <is>
          <t>SHELVES</t>
        </is>
      </c>
      <c r="D349" t="inlineStr">
        <is>
          <t>WY 18 O99i 1974</t>
        </is>
      </c>
      <c r="E349" t="inlineStr">
        <is>
          <t>0                      WY 0018000O  99i         1974</t>
        </is>
      </c>
      <c r="F349" t="inlineStr">
        <is>
          <t>Initiating a baccalaureate degree program in nursing : asking the essential questions / Dorothy Ozimek.</t>
        </is>
      </c>
      <c r="H349" t="inlineStr">
        <is>
          <t>No</t>
        </is>
      </c>
      <c r="I349" t="inlineStr">
        <is>
          <t>1</t>
        </is>
      </c>
      <c r="J349" t="inlineStr">
        <is>
          <t>No</t>
        </is>
      </c>
      <c r="K349" t="inlineStr">
        <is>
          <t>No</t>
        </is>
      </c>
      <c r="L349" t="inlineStr">
        <is>
          <t>0</t>
        </is>
      </c>
      <c r="M349" t="inlineStr">
        <is>
          <t>Ozimek, Dorothy.</t>
        </is>
      </c>
      <c r="N349" t="inlineStr">
        <is>
          <t>New York : National League for Nursing, [1974]</t>
        </is>
      </c>
      <c r="O349" t="inlineStr">
        <is>
          <t>1974</t>
        </is>
      </c>
      <c r="Q349" t="inlineStr">
        <is>
          <t>eng</t>
        </is>
      </c>
      <c r="R349" t="inlineStr">
        <is>
          <t>nyu</t>
        </is>
      </c>
      <c r="S349" t="inlineStr">
        <is>
          <t>NLN pub. no. 15-1536</t>
        </is>
      </c>
      <c r="T349" t="inlineStr">
        <is>
          <t xml:space="preserve">WY </t>
        </is>
      </c>
      <c r="U349" t="n">
        <v>1</v>
      </c>
      <c r="V349" t="n">
        <v>1</v>
      </c>
      <c r="W349" t="inlineStr">
        <is>
          <t>1990-04-20</t>
        </is>
      </c>
      <c r="X349" t="inlineStr">
        <is>
          <t>1990-04-20</t>
        </is>
      </c>
      <c r="Y349" t="inlineStr">
        <is>
          <t>1987-10-21</t>
        </is>
      </c>
      <c r="Z349" t="inlineStr">
        <is>
          <t>1987-10-21</t>
        </is>
      </c>
      <c r="AA349" t="n">
        <v>55</v>
      </c>
      <c r="AB349" t="n">
        <v>50</v>
      </c>
      <c r="AC349" t="n">
        <v>52</v>
      </c>
      <c r="AD349" t="n">
        <v>1</v>
      </c>
      <c r="AE349" t="n">
        <v>1</v>
      </c>
      <c r="AF349" t="n">
        <v>2</v>
      </c>
      <c r="AG349" t="n">
        <v>2</v>
      </c>
      <c r="AH349" t="n">
        <v>0</v>
      </c>
      <c r="AI349" t="n">
        <v>0</v>
      </c>
      <c r="AJ349" t="n">
        <v>0</v>
      </c>
      <c r="AK349" t="n">
        <v>0</v>
      </c>
      <c r="AL349" t="n">
        <v>2</v>
      </c>
      <c r="AM349" t="n">
        <v>2</v>
      </c>
      <c r="AN349" t="n">
        <v>0</v>
      </c>
      <c r="AO349" t="n">
        <v>0</v>
      </c>
      <c r="AP349" t="n">
        <v>0</v>
      </c>
      <c r="AQ349" t="n">
        <v>0</v>
      </c>
      <c r="AR349" t="inlineStr">
        <is>
          <t>No</t>
        </is>
      </c>
      <c r="AS349" t="inlineStr">
        <is>
          <t>Yes</t>
        </is>
      </c>
      <c r="AT349">
        <f>HYPERLINK("http://catalog.hathitrust.org/Record/001574603","HathiTrust Record")</f>
        <v/>
      </c>
      <c r="AU349">
        <f>HYPERLINK("https://creighton-primo.hosted.exlibrisgroup.com/primo-explore/search?tab=default_tab&amp;search_scope=EVERYTHING&amp;vid=01CRU&amp;lang=en_US&amp;offset=0&amp;query=any,contains,991001368699702656","Catalog Record")</f>
        <v/>
      </c>
      <c r="AV349">
        <f>HYPERLINK("http://www.worldcat.org/oclc/1196029","WorldCat Record")</f>
        <v/>
      </c>
      <c r="AW349" t="inlineStr">
        <is>
          <t>423172630:eng</t>
        </is>
      </c>
      <c r="AX349" t="inlineStr">
        <is>
          <t>1196029</t>
        </is>
      </c>
      <c r="AY349" t="inlineStr">
        <is>
          <t>991001368699702656</t>
        </is>
      </c>
      <c r="AZ349" t="inlineStr">
        <is>
          <t>991001368699702656</t>
        </is>
      </c>
      <c r="BA349" t="inlineStr">
        <is>
          <t>2259744390002656</t>
        </is>
      </c>
      <c r="BB349" t="inlineStr">
        <is>
          <t>BOOK</t>
        </is>
      </c>
      <c r="BE349" t="inlineStr">
        <is>
          <t>30001000461527</t>
        </is>
      </c>
      <c r="BF349" t="inlineStr">
        <is>
          <t>893731947</t>
        </is>
      </c>
    </row>
    <row r="350">
      <c r="A350" t="inlineStr">
        <is>
          <t>No</t>
        </is>
      </c>
      <c r="B350" t="inlineStr">
        <is>
          <t>CUHSL</t>
        </is>
      </c>
      <c r="C350" t="inlineStr">
        <is>
          <t>SHELVES</t>
        </is>
      </c>
      <c r="D350" t="inlineStr">
        <is>
          <t>WY 18 O99n 1976</t>
        </is>
      </c>
      <c r="E350" t="inlineStr">
        <is>
          <t>0                      WY 0018000O  99n         1976</t>
        </is>
      </c>
      <c r="F350" t="inlineStr">
        <is>
          <t>The nurse practitioner : the current situation and implications for curriculum change / Dorothy Ozimek.</t>
        </is>
      </c>
      <c r="H350" t="inlineStr">
        <is>
          <t>No</t>
        </is>
      </c>
      <c r="I350" t="inlineStr">
        <is>
          <t>1</t>
        </is>
      </c>
      <c r="J350" t="inlineStr">
        <is>
          <t>No</t>
        </is>
      </c>
      <c r="K350" t="inlineStr">
        <is>
          <t>No</t>
        </is>
      </c>
      <c r="L350" t="inlineStr">
        <is>
          <t>0</t>
        </is>
      </c>
      <c r="M350" t="inlineStr">
        <is>
          <t>Ozimek, Dorothy.</t>
        </is>
      </c>
      <c r="N350" t="inlineStr">
        <is>
          <t>New York : National League for Nursing, Dept. of Baccalaureate and Higher Degree Programs, c1976.</t>
        </is>
      </c>
      <c r="O350" t="inlineStr">
        <is>
          <t>1976</t>
        </is>
      </c>
      <c r="Q350" t="inlineStr">
        <is>
          <t>eng</t>
        </is>
      </c>
      <c r="R350" t="inlineStr">
        <is>
          <t>xxu</t>
        </is>
      </c>
      <c r="S350" t="inlineStr">
        <is>
          <t>NLN pub. no. 15-1607</t>
        </is>
      </c>
      <c r="T350" t="inlineStr">
        <is>
          <t xml:space="preserve">WY </t>
        </is>
      </c>
      <c r="U350" t="n">
        <v>4</v>
      </c>
      <c r="V350" t="n">
        <v>4</v>
      </c>
      <c r="W350" t="inlineStr">
        <is>
          <t>1994-02-24</t>
        </is>
      </c>
      <c r="X350" t="inlineStr">
        <is>
          <t>1994-02-24</t>
        </is>
      </c>
      <c r="Y350" t="inlineStr">
        <is>
          <t>1987-10-21</t>
        </is>
      </c>
      <c r="Z350" t="inlineStr">
        <is>
          <t>1987-10-21</t>
        </is>
      </c>
      <c r="AA350" t="n">
        <v>94</v>
      </c>
      <c r="AB350" t="n">
        <v>84</v>
      </c>
      <c r="AC350" t="n">
        <v>84</v>
      </c>
      <c r="AD350" t="n">
        <v>2</v>
      </c>
      <c r="AE350" t="n">
        <v>2</v>
      </c>
      <c r="AF350" t="n">
        <v>5</v>
      </c>
      <c r="AG350" t="n">
        <v>5</v>
      </c>
      <c r="AH350" t="n">
        <v>2</v>
      </c>
      <c r="AI350" t="n">
        <v>2</v>
      </c>
      <c r="AJ350" t="n">
        <v>0</v>
      </c>
      <c r="AK350" t="n">
        <v>0</v>
      </c>
      <c r="AL350" t="n">
        <v>2</v>
      </c>
      <c r="AM350" t="n">
        <v>2</v>
      </c>
      <c r="AN350" t="n">
        <v>1</v>
      </c>
      <c r="AO350" t="n">
        <v>1</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HYPERLINK("https://creighton-primo.hosted.exlibrisgroup.com/primo-explore/search?tab=default_tab&amp;search_scope=EVERYTHING&amp;vid=01CRU&amp;lang=en_US&amp;offset=0&amp;query=any,contains,991001369259702656","Catalog Record")</f>
        <v/>
      </c>
      <c r="AV350">
        <f>HYPERLINK("http://www.worldcat.org/oclc/2983758","WorldCat Record")</f>
        <v/>
      </c>
      <c r="AW350" t="inlineStr">
        <is>
          <t>4179211:eng</t>
        </is>
      </c>
      <c r="AX350" t="inlineStr">
        <is>
          <t>2983758</t>
        </is>
      </c>
      <c r="AY350" t="inlineStr">
        <is>
          <t>991001369259702656</t>
        </is>
      </c>
      <c r="AZ350" t="inlineStr">
        <is>
          <t>991001369259702656</t>
        </is>
      </c>
      <c r="BA350" t="inlineStr">
        <is>
          <t>2266691530002656</t>
        </is>
      </c>
      <c r="BB350" t="inlineStr">
        <is>
          <t>BOOK</t>
        </is>
      </c>
      <c r="BE350" t="inlineStr">
        <is>
          <t>30001000461626</t>
        </is>
      </c>
      <c r="BF350" t="inlineStr">
        <is>
          <t>893731949</t>
        </is>
      </c>
    </row>
    <row r="351">
      <c r="A351" t="inlineStr">
        <is>
          <t>No</t>
        </is>
      </c>
      <c r="B351" t="inlineStr">
        <is>
          <t>CUHSL</t>
        </is>
      </c>
      <c r="C351" t="inlineStr">
        <is>
          <t>SHELVES</t>
        </is>
      </c>
      <c r="D351" t="inlineStr">
        <is>
          <t>WY 18 O99s 1977</t>
        </is>
      </c>
      <c r="E351" t="inlineStr">
        <is>
          <t>0                      WY 0018000O  99s         1977</t>
        </is>
      </c>
      <c r="F351" t="inlineStr">
        <is>
          <t>Students have responsibilities as well as rights / Dorothy Ozimek, Helen Yura.</t>
        </is>
      </c>
      <c r="H351" t="inlineStr">
        <is>
          <t>No</t>
        </is>
      </c>
      <c r="I351" t="inlineStr">
        <is>
          <t>1</t>
        </is>
      </c>
      <c r="J351" t="inlineStr">
        <is>
          <t>No</t>
        </is>
      </c>
      <c r="K351" t="inlineStr">
        <is>
          <t>No</t>
        </is>
      </c>
      <c r="L351" t="inlineStr">
        <is>
          <t>0</t>
        </is>
      </c>
      <c r="M351" t="inlineStr">
        <is>
          <t>Ozimek, Dorothy.</t>
        </is>
      </c>
      <c r="N351" t="inlineStr">
        <is>
          <t>New York : National League for Nursing, 1977.</t>
        </is>
      </c>
      <c r="O351" t="inlineStr">
        <is>
          <t>1977</t>
        </is>
      </c>
      <c r="Q351" t="inlineStr">
        <is>
          <t>eng</t>
        </is>
      </c>
      <c r="R351" t="inlineStr">
        <is>
          <t>nyu</t>
        </is>
      </c>
      <c r="S351" t="inlineStr">
        <is>
          <t>NLN pub. no. 15-1666</t>
        </is>
      </c>
      <c r="T351" t="inlineStr">
        <is>
          <t xml:space="preserve">WY </t>
        </is>
      </c>
      <c r="U351" t="n">
        <v>1</v>
      </c>
      <c r="V351" t="n">
        <v>1</v>
      </c>
      <c r="W351" t="inlineStr">
        <is>
          <t>1990-04-20</t>
        </is>
      </c>
      <c r="X351" t="inlineStr">
        <is>
          <t>1990-04-20</t>
        </is>
      </c>
      <c r="Y351" t="inlineStr">
        <is>
          <t>1987-10-26</t>
        </is>
      </c>
      <c r="Z351" t="inlineStr">
        <is>
          <t>1987-10-26</t>
        </is>
      </c>
      <c r="AA351" t="n">
        <v>80</v>
      </c>
      <c r="AB351" t="n">
        <v>66</v>
      </c>
      <c r="AC351" t="n">
        <v>66</v>
      </c>
      <c r="AD351" t="n">
        <v>2</v>
      </c>
      <c r="AE351" t="n">
        <v>2</v>
      </c>
      <c r="AF351" t="n">
        <v>5</v>
      </c>
      <c r="AG351" t="n">
        <v>5</v>
      </c>
      <c r="AH351" t="n">
        <v>1</v>
      </c>
      <c r="AI351" t="n">
        <v>1</v>
      </c>
      <c r="AJ351" t="n">
        <v>0</v>
      </c>
      <c r="AK351" t="n">
        <v>0</v>
      </c>
      <c r="AL351" t="n">
        <v>3</v>
      </c>
      <c r="AM351" t="n">
        <v>3</v>
      </c>
      <c r="AN351" t="n">
        <v>1</v>
      </c>
      <c r="AO351" t="n">
        <v>1</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HYPERLINK("https://creighton-primo.hosted.exlibrisgroup.com/primo-explore/search?tab=default_tab&amp;search_scope=EVERYTHING&amp;vid=01CRU&amp;lang=en_US&amp;offset=0&amp;query=any,contains,991001370589702656","Catalog Record")</f>
        <v/>
      </c>
      <c r="AV351">
        <f>HYPERLINK("http://www.worldcat.org/oclc/3309141","WorldCat Record")</f>
        <v/>
      </c>
      <c r="AW351" t="inlineStr">
        <is>
          <t>9393577:eng</t>
        </is>
      </c>
      <c r="AX351" t="inlineStr">
        <is>
          <t>3309141</t>
        </is>
      </c>
      <c r="AY351" t="inlineStr">
        <is>
          <t>991001370589702656</t>
        </is>
      </c>
      <c r="AZ351" t="inlineStr">
        <is>
          <t>991001370589702656</t>
        </is>
      </c>
      <c r="BA351" t="inlineStr">
        <is>
          <t>2260496000002656</t>
        </is>
      </c>
      <c r="BB351" t="inlineStr">
        <is>
          <t>BOOK</t>
        </is>
      </c>
      <c r="BE351" t="inlineStr">
        <is>
          <t>30001000461725</t>
        </is>
      </c>
      <c r="BF351" t="inlineStr">
        <is>
          <t>893816337</t>
        </is>
      </c>
    </row>
    <row r="352">
      <c r="A352" t="inlineStr">
        <is>
          <t>No</t>
        </is>
      </c>
      <c r="B352" t="inlineStr">
        <is>
          <t>CUHSL</t>
        </is>
      </c>
      <c r="C352" t="inlineStr">
        <is>
          <t>SHELVES</t>
        </is>
      </c>
      <c r="D352" t="inlineStr">
        <is>
          <t>WY 18 P274 1980</t>
        </is>
      </c>
      <c r="E352" t="inlineStr">
        <is>
          <t>0                      WY 0018000P  274         1980</t>
        </is>
      </c>
      <c r="F352" t="inlineStr">
        <is>
          <t>Partners in educational preparation for nursing practice.</t>
        </is>
      </c>
      <c r="H352" t="inlineStr">
        <is>
          <t>No</t>
        </is>
      </c>
      <c r="I352" t="inlineStr">
        <is>
          <t>1</t>
        </is>
      </c>
      <c r="J352" t="inlineStr">
        <is>
          <t>No</t>
        </is>
      </c>
      <c r="K352" t="inlineStr">
        <is>
          <t>No</t>
        </is>
      </c>
      <c r="L352" t="inlineStr">
        <is>
          <t>0</t>
        </is>
      </c>
      <c r="N352" t="inlineStr">
        <is>
          <t>New York, N.Y. : National League for Nursing, c1982.</t>
        </is>
      </c>
      <c r="O352" t="inlineStr">
        <is>
          <t>1982</t>
        </is>
      </c>
      <c r="Q352" t="inlineStr">
        <is>
          <t>eng</t>
        </is>
      </c>
      <c r="R352" t="inlineStr">
        <is>
          <t>xxu</t>
        </is>
      </c>
      <c r="S352" t="inlineStr">
        <is>
          <t>NLN pub. no. 14-1884</t>
        </is>
      </c>
      <c r="T352" t="inlineStr">
        <is>
          <t xml:space="preserve">WY </t>
        </is>
      </c>
      <c r="U352" t="n">
        <v>1</v>
      </c>
      <c r="V352" t="n">
        <v>1</v>
      </c>
      <c r="W352" t="inlineStr">
        <is>
          <t>1990-07-17</t>
        </is>
      </c>
      <c r="X352" t="inlineStr">
        <is>
          <t>1990-07-17</t>
        </is>
      </c>
      <c r="Y352" t="inlineStr">
        <is>
          <t>1987-11-09</t>
        </is>
      </c>
      <c r="Z352" t="inlineStr">
        <is>
          <t>1987-11-09</t>
        </is>
      </c>
      <c r="AA352" t="n">
        <v>93</v>
      </c>
      <c r="AB352" t="n">
        <v>85</v>
      </c>
      <c r="AC352" t="n">
        <v>87</v>
      </c>
      <c r="AD352" t="n">
        <v>1</v>
      </c>
      <c r="AE352" t="n">
        <v>1</v>
      </c>
      <c r="AF352" t="n">
        <v>4</v>
      </c>
      <c r="AG352" t="n">
        <v>4</v>
      </c>
      <c r="AH352" t="n">
        <v>2</v>
      </c>
      <c r="AI352" t="n">
        <v>2</v>
      </c>
      <c r="AJ352" t="n">
        <v>0</v>
      </c>
      <c r="AK352" t="n">
        <v>0</v>
      </c>
      <c r="AL352" t="n">
        <v>2</v>
      </c>
      <c r="AM352" t="n">
        <v>2</v>
      </c>
      <c r="AN352" t="n">
        <v>0</v>
      </c>
      <c r="AO352" t="n">
        <v>0</v>
      </c>
      <c r="AP352" t="n">
        <v>0</v>
      </c>
      <c r="AQ352" t="n">
        <v>0</v>
      </c>
      <c r="AR352" t="inlineStr">
        <is>
          <t>No</t>
        </is>
      </c>
      <c r="AS352" t="inlineStr">
        <is>
          <t>Yes</t>
        </is>
      </c>
      <c r="AT352">
        <f>HYPERLINK("http://catalog.hathitrust.org/Record/002510417","HathiTrust Record")</f>
        <v/>
      </c>
      <c r="AU352">
        <f>HYPERLINK("https://creighton-primo.hosted.exlibrisgroup.com/primo-explore/search?tab=default_tab&amp;search_scope=EVERYTHING&amp;vid=01CRU&amp;lang=en_US&amp;offset=0&amp;query=any,contains,991001389149702656","Catalog Record")</f>
        <v/>
      </c>
      <c r="AV352">
        <f>HYPERLINK("http://www.worldcat.org/oclc/8764393","WorldCat Record")</f>
        <v/>
      </c>
      <c r="AW352" t="inlineStr">
        <is>
          <t>426866121:eng</t>
        </is>
      </c>
      <c r="AX352" t="inlineStr">
        <is>
          <t>8764393</t>
        </is>
      </c>
      <c r="AY352" t="inlineStr">
        <is>
          <t>991001389149702656</t>
        </is>
      </c>
      <c r="AZ352" t="inlineStr">
        <is>
          <t>991001389149702656</t>
        </is>
      </c>
      <c r="BA352" t="inlineStr">
        <is>
          <t>2265491520002656</t>
        </is>
      </c>
      <c r="BB352" t="inlineStr">
        <is>
          <t>BOOK</t>
        </is>
      </c>
      <c r="BE352" t="inlineStr">
        <is>
          <t>30001000464513</t>
        </is>
      </c>
      <c r="BF352" t="inlineStr">
        <is>
          <t>893731969</t>
        </is>
      </c>
    </row>
    <row r="353">
      <c r="A353" t="inlineStr">
        <is>
          <t>No</t>
        </is>
      </c>
      <c r="B353" t="inlineStr">
        <is>
          <t>CUHSL</t>
        </is>
      </c>
      <c r="C353" t="inlineStr">
        <is>
          <t>SHELVES</t>
        </is>
      </c>
      <c r="D353" t="inlineStr">
        <is>
          <t>WY 18 P317g 1986</t>
        </is>
      </c>
      <c r="E353" t="inlineStr">
        <is>
          <t>0                      WY 0018000P  317g        1986</t>
        </is>
      </c>
      <c r="F353" t="inlineStr">
        <is>
          <t>A guide to JCAH nursing services standards.</t>
        </is>
      </c>
      <c r="H353" t="inlineStr">
        <is>
          <t>No</t>
        </is>
      </c>
      <c r="I353" t="inlineStr">
        <is>
          <t>1</t>
        </is>
      </c>
      <c r="J353" t="inlineStr">
        <is>
          <t>No</t>
        </is>
      </c>
      <c r="K353" t="inlineStr">
        <is>
          <t>No</t>
        </is>
      </c>
      <c r="L353" t="inlineStr">
        <is>
          <t>0</t>
        </is>
      </c>
      <c r="M353" t="inlineStr">
        <is>
          <t>Patterson, Carole H.</t>
        </is>
      </c>
      <c r="N353" t="inlineStr">
        <is>
          <t>Chicago, Ill. : Joint Commission on Accreditation of Hospitals, c1986.</t>
        </is>
      </c>
      <c r="O353" t="inlineStr">
        <is>
          <t>1986</t>
        </is>
      </c>
      <c r="P353" t="inlineStr">
        <is>
          <t>2nd ed.</t>
        </is>
      </c>
      <c r="Q353" t="inlineStr">
        <is>
          <t>eng</t>
        </is>
      </c>
      <c r="R353" t="inlineStr">
        <is>
          <t>xxu</t>
        </is>
      </c>
      <c r="T353" t="inlineStr">
        <is>
          <t xml:space="preserve">WY </t>
        </is>
      </c>
      <c r="U353" t="n">
        <v>10</v>
      </c>
      <c r="V353" t="n">
        <v>10</v>
      </c>
      <c r="W353" t="inlineStr">
        <is>
          <t>1989-03-31</t>
        </is>
      </c>
      <c r="X353" t="inlineStr">
        <is>
          <t>1989-03-31</t>
        </is>
      </c>
      <c r="Y353" t="inlineStr">
        <is>
          <t>1989-02-23</t>
        </is>
      </c>
      <c r="Z353" t="inlineStr">
        <is>
          <t>1989-02-23</t>
        </is>
      </c>
      <c r="AA353" t="n">
        <v>112</v>
      </c>
      <c r="AB353" t="n">
        <v>108</v>
      </c>
      <c r="AC353" t="n">
        <v>150</v>
      </c>
      <c r="AD353" t="n">
        <v>1</v>
      </c>
      <c r="AE353" t="n">
        <v>1</v>
      </c>
      <c r="AF353" t="n">
        <v>0</v>
      </c>
      <c r="AG353" t="n">
        <v>0</v>
      </c>
      <c r="AH353" t="n">
        <v>0</v>
      </c>
      <c r="AI353" t="n">
        <v>0</v>
      </c>
      <c r="AJ353" t="n">
        <v>0</v>
      </c>
      <c r="AK353" t="n">
        <v>0</v>
      </c>
      <c r="AL353" t="n">
        <v>0</v>
      </c>
      <c r="AM353" t="n">
        <v>0</v>
      </c>
      <c r="AN353" t="n">
        <v>0</v>
      </c>
      <c r="AO353" t="n">
        <v>0</v>
      </c>
      <c r="AP353" t="n">
        <v>0</v>
      </c>
      <c r="AQ353" t="n">
        <v>0</v>
      </c>
      <c r="AR353" t="inlineStr">
        <is>
          <t>No</t>
        </is>
      </c>
      <c r="AS353" t="inlineStr">
        <is>
          <t>Yes</t>
        </is>
      </c>
      <c r="AT353">
        <f>HYPERLINK("http://catalog.hathitrust.org/Record/000806024","HathiTrust Record")</f>
        <v/>
      </c>
      <c r="AU353">
        <f>HYPERLINK("https://creighton-primo.hosted.exlibrisgroup.com/primo-explore/search?tab=default_tab&amp;search_scope=EVERYTHING&amp;vid=01CRU&amp;lang=en_US&amp;offset=0&amp;query=any,contains,991001239179702656","Catalog Record")</f>
        <v/>
      </c>
      <c r="AV353">
        <f>HYPERLINK("http://www.worldcat.org/oclc/14282722","WorldCat Record")</f>
        <v/>
      </c>
      <c r="AW353" t="inlineStr">
        <is>
          <t>1909011394:eng</t>
        </is>
      </c>
      <c r="AX353" t="inlineStr">
        <is>
          <t>14282722</t>
        </is>
      </c>
      <c r="AY353" t="inlineStr">
        <is>
          <t>991001239179702656</t>
        </is>
      </c>
      <c r="AZ353" t="inlineStr">
        <is>
          <t>991001239179702656</t>
        </is>
      </c>
      <c r="BA353" t="inlineStr">
        <is>
          <t>2271107500002656</t>
        </is>
      </c>
      <c r="BB353" t="inlineStr">
        <is>
          <t>BOOK</t>
        </is>
      </c>
      <c r="BD353" t="inlineStr">
        <is>
          <t>9780866881067</t>
        </is>
      </c>
      <c r="BE353" t="inlineStr">
        <is>
          <t>30001001675224</t>
        </is>
      </c>
      <c r="BF353" t="inlineStr">
        <is>
          <t>893541150</t>
        </is>
      </c>
    </row>
    <row r="354">
      <c r="A354" t="inlineStr">
        <is>
          <t>No</t>
        </is>
      </c>
      <c r="B354" t="inlineStr">
        <is>
          <t>CUHSL</t>
        </is>
      </c>
      <c r="C354" t="inlineStr">
        <is>
          <t>SHELVES</t>
        </is>
      </c>
      <c r="D354" t="inlineStr">
        <is>
          <t>WY 18 P753w 1997</t>
        </is>
      </c>
      <c r="E354" t="inlineStr">
        <is>
          <t>0                      WY 0018000P  753w        1997</t>
        </is>
      </c>
      <c r="F354" t="inlineStr">
        <is>
          <t>Writing-to-learn : curricular strategies for nursing and other disciplines / Gail P. Poirrier.</t>
        </is>
      </c>
      <c r="H354" t="inlineStr">
        <is>
          <t>No</t>
        </is>
      </c>
      <c r="I354" t="inlineStr">
        <is>
          <t>1</t>
        </is>
      </c>
      <c r="J354" t="inlineStr">
        <is>
          <t>No</t>
        </is>
      </c>
      <c r="K354" t="inlineStr">
        <is>
          <t>No</t>
        </is>
      </c>
      <c r="L354" t="inlineStr">
        <is>
          <t>0</t>
        </is>
      </c>
      <c r="M354" t="inlineStr">
        <is>
          <t>Poirrier, Gail P.</t>
        </is>
      </c>
      <c r="N354" t="inlineStr">
        <is>
          <t>New York : NLN Press, c1997.</t>
        </is>
      </c>
      <c r="O354" t="inlineStr">
        <is>
          <t>1997</t>
        </is>
      </c>
      <c r="Q354" t="inlineStr">
        <is>
          <t>eng</t>
        </is>
      </c>
      <c r="R354" t="inlineStr">
        <is>
          <t>nyu</t>
        </is>
      </c>
      <c r="S354" t="inlineStr">
        <is>
          <t>NLN pub. no. 14-7238</t>
        </is>
      </c>
      <c r="T354" t="inlineStr">
        <is>
          <t xml:space="preserve">WY </t>
        </is>
      </c>
      <c r="U354" t="n">
        <v>6</v>
      </c>
      <c r="V354" t="n">
        <v>6</v>
      </c>
      <c r="W354" t="inlineStr">
        <is>
          <t>2010-04-11</t>
        </is>
      </c>
      <c r="X354" t="inlineStr">
        <is>
          <t>2010-04-11</t>
        </is>
      </c>
      <c r="Y354" t="inlineStr">
        <is>
          <t>2000-06-15</t>
        </is>
      </c>
      <c r="Z354" t="inlineStr">
        <is>
          <t>2000-06-15</t>
        </is>
      </c>
      <c r="AA354" t="n">
        <v>319</v>
      </c>
      <c r="AB354" t="n">
        <v>293</v>
      </c>
      <c r="AC354" t="n">
        <v>310</v>
      </c>
      <c r="AD354" t="n">
        <v>2</v>
      </c>
      <c r="AE354" t="n">
        <v>2</v>
      </c>
      <c r="AF354" t="n">
        <v>22</v>
      </c>
      <c r="AG354" t="n">
        <v>22</v>
      </c>
      <c r="AH354" t="n">
        <v>8</v>
      </c>
      <c r="AI354" t="n">
        <v>8</v>
      </c>
      <c r="AJ354" t="n">
        <v>6</v>
      </c>
      <c r="AK354" t="n">
        <v>6</v>
      </c>
      <c r="AL354" t="n">
        <v>11</v>
      </c>
      <c r="AM354" t="n">
        <v>11</v>
      </c>
      <c r="AN354" t="n">
        <v>1</v>
      </c>
      <c r="AO354" t="n">
        <v>1</v>
      </c>
      <c r="AP354" t="n">
        <v>0</v>
      </c>
      <c r="AQ354" t="n">
        <v>0</v>
      </c>
      <c r="AR354" t="inlineStr">
        <is>
          <t>No</t>
        </is>
      </c>
      <c r="AS354" t="inlineStr">
        <is>
          <t>Yes</t>
        </is>
      </c>
      <c r="AT354">
        <f>HYPERLINK("http://catalog.hathitrust.org/Record/003112599","HathiTrust Record")</f>
        <v/>
      </c>
      <c r="AU354">
        <f>HYPERLINK("https://creighton-primo.hosted.exlibrisgroup.com/primo-explore/search?tab=default_tab&amp;search_scope=EVERYTHING&amp;vid=01CRU&amp;lang=en_US&amp;offset=0&amp;query=any,contains,991000263779702656","Catalog Record")</f>
        <v/>
      </c>
      <c r="AV354">
        <f>HYPERLINK("http://www.worldcat.org/oclc/35829046","WorldCat Record")</f>
        <v/>
      </c>
      <c r="AW354" t="inlineStr">
        <is>
          <t>323066136:eng</t>
        </is>
      </c>
      <c r="AX354" t="inlineStr">
        <is>
          <t>35829046</t>
        </is>
      </c>
      <c r="AY354" t="inlineStr">
        <is>
          <t>991000263779702656</t>
        </is>
      </c>
      <c r="AZ354" t="inlineStr">
        <is>
          <t>991000263779702656</t>
        </is>
      </c>
      <c r="BA354" t="inlineStr">
        <is>
          <t>2257341630002656</t>
        </is>
      </c>
      <c r="BB354" t="inlineStr">
        <is>
          <t>BOOK</t>
        </is>
      </c>
      <c r="BD354" t="inlineStr">
        <is>
          <t>9780887377235</t>
        </is>
      </c>
      <c r="BE354" t="inlineStr">
        <is>
          <t>30001003520212</t>
        </is>
      </c>
      <c r="BF354" t="inlineStr">
        <is>
          <t>893365256</t>
        </is>
      </c>
    </row>
    <row r="355">
      <c r="A355" t="inlineStr">
        <is>
          <t>No</t>
        </is>
      </c>
      <c r="B355" t="inlineStr">
        <is>
          <t>CUHSL</t>
        </is>
      </c>
      <c r="C355" t="inlineStr">
        <is>
          <t>SHELVES</t>
        </is>
      </c>
      <c r="D355" t="inlineStr">
        <is>
          <t>WY 18 P925 1958</t>
        </is>
      </c>
      <c r="E355" t="inlineStr">
        <is>
          <t>0                      WY 0018000P  925         1958</t>
        </is>
      </c>
      <c r="F355" t="inlineStr">
        <is>
          <t>Preliminary steps in establishing an associate degree program in nursing in the junior college : developed at a Workshop on Associate Degree Programs in Nursing, sponsored by the Extension Division, University of California, Berkeley, California, June 23-July 11, 1958.</t>
        </is>
      </c>
      <c r="H355" t="inlineStr">
        <is>
          <t>No</t>
        </is>
      </c>
      <c r="I355" t="inlineStr">
        <is>
          <t>1</t>
        </is>
      </c>
      <c r="J355" t="inlineStr">
        <is>
          <t>No</t>
        </is>
      </c>
      <c r="K355" t="inlineStr">
        <is>
          <t>No</t>
        </is>
      </c>
      <c r="L355" t="inlineStr">
        <is>
          <t>0</t>
        </is>
      </c>
      <c r="N355" t="inlineStr">
        <is>
          <t>New York : National League for Nursing, 1958.</t>
        </is>
      </c>
      <c r="O355" t="inlineStr">
        <is>
          <t>1958</t>
        </is>
      </c>
      <c r="Q355" t="inlineStr">
        <is>
          <t>eng</t>
        </is>
      </c>
      <c r="R355" t="inlineStr">
        <is>
          <t>nyu</t>
        </is>
      </c>
      <c r="S355" t="inlineStr">
        <is>
          <t>League exchange ; no. 31</t>
        </is>
      </c>
      <c r="T355" t="inlineStr">
        <is>
          <t xml:space="preserve">WY </t>
        </is>
      </c>
      <c r="U355" t="n">
        <v>1</v>
      </c>
      <c r="V355" t="n">
        <v>1</v>
      </c>
      <c r="W355" t="inlineStr">
        <is>
          <t>1990-09-05</t>
        </is>
      </c>
      <c r="X355" t="inlineStr">
        <is>
          <t>1990-09-05</t>
        </is>
      </c>
      <c r="Y355" t="inlineStr">
        <is>
          <t>1987-10-29</t>
        </is>
      </c>
      <c r="Z355" t="inlineStr">
        <is>
          <t>1987-10-29</t>
        </is>
      </c>
      <c r="AA355" t="n">
        <v>18</v>
      </c>
      <c r="AB355" t="n">
        <v>17</v>
      </c>
      <c r="AC355" t="n">
        <v>17</v>
      </c>
      <c r="AD355" t="n">
        <v>1</v>
      </c>
      <c r="AE355" t="n">
        <v>1</v>
      </c>
      <c r="AF355" t="n">
        <v>2</v>
      </c>
      <c r="AG355" t="n">
        <v>2</v>
      </c>
      <c r="AH355" t="n">
        <v>0</v>
      </c>
      <c r="AI355" t="n">
        <v>0</v>
      </c>
      <c r="AJ355" t="n">
        <v>0</v>
      </c>
      <c r="AK355" t="n">
        <v>0</v>
      </c>
      <c r="AL355" t="n">
        <v>2</v>
      </c>
      <c r="AM355" t="n">
        <v>2</v>
      </c>
      <c r="AN355" t="n">
        <v>0</v>
      </c>
      <c r="AO355" t="n">
        <v>0</v>
      </c>
      <c r="AP355" t="n">
        <v>0</v>
      </c>
      <c r="AQ355" t="n">
        <v>0</v>
      </c>
      <c r="AR355" t="inlineStr">
        <is>
          <t>No</t>
        </is>
      </c>
      <c r="AS355" t="inlineStr">
        <is>
          <t>No</t>
        </is>
      </c>
      <c r="AU355">
        <f>HYPERLINK("https://creighton-primo.hosted.exlibrisgroup.com/primo-explore/search?tab=default_tab&amp;search_scope=EVERYTHING&amp;vid=01CRU&amp;lang=en_US&amp;offset=0&amp;query=any,contains,991001374949702656","Catalog Record")</f>
        <v/>
      </c>
      <c r="AV355">
        <f>HYPERLINK("http://www.worldcat.org/oclc/1007704","WorldCat Record")</f>
        <v/>
      </c>
      <c r="AW355" t="inlineStr">
        <is>
          <t>5608694696:eng</t>
        </is>
      </c>
      <c r="AX355" t="inlineStr">
        <is>
          <t>1007704</t>
        </is>
      </c>
      <c r="AY355" t="inlineStr">
        <is>
          <t>991001374949702656</t>
        </is>
      </c>
      <c r="AZ355" t="inlineStr">
        <is>
          <t>991001374949702656</t>
        </is>
      </c>
      <c r="BA355" t="inlineStr">
        <is>
          <t>2262477930002656</t>
        </is>
      </c>
      <c r="BB355" t="inlineStr">
        <is>
          <t>BOOK</t>
        </is>
      </c>
      <c r="BE355" t="inlineStr">
        <is>
          <t>30001000462103</t>
        </is>
      </c>
      <c r="BF355" t="inlineStr">
        <is>
          <t>893134502</t>
        </is>
      </c>
    </row>
    <row r="356">
      <c r="A356" t="inlineStr">
        <is>
          <t>No</t>
        </is>
      </c>
      <c r="B356" t="inlineStr">
        <is>
          <t>CUHSL</t>
        </is>
      </c>
      <c r="C356" t="inlineStr">
        <is>
          <t>SHELVES</t>
        </is>
      </c>
      <c r="D356" t="inlineStr">
        <is>
          <t>WY 18 P929 1976</t>
        </is>
      </c>
      <c r="E356" t="inlineStr">
        <is>
          <t>0                      WY 0018000P  929         1976</t>
        </is>
      </c>
      <c r="F356" t="inlineStr">
        <is>
          <t>Preparing the associate degree graduate.</t>
        </is>
      </c>
      <c r="H356" t="inlineStr">
        <is>
          <t>No</t>
        </is>
      </c>
      <c r="I356" t="inlineStr">
        <is>
          <t>1</t>
        </is>
      </c>
      <c r="J356" t="inlineStr">
        <is>
          <t>No</t>
        </is>
      </c>
      <c r="K356" t="inlineStr">
        <is>
          <t>No</t>
        </is>
      </c>
      <c r="L356" t="inlineStr">
        <is>
          <t>0</t>
        </is>
      </c>
      <c r="N356" t="inlineStr">
        <is>
          <t>New York : National League for Nursing, c1977.</t>
        </is>
      </c>
      <c r="O356" t="inlineStr">
        <is>
          <t>1976</t>
        </is>
      </c>
      <c r="Q356" t="inlineStr">
        <is>
          <t>eng</t>
        </is>
      </c>
      <c r="R356" t="inlineStr">
        <is>
          <t>nyu</t>
        </is>
      </c>
      <c r="S356" t="inlineStr">
        <is>
          <t>NLN pub. no. 23-1661</t>
        </is>
      </c>
      <c r="T356" t="inlineStr">
        <is>
          <t xml:space="preserve">WY </t>
        </is>
      </c>
      <c r="U356" t="n">
        <v>2</v>
      </c>
      <c r="V356" t="n">
        <v>2</v>
      </c>
      <c r="W356" t="inlineStr">
        <is>
          <t>1990-08-03</t>
        </is>
      </c>
      <c r="X356" t="inlineStr">
        <is>
          <t>1990-08-03</t>
        </is>
      </c>
      <c r="Y356" t="inlineStr">
        <is>
          <t>1987-11-05</t>
        </is>
      </c>
      <c r="Z356" t="inlineStr">
        <is>
          <t>1987-11-05</t>
        </is>
      </c>
      <c r="AA356" t="n">
        <v>89</v>
      </c>
      <c r="AB356" t="n">
        <v>76</v>
      </c>
      <c r="AC356" t="n">
        <v>78</v>
      </c>
      <c r="AD356" t="n">
        <v>3</v>
      </c>
      <c r="AE356" t="n">
        <v>3</v>
      </c>
      <c r="AF356" t="n">
        <v>4</v>
      </c>
      <c r="AG356" t="n">
        <v>4</v>
      </c>
      <c r="AH356" t="n">
        <v>0</v>
      </c>
      <c r="AI356" t="n">
        <v>0</v>
      </c>
      <c r="AJ356" t="n">
        <v>0</v>
      </c>
      <c r="AK356" t="n">
        <v>0</v>
      </c>
      <c r="AL356" t="n">
        <v>3</v>
      </c>
      <c r="AM356" t="n">
        <v>3</v>
      </c>
      <c r="AN356" t="n">
        <v>1</v>
      </c>
      <c r="AO356" t="n">
        <v>1</v>
      </c>
      <c r="AP356" t="n">
        <v>0</v>
      </c>
      <c r="AQ356" t="n">
        <v>0</v>
      </c>
      <c r="AR356" t="inlineStr">
        <is>
          <t>No</t>
        </is>
      </c>
      <c r="AS356" t="inlineStr">
        <is>
          <t>Yes</t>
        </is>
      </c>
      <c r="AT356">
        <f>HYPERLINK("http://catalog.hathitrust.org/Record/000017590","HathiTrust Record")</f>
        <v/>
      </c>
      <c r="AU356">
        <f>HYPERLINK("https://creighton-primo.hosted.exlibrisgroup.com/primo-explore/search?tab=default_tab&amp;search_scope=EVERYTHING&amp;vid=01CRU&amp;lang=en_US&amp;offset=0&amp;query=any,contains,991001387979702656","Catalog Record")</f>
        <v/>
      </c>
      <c r="AV356">
        <f>HYPERLINK("http://www.worldcat.org/oclc/3273187","WorldCat Record")</f>
        <v/>
      </c>
      <c r="AW356" t="inlineStr">
        <is>
          <t>9223736:eng</t>
        </is>
      </c>
      <c r="AX356" t="inlineStr">
        <is>
          <t>3273187</t>
        </is>
      </c>
      <c r="AY356" t="inlineStr">
        <is>
          <t>991001387979702656</t>
        </is>
      </c>
      <c r="AZ356" t="inlineStr">
        <is>
          <t>991001387979702656</t>
        </is>
      </c>
      <c r="BA356" t="inlineStr">
        <is>
          <t>2260865880002656</t>
        </is>
      </c>
      <c r="BB356" t="inlineStr">
        <is>
          <t>BOOK</t>
        </is>
      </c>
      <c r="BE356" t="inlineStr">
        <is>
          <t>30001000464208</t>
        </is>
      </c>
      <c r="BF356" t="inlineStr">
        <is>
          <t>893826696</t>
        </is>
      </c>
    </row>
    <row r="357">
      <c r="A357" t="inlineStr">
        <is>
          <t>No</t>
        </is>
      </c>
      <c r="B357" t="inlineStr">
        <is>
          <t>CUHSL</t>
        </is>
      </c>
      <c r="C357" t="inlineStr">
        <is>
          <t>SHELVES</t>
        </is>
      </c>
      <c r="D357" t="inlineStr">
        <is>
          <t>WY 18 P9632 1977</t>
        </is>
      </c>
      <c r="E357" t="inlineStr">
        <is>
          <t>0                      WY 0018000P  9632        1977</t>
        </is>
      </c>
      <c r="F357" t="inlineStr">
        <is>
          <t>Productivity.</t>
        </is>
      </c>
      <c r="H357" t="inlineStr">
        <is>
          <t>No</t>
        </is>
      </c>
      <c r="I357" t="inlineStr">
        <is>
          <t>1</t>
        </is>
      </c>
      <c r="J357" t="inlineStr">
        <is>
          <t>No</t>
        </is>
      </c>
      <c r="K357" t="inlineStr">
        <is>
          <t>No</t>
        </is>
      </c>
      <c r="L357" t="inlineStr">
        <is>
          <t>0</t>
        </is>
      </c>
      <c r="N357" t="inlineStr">
        <is>
          <t>New York : National League for Nursing, 1977.</t>
        </is>
      </c>
      <c r="O357" t="inlineStr">
        <is>
          <t>1977</t>
        </is>
      </c>
      <c r="Q357" t="inlineStr">
        <is>
          <t>eng</t>
        </is>
      </c>
      <c r="R357" t="inlineStr">
        <is>
          <t>nyu</t>
        </is>
      </c>
      <c r="S357" t="inlineStr">
        <is>
          <t>NLN pub. no. 23-1688</t>
        </is>
      </c>
      <c r="T357" t="inlineStr">
        <is>
          <t xml:space="preserve">WY </t>
        </is>
      </c>
      <c r="U357" t="n">
        <v>2</v>
      </c>
      <c r="V357" t="n">
        <v>2</v>
      </c>
      <c r="W357" t="inlineStr">
        <is>
          <t>2003-02-11</t>
        </is>
      </c>
      <c r="X357" t="inlineStr">
        <is>
          <t>2003-02-11</t>
        </is>
      </c>
      <c r="Y357" t="inlineStr">
        <is>
          <t>1987-11-05</t>
        </is>
      </c>
      <c r="Z357" t="inlineStr">
        <is>
          <t>1987-11-05</t>
        </is>
      </c>
      <c r="AA357" t="n">
        <v>65</v>
      </c>
      <c r="AB357" t="n">
        <v>58</v>
      </c>
      <c r="AC357" t="n">
        <v>60</v>
      </c>
      <c r="AD357" t="n">
        <v>1</v>
      </c>
      <c r="AE357" t="n">
        <v>1</v>
      </c>
      <c r="AF357" t="n">
        <v>2</v>
      </c>
      <c r="AG357" t="n">
        <v>2</v>
      </c>
      <c r="AH357" t="n">
        <v>0</v>
      </c>
      <c r="AI357" t="n">
        <v>0</v>
      </c>
      <c r="AJ357" t="n">
        <v>0</v>
      </c>
      <c r="AK357" t="n">
        <v>0</v>
      </c>
      <c r="AL357" t="n">
        <v>2</v>
      </c>
      <c r="AM357" t="n">
        <v>2</v>
      </c>
      <c r="AN357" t="n">
        <v>0</v>
      </c>
      <c r="AO357" t="n">
        <v>0</v>
      </c>
      <c r="AP357" t="n">
        <v>0</v>
      </c>
      <c r="AQ357" t="n">
        <v>0</v>
      </c>
      <c r="AR357" t="inlineStr">
        <is>
          <t>No</t>
        </is>
      </c>
      <c r="AS357" t="inlineStr">
        <is>
          <t>Yes</t>
        </is>
      </c>
      <c r="AT357">
        <f>HYPERLINK("http://catalog.hathitrust.org/Record/001545896","HathiTrust Record")</f>
        <v/>
      </c>
      <c r="AU357">
        <f>HYPERLINK("https://creighton-primo.hosted.exlibrisgroup.com/primo-explore/search?tab=default_tab&amp;search_scope=EVERYTHING&amp;vid=01CRU&amp;lang=en_US&amp;offset=0&amp;query=any,contains,991001388099702656","Catalog Record")</f>
        <v/>
      </c>
      <c r="AV357">
        <f>HYPERLINK("http://www.worldcat.org/oclc/3441956","WorldCat Record")</f>
        <v/>
      </c>
      <c r="AW357" t="inlineStr">
        <is>
          <t>54201695:eng</t>
        </is>
      </c>
      <c r="AX357" t="inlineStr">
        <is>
          <t>3441956</t>
        </is>
      </c>
      <c r="AY357" t="inlineStr">
        <is>
          <t>991001388099702656</t>
        </is>
      </c>
      <c r="AZ357" t="inlineStr">
        <is>
          <t>991001388099702656</t>
        </is>
      </c>
      <c r="BA357" t="inlineStr">
        <is>
          <t>2264941740002656</t>
        </is>
      </c>
      <c r="BB357" t="inlineStr">
        <is>
          <t>BOOK</t>
        </is>
      </c>
      <c r="BE357" t="inlineStr">
        <is>
          <t>30001000464232</t>
        </is>
      </c>
      <c r="BF357" t="inlineStr">
        <is>
          <t>893552425</t>
        </is>
      </c>
    </row>
    <row r="358">
      <c r="A358" t="inlineStr">
        <is>
          <t>No</t>
        </is>
      </c>
      <c r="B358" t="inlineStr">
        <is>
          <t>CUHSL</t>
        </is>
      </c>
      <c r="C358" t="inlineStr">
        <is>
          <t>SHELVES</t>
        </is>
      </c>
      <c r="D358" t="inlineStr">
        <is>
          <t>WY 18 P9635 1928</t>
        </is>
      </c>
      <c r="E358" t="inlineStr">
        <is>
          <t>0                      WY 0018000P  9635        1928</t>
        </is>
      </c>
      <c r="F358" t="inlineStr">
        <is>
          <t>Proceedings of conference on nursing schools connected with colleges and universities : under the auspices of the Department of Nursing Education of Teachers College and the Committee on University Relations of the National League of Nursing Education held at Teachers College, Columbia University, New York City, January 21 to January 25, 1928.</t>
        </is>
      </c>
      <c r="H358" t="inlineStr">
        <is>
          <t>No</t>
        </is>
      </c>
      <c r="I358" t="inlineStr">
        <is>
          <t>1</t>
        </is>
      </c>
      <c r="J358" t="inlineStr">
        <is>
          <t>No</t>
        </is>
      </c>
      <c r="K358" t="inlineStr">
        <is>
          <t>No</t>
        </is>
      </c>
      <c r="L358" t="inlineStr">
        <is>
          <t>0</t>
        </is>
      </c>
      <c r="N358" t="inlineStr">
        <is>
          <t>New York, NY : National League of Nursing Education, 1928.</t>
        </is>
      </c>
      <c r="O358" t="inlineStr">
        <is>
          <t>1928</t>
        </is>
      </c>
      <c r="Q358" t="inlineStr">
        <is>
          <t>eng</t>
        </is>
      </c>
      <c r="R358" t="inlineStr">
        <is>
          <t>nyu</t>
        </is>
      </c>
      <c r="T358" t="inlineStr">
        <is>
          <t xml:space="preserve">WY </t>
        </is>
      </c>
      <c r="U358" t="n">
        <v>2</v>
      </c>
      <c r="V358" t="n">
        <v>2</v>
      </c>
      <c r="W358" t="inlineStr">
        <is>
          <t>1990-09-11</t>
        </is>
      </c>
      <c r="X358" t="inlineStr">
        <is>
          <t>1990-09-11</t>
        </is>
      </c>
      <c r="Y358" t="inlineStr">
        <is>
          <t>1987-11-19</t>
        </is>
      </c>
      <c r="Z358" t="inlineStr">
        <is>
          <t>1987-11-19</t>
        </is>
      </c>
      <c r="AA358" t="n">
        <v>17</v>
      </c>
      <c r="AB358" t="n">
        <v>16</v>
      </c>
      <c r="AC358" t="n">
        <v>42</v>
      </c>
      <c r="AD358" t="n">
        <v>1</v>
      </c>
      <c r="AE358" t="n">
        <v>1</v>
      </c>
      <c r="AF358" t="n">
        <v>1</v>
      </c>
      <c r="AG358" t="n">
        <v>1</v>
      </c>
      <c r="AH358" t="n">
        <v>0</v>
      </c>
      <c r="AI358" t="n">
        <v>0</v>
      </c>
      <c r="AJ358" t="n">
        <v>0</v>
      </c>
      <c r="AK358" t="n">
        <v>0</v>
      </c>
      <c r="AL358" t="n">
        <v>1</v>
      </c>
      <c r="AM358" t="n">
        <v>1</v>
      </c>
      <c r="AN358" t="n">
        <v>0</v>
      </c>
      <c r="AO358" t="n">
        <v>0</v>
      </c>
      <c r="AP358" t="n">
        <v>0</v>
      </c>
      <c r="AQ358" t="n">
        <v>0</v>
      </c>
      <c r="AR358" t="inlineStr">
        <is>
          <t>No</t>
        </is>
      </c>
      <c r="AS358" t="inlineStr">
        <is>
          <t>No</t>
        </is>
      </c>
      <c r="AU358">
        <f>HYPERLINK("https://creighton-primo.hosted.exlibrisgroup.com/primo-explore/search?tab=default_tab&amp;search_scope=EVERYTHING&amp;vid=01CRU&amp;lang=en_US&amp;offset=0&amp;query=any,contains,991001518079702656","Catalog Record")</f>
        <v/>
      </c>
      <c r="AV358">
        <f>HYPERLINK("http://www.worldcat.org/oclc/4757104","WorldCat Record")</f>
        <v/>
      </c>
      <c r="AW358" t="inlineStr">
        <is>
          <t>14974781:eng</t>
        </is>
      </c>
      <c r="AX358" t="inlineStr">
        <is>
          <t>4757104</t>
        </is>
      </c>
      <c r="AY358" t="inlineStr">
        <is>
          <t>991001518079702656</t>
        </is>
      </c>
      <c r="AZ358" t="inlineStr">
        <is>
          <t>991001518079702656</t>
        </is>
      </c>
      <c r="BA358" t="inlineStr">
        <is>
          <t>2260661670002656</t>
        </is>
      </c>
      <c r="BB358" t="inlineStr">
        <is>
          <t>BOOK</t>
        </is>
      </c>
      <c r="BE358" t="inlineStr">
        <is>
          <t>30001000600348</t>
        </is>
      </c>
      <c r="BF358" t="inlineStr">
        <is>
          <t>893558057</t>
        </is>
      </c>
    </row>
    <row r="359">
      <c r="A359" t="inlineStr">
        <is>
          <t>No</t>
        </is>
      </c>
      <c r="B359" t="inlineStr">
        <is>
          <t>CUHSL</t>
        </is>
      </c>
      <c r="C359" t="inlineStr">
        <is>
          <t>SHELVES</t>
        </is>
      </c>
      <c r="D359" t="inlineStr">
        <is>
          <t>WY 18 P974 1959</t>
        </is>
      </c>
      <c r="E359" t="inlineStr">
        <is>
          <t>0                      WY 0018000P  974         1959</t>
        </is>
      </c>
      <c r="F359" t="inlineStr">
        <is>
          <t>Psychiatric nursing concepts and basic nursing education : proceedings of the conference at Boulder, Colorado, June 15-18, 1959.</t>
        </is>
      </c>
      <c r="H359" t="inlineStr">
        <is>
          <t>No</t>
        </is>
      </c>
      <c r="I359" t="inlineStr">
        <is>
          <t>1</t>
        </is>
      </c>
      <c r="J359" t="inlineStr">
        <is>
          <t>No</t>
        </is>
      </c>
      <c r="K359" t="inlineStr">
        <is>
          <t>No</t>
        </is>
      </c>
      <c r="L359" t="inlineStr">
        <is>
          <t>0</t>
        </is>
      </c>
      <c r="N359" t="inlineStr">
        <is>
          <t>New York : National League for Nursing, 1960.</t>
        </is>
      </c>
      <c r="O359" t="inlineStr">
        <is>
          <t>1959</t>
        </is>
      </c>
      <c r="Q359" t="inlineStr">
        <is>
          <t>eng</t>
        </is>
      </c>
      <c r="R359" t="inlineStr">
        <is>
          <t>nyu</t>
        </is>
      </c>
      <c r="S359" t="inlineStr">
        <is>
          <t>NLN pub. no. 33-773</t>
        </is>
      </c>
      <c r="T359" t="inlineStr">
        <is>
          <t xml:space="preserve">WY </t>
        </is>
      </c>
      <c r="U359" t="n">
        <v>2</v>
      </c>
      <c r="V359" t="n">
        <v>2</v>
      </c>
      <c r="W359" t="inlineStr">
        <is>
          <t>1990-09-05</t>
        </is>
      </c>
      <c r="X359" t="inlineStr">
        <is>
          <t>1990-09-05</t>
        </is>
      </c>
      <c r="Y359" t="inlineStr">
        <is>
          <t>1987-11-19</t>
        </is>
      </c>
      <c r="Z359" t="inlineStr">
        <is>
          <t>1987-11-19</t>
        </is>
      </c>
      <c r="AA359" t="n">
        <v>60</v>
      </c>
      <c r="AB359" t="n">
        <v>55</v>
      </c>
      <c r="AC359" t="n">
        <v>57</v>
      </c>
      <c r="AD359" t="n">
        <v>1</v>
      </c>
      <c r="AE359" t="n">
        <v>1</v>
      </c>
      <c r="AF359" t="n">
        <v>4</v>
      </c>
      <c r="AG359" t="n">
        <v>4</v>
      </c>
      <c r="AH359" t="n">
        <v>0</v>
      </c>
      <c r="AI359" t="n">
        <v>0</v>
      </c>
      <c r="AJ359" t="n">
        <v>1</v>
      </c>
      <c r="AK359" t="n">
        <v>1</v>
      </c>
      <c r="AL359" t="n">
        <v>4</v>
      </c>
      <c r="AM359" t="n">
        <v>4</v>
      </c>
      <c r="AN359" t="n">
        <v>0</v>
      </c>
      <c r="AO359" t="n">
        <v>0</v>
      </c>
      <c r="AP359" t="n">
        <v>0</v>
      </c>
      <c r="AQ359" t="n">
        <v>0</v>
      </c>
      <c r="AR359" t="inlineStr">
        <is>
          <t>No</t>
        </is>
      </c>
      <c r="AS359" t="inlineStr">
        <is>
          <t>No</t>
        </is>
      </c>
      <c r="AT359">
        <f>HYPERLINK("http://catalog.hathitrust.org/Record/002066305","HathiTrust Record")</f>
        <v/>
      </c>
      <c r="AU359">
        <f>HYPERLINK("https://creighton-primo.hosted.exlibrisgroup.com/primo-explore/search?tab=default_tab&amp;search_scope=EVERYTHING&amp;vid=01CRU&amp;lang=en_US&amp;offset=0&amp;query=any,contains,991001518299702656","Catalog Record")</f>
        <v/>
      </c>
      <c r="AV359">
        <f>HYPERLINK("http://www.worldcat.org/oclc/3248999","WorldCat Record")</f>
        <v/>
      </c>
      <c r="AW359" t="inlineStr">
        <is>
          <t>9653261:eng</t>
        </is>
      </c>
      <c r="AX359" t="inlineStr">
        <is>
          <t>3248999</t>
        </is>
      </c>
      <c r="AY359" t="inlineStr">
        <is>
          <t>991001518299702656</t>
        </is>
      </c>
      <c r="AZ359" t="inlineStr">
        <is>
          <t>991001518299702656</t>
        </is>
      </c>
      <c r="BA359" t="inlineStr">
        <is>
          <t>2269246100002656</t>
        </is>
      </c>
      <c r="BB359" t="inlineStr">
        <is>
          <t>BOOK</t>
        </is>
      </c>
      <c r="BE359" t="inlineStr">
        <is>
          <t>30001000600421</t>
        </is>
      </c>
      <c r="BF359" t="inlineStr">
        <is>
          <t>893134675</t>
        </is>
      </c>
    </row>
    <row r="360">
      <c r="A360" t="inlineStr">
        <is>
          <t>No</t>
        </is>
      </c>
      <c r="B360" t="inlineStr">
        <is>
          <t>CUHSL</t>
        </is>
      </c>
      <c r="C360" t="inlineStr">
        <is>
          <t>SHELVES</t>
        </is>
      </c>
      <c r="D360" t="inlineStr">
        <is>
          <t>WY 18 R429 1966</t>
        </is>
      </c>
      <c r="E360" t="inlineStr">
        <is>
          <t>0                      WY 0018000R  429         1966</t>
        </is>
      </c>
      <c r="F360" t="inlineStr">
        <is>
          <t>Resources for teaching : people, ideas, materials, and values : report of a conference for Nursing instructors / conducted by the Nursing Advisory Service of NLN-NTA, with the assistance of the Department of Baccalaureate and Higher Degree Programs of NLN ... Louisville, Kentucky, October 14-15, 1966 ; conference chairman, Audrey M. McCluskey ; resource person, Dorothy Ozimek.</t>
        </is>
      </c>
      <c r="H360" t="inlineStr">
        <is>
          <t>No</t>
        </is>
      </c>
      <c r="I360" t="inlineStr">
        <is>
          <t>1</t>
        </is>
      </c>
      <c r="J360" t="inlineStr">
        <is>
          <t>No</t>
        </is>
      </c>
      <c r="K360" t="inlineStr">
        <is>
          <t>No</t>
        </is>
      </c>
      <c r="L360" t="inlineStr">
        <is>
          <t>0</t>
        </is>
      </c>
      <c r="N360" t="inlineStr">
        <is>
          <t>New York : National League for Nursing, 1967.</t>
        </is>
      </c>
      <c r="O360" t="inlineStr">
        <is>
          <t>1966</t>
        </is>
      </c>
      <c r="Q360" t="inlineStr">
        <is>
          <t>eng</t>
        </is>
      </c>
      <c r="R360" t="inlineStr">
        <is>
          <t>nyu</t>
        </is>
      </c>
      <c r="S360" t="inlineStr">
        <is>
          <t>NLN pub. no. 45-1256</t>
        </is>
      </c>
      <c r="T360" t="inlineStr">
        <is>
          <t xml:space="preserve">WY </t>
        </is>
      </c>
      <c r="U360" t="n">
        <v>1</v>
      </c>
      <c r="V360" t="n">
        <v>1</v>
      </c>
      <c r="W360" t="inlineStr">
        <is>
          <t>1990-07-23</t>
        </is>
      </c>
      <c r="X360" t="inlineStr">
        <is>
          <t>1990-07-23</t>
        </is>
      </c>
      <c r="Y360" t="inlineStr">
        <is>
          <t>1987-11-18</t>
        </is>
      </c>
      <c r="Z360" t="inlineStr">
        <is>
          <t>1987-11-18</t>
        </is>
      </c>
      <c r="AA360" t="n">
        <v>23</v>
      </c>
      <c r="AB360" t="n">
        <v>21</v>
      </c>
      <c r="AC360" t="n">
        <v>24</v>
      </c>
      <c r="AD360" t="n">
        <v>1</v>
      </c>
      <c r="AE360" t="n">
        <v>1</v>
      </c>
      <c r="AF360" t="n">
        <v>0</v>
      </c>
      <c r="AG360" t="n">
        <v>0</v>
      </c>
      <c r="AH360" t="n">
        <v>0</v>
      </c>
      <c r="AI360" t="n">
        <v>0</v>
      </c>
      <c r="AJ360" t="n">
        <v>0</v>
      </c>
      <c r="AK360" t="n">
        <v>0</v>
      </c>
      <c r="AL360" t="n">
        <v>0</v>
      </c>
      <c r="AM360" t="n">
        <v>0</v>
      </c>
      <c r="AN360" t="n">
        <v>0</v>
      </c>
      <c r="AO360" t="n">
        <v>0</v>
      </c>
      <c r="AP360" t="n">
        <v>0</v>
      </c>
      <c r="AQ360" t="n">
        <v>0</v>
      </c>
      <c r="AR360" t="inlineStr">
        <is>
          <t>No</t>
        </is>
      </c>
      <c r="AS360" t="inlineStr">
        <is>
          <t>No</t>
        </is>
      </c>
      <c r="AU360">
        <f>HYPERLINK("https://creighton-primo.hosted.exlibrisgroup.com/primo-explore/search?tab=default_tab&amp;search_scope=EVERYTHING&amp;vid=01CRU&amp;lang=en_US&amp;offset=0&amp;query=any,contains,991001390529702656","Catalog Record")</f>
        <v/>
      </c>
      <c r="AV360">
        <f>HYPERLINK("http://www.worldcat.org/oclc/4833476","WorldCat Record")</f>
        <v/>
      </c>
      <c r="AW360" t="inlineStr">
        <is>
          <t>5859398:eng</t>
        </is>
      </c>
      <c r="AX360" t="inlineStr">
        <is>
          <t>4833476</t>
        </is>
      </c>
      <c r="AY360" t="inlineStr">
        <is>
          <t>991001390529702656</t>
        </is>
      </c>
      <c r="AZ360" t="inlineStr">
        <is>
          <t>991001390529702656</t>
        </is>
      </c>
      <c r="BA360" t="inlineStr">
        <is>
          <t>2266802550002656</t>
        </is>
      </c>
      <c r="BB360" t="inlineStr">
        <is>
          <t>BOOK</t>
        </is>
      </c>
      <c r="BE360" t="inlineStr">
        <is>
          <t>30001000464984</t>
        </is>
      </c>
      <c r="BF360" t="inlineStr">
        <is>
          <t>893816347</t>
        </is>
      </c>
    </row>
    <row r="361">
      <c r="A361" t="inlineStr">
        <is>
          <t>No</t>
        </is>
      </c>
      <c r="B361" t="inlineStr">
        <is>
          <t>CUHSL</t>
        </is>
      </c>
      <c r="C361" t="inlineStr">
        <is>
          <t>SHELVES</t>
        </is>
      </c>
      <c r="D361" t="inlineStr">
        <is>
          <t>WY 18 R429 1967</t>
        </is>
      </c>
      <c r="E361" t="inlineStr">
        <is>
          <t>0                      WY 0018000R  429         1967</t>
        </is>
      </c>
      <c r="F361" t="inlineStr">
        <is>
          <t>Resources for teaching : programmed instruction, community problems, nursing rounds : report of a conference for Nursing Instructors / conducted by the Nursing Advisory Service of the National League for Nursing-National Tuberculosis and Respiratory Disease Association ... Louisville, Kentucky, on October 16-17, 1967 ; conference chairman, Frances P. Koonz ; resource person, Elizabeth M. Fenlason.</t>
        </is>
      </c>
      <c r="H361" t="inlineStr">
        <is>
          <t>No</t>
        </is>
      </c>
      <c r="I361" t="inlineStr">
        <is>
          <t>1</t>
        </is>
      </c>
      <c r="J361" t="inlineStr">
        <is>
          <t>No</t>
        </is>
      </c>
      <c r="K361" t="inlineStr">
        <is>
          <t>No</t>
        </is>
      </c>
      <c r="L361" t="inlineStr">
        <is>
          <t>0</t>
        </is>
      </c>
      <c r="N361" t="inlineStr">
        <is>
          <t>New York : National League for Nursing, 1968.</t>
        </is>
      </c>
      <c r="O361" t="inlineStr">
        <is>
          <t>1967</t>
        </is>
      </c>
      <c r="Q361" t="inlineStr">
        <is>
          <t>eng</t>
        </is>
      </c>
      <c r="R361" t="inlineStr">
        <is>
          <t>nyu</t>
        </is>
      </c>
      <c r="S361" t="inlineStr">
        <is>
          <t>NLN pub. no. 45-1330</t>
        </is>
      </c>
      <c r="T361" t="inlineStr">
        <is>
          <t xml:space="preserve">WY </t>
        </is>
      </c>
      <c r="U361" t="n">
        <v>1</v>
      </c>
      <c r="V361" t="n">
        <v>1</v>
      </c>
      <c r="W361" t="inlineStr">
        <is>
          <t>1990-07-23</t>
        </is>
      </c>
      <c r="X361" t="inlineStr">
        <is>
          <t>1990-07-23</t>
        </is>
      </c>
      <c r="Y361" t="inlineStr">
        <is>
          <t>1987-11-18</t>
        </is>
      </c>
      <c r="Z361" t="inlineStr">
        <is>
          <t>1987-11-18</t>
        </is>
      </c>
      <c r="AA361" t="n">
        <v>48</v>
      </c>
      <c r="AB361" t="n">
        <v>43</v>
      </c>
      <c r="AC361" t="n">
        <v>45</v>
      </c>
      <c r="AD361" t="n">
        <v>1</v>
      </c>
      <c r="AE361" t="n">
        <v>1</v>
      </c>
      <c r="AF361" t="n">
        <v>3</v>
      </c>
      <c r="AG361" t="n">
        <v>3</v>
      </c>
      <c r="AH361" t="n">
        <v>0</v>
      </c>
      <c r="AI361" t="n">
        <v>0</v>
      </c>
      <c r="AJ361" t="n">
        <v>0</v>
      </c>
      <c r="AK361" t="n">
        <v>0</v>
      </c>
      <c r="AL361" t="n">
        <v>3</v>
      </c>
      <c r="AM361" t="n">
        <v>3</v>
      </c>
      <c r="AN361" t="n">
        <v>0</v>
      </c>
      <c r="AO361" t="n">
        <v>0</v>
      </c>
      <c r="AP361" t="n">
        <v>0</v>
      </c>
      <c r="AQ361" t="n">
        <v>0</v>
      </c>
      <c r="AR361" t="inlineStr">
        <is>
          <t>No</t>
        </is>
      </c>
      <c r="AS361" t="inlineStr">
        <is>
          <t>Yes</t>
        </is>
      </c>
      <c r="AT361">
        <f>HYPERLINK("http://catalog.hathitrust.org/Record/001574557","HathiTrust Record")</f>
        <v/>
      </c>
      <c r="AU361">
        <f>HYPERLINK("https://creighton-primo.hosted.exlibrisgroup.com/primo-explore/search?tab=default_tab&amp;search_scope=EVERYTHING&amp;vid=01CRU&amp;lang=en_US&amp;offset=0&amp;query=any,contains,991001390589702656","Catalog Record")</f>
        <v/>
      </c>
      <c r="AV361">
        <f>HYPERLINK("http://www.worldcat.org/oclc/39998","WorldCat Record")</f>
        <v/>
      </c>
      <c r="AW361" t="inlineStr">
        <is>
          <t>1209135:eng</t>
        </is>
      </c>
      <c r="AX361" t="inlineStr">
        <is>
          <t>39998</t>
        </is>
      </c>
      <c r="AY361" t="inlineStr">
        <is>
          <t>991001390589702656</t>
        </is>
      </c>
      <c r="AZ361" t="inlineStr">
        <is>
          <t>991001390589702656</t>
        </is>
      </c>
      <c r="BA361" t="inlineStr">
        <is>
          <t>2262990560002656</t>
        </is>
      </c>
      <c r="BB361" t="inlineStr">
        <is>
          <t>BOOK</t>
        </is>
      </c>
      <c r="BE361" t="inlineStr">
        <is>
          <t>30001000464992</t>
        </is>
      </c>
      <c r="BF361" t="inlineStr">
        <is>
          <t>893149133</t>
        </is>
      </c>
    </row>
    <row r="362">
      <c r="A362" t="inlineStr">
        <is>
          <t>No</t>
        </is>
      </c>
      <c r="B362" t="inlineStr">
        <is>
          <t>CUHSL</t>
        </is>
      </c>
      <c r="C362" t="inlineStr">
        <is>
          <t>SHELVES</t>
        </is>
      </c>
      <c r="D362" t="inlineStr">
        <is>
          <t>WY 18 R434 1974</t>
        </is>
      </c>
      <c r="E362" t="inlineStr">
        <is>
          <t>0                      WY 0018000R  434         1974</t>
        </is>
      </c>
      <c r="F362" t="inlineStr">
        <is>
          <t>Response to changing needs : papers presented at the twelfth conference of the Council of Baccalaureate and Higher Degree Programs, March 20-22, 1974, Denver, Colorado.</t>
        </is>
      </c>
      <c r="H362" t="inlineStr">
        <is>
          <t>No</t>
        </is>
      </c>
      <c r="I362" t="inlineStr">
        <is>
          <t>1</t>
        </is>
      </c>
      <c r="J362" t="inlineStr">
        <is>
          <t>No</t>
        </is>
      </c>
      <c r="K362" t="inlineStr">
        <is>
          <t>No</t>
        </is>
      </c>
      <c r="L362" t="inlineStr">
        <is>
          <t>0</t>
        </is>
      </c>
      <c r="N362" t="inlineStr">
        <is>
          <t>New York : Dept. of Baccalaureate and Higher Degree Programs, National League for Nursing, c1974.</t>
        </is>
      </c>
      <c r="O362" t="inlineStr">
        <is>
          <t>1974</t>
        </is>
      </c>
      <c r="Q362" t="inlineStr">
        <is>
          <t>eng</t>
        </is>
      </c>
      <c r="R362" t="inlineStr">
        <is>
          <t xml:space="preserve">xx </t>
        </is>
      </c>
      <c r="S362" t="inlineStr">
        <is>
          <t>NLN pub. no. 15-1528</t>
        </is>
      </c>
      <c r="T362" t="inlineStr">
        <is>
          <t xml:space="preserve">WY </t>
        </is>
      </c>
      <c r="U362" t="n">
        <v>1</v>
      </c>
      <c r="V362" t="n">
        <v>1</v>
      </c>
      <c r="W362" t="inlineStr">
        <is>
          <t>1990-04-24</t>
        </is>
      </c>
      <c r="X362" t="inlineStr">
        <is>
          <t>1990-04-24</t>
        </is>
      </c>
      <c r="Y362" t="inlineStr">
        <is>
          <t>1987-10-21</t>
        </is>
      </c>
      <c r="Z362" t="inlineStr">
        <is>
          <t>1987-10-21</t>
        </is>
      </c>
      <c r="AA362" t="n">
        <v>78</v>
      </c>
      <c r="AB362" t="n">
        <v>72</v>
      </c>
      <c r="AC362" t="n">
        <v>73</v>
      </c>
      <c r="AD362" t="n">
        <v>3</v>
      </c>
      <c r="AE362" t="n">
        <v>3</v>
      </c>
      <c r="AF362" t="n">
        <v>1</v>
      </c>
      <c r="AG362" t="n">
        <v>1</v>
      </c>
      <c r="AH362" t="n">
        <v>0</v>
      </c>
      <c r="AI362" t="n">
        <v>0</v>
      </c>
      <c r="AJ362" t="n">
        <v>0</v>
      </c>
      <c r="AK362" t="n">
        <v>0</v>
      </c>
      <c r="AL362" t="n">
        <v>0</v>
      </c>
      <c r="AM362" t="n">
        <v>0</v>
      </c>
      <c r="AN362" t="n">
        <v>1</v>
      </c>
      <c r="AO362" t="n">
        <v>1</v>
      </c>
      <c r="AP362" t="n">
        <v>0</v>
      </c>
      <c r="AQ362" t="n">
        <v>0</v>
      </c>
      <c r="AR362" t="inlineStr">
        <is>
          <t>No</t>
        </is>
      </c>
      <c r="AS362" t="inlineStr">
        <is>
          <t>Yes</t>
        </is>
      </c>
      <c r="AT362">
        <f>HYPERLINK("http://catalog.hathitrust.org/Record/000020963","HathiTrust Record")</f>
        <v/>
      </c>
      <c r="AU362">
        <f>HYPERLINK("https://creighton-primo.hosted.exlibrisgroup.com/primo-explore/search?tab=default_tab&amp;search_scope=EVERYTHING&amp;vid=01CRU&amp;lang=en_US&amp;offset=0&amp;query=any,contains,991001368489702656","Catalog Record")</f>
        <v/>
      </c>
      <c r="AV362">
        <f>HYPERLINK("http://www.worldcat.org/oclc/1218713","WorldCat Record")</f>
        <v/>
      </c>
      <c r="AW362" t="inlineStr">
        <is>
          <t>2112389:eng</t>
        </is>
      </c>
      <c r="AX362" t="inlineStr">
        <is>
          <t>1218713</t>
        </is>
      </c>
      <c r="AY362" t="inlineStr">
        <is>
          <t>991001368489702656</t>
        </is>
      </c>
      <c r="AZ362" t="inlineStr">
        <is>
          <t>991001368489702656</t>
        </is>
      </c>
      <c r="BA362" t="inlineStr">
        <is>
          <t>2265390360002656</t>
        </is>
      </c>
      <c r="BB362" t="inlineStr">
        <is>
          <t>BOOK</t>
        </is>
      </c>
      <c r="BE362" t="inlineStr">
        <is>
          <t>30001000461493</t>
        </is>
      </c>
      <c r="BF362" t="inlineStr">
        <is>
          <t>893364035</t>
        </is>
      </c>
    </row>
    <row r="363">
      <c r="A363" t="inlineStr">
        <is>
          <t>No</t>
        </is>
      </c>
      <c r="B363" t="inlineStr">
        <is>
          <t>CUHSL</t>
        </is>
      </c>
      <c r="C363" t="inlineStr">
        <is>
          <t>SHELVES</t>
        </is>
      </c>
      <c r="D363" t="inlineStr">
        <is>
          <t>WY 18 R434 1979</t>
        </is>
      </c>
      <c r="E363" t="inlineStr">
        <is>
          <t>0                      WY 0018000R  434         1979</t>
        </is>
      </c>
      <c r="F363" t="inlineStr">
        <is>
          <t>Resolutions approved by the NLN membership, May 4, 1979 at the 14th biennial convention, Atlanta, Georgia.</t>
        </is>
      </c>
      <c r="H363" t="inlineStr">
        <is>
          <t>No</t>
        </is>
      </c>
      <c r="I363" t="inlineStr">
        <is>
          <t>1</t>
        </is>
      </c>
      <c r="J363" t="inlineStr">
        <is>
          <t>No</t>
        </is>
      </c>
      <c r="K363" t="inlineStr">
        <is>
          <t>No</t>
        </is>
      </c>
      <c r="L363" t="inlineStr">
        <is>
          <t>0</t>
        </is>
      </c>
      <c r="N363" t="inlineStr">
        <is>
          <t>New York : National League for Nursing, 1979.</t>
        </is>
      </c>
      <c r="O363" t="inlineStr">
        <is>
          <t>1979</t>
        </is>
      </c>
      <c r="Q363" t="inlineStr">
        <is>
          <t>eng</t>
        </is>
      </c>
      <c r="R363" t="inlineStr">
        <is>
          <t xml:space="preserve">xx </t>
        </is>
      </c>
      <c r="S363" t="inlineStr">
        <is>
          <t>NLN pub. no. 11-1784</t>
        </is>
      </c>
      <c r="T363" t="inlineStr">
        <is>
          <t xml:space="preserve">WY </t>
        </is>
      </c>
      <c r="U363" t="n">
        <v>2</v>
      </c>
      <c r="V363" t="n">
        <v>2</v>
      </c>
      <c r="W363" t="inlineStr">
        <is>
          <t>1990-04-30</t>
        </is>
      </c>
      <c r="X363" t="inlineStr">
        <is>
          <t>1990-04-30</t>
        </is>
      </c>
      <c r="Y363" t="inlineStr">
        <is>
          <t>1987-10-13</t>
        </is>
      </c>
      <c r="Z363" t="inlineStr">
        <is>
          <t>1987-10-13</t>
        </is>
      </c>
      <c r="AA363" t="n">
        <v>36</v>
      </c>
      <c r="AB363" t="n">
        <v>32</v>
      </c>
      <c r="AC363" t="n">
        <v>32</v>
      </c>
      <c r="AD363" t="n">
        <v>1</v>
      </c>
      <c r="AE363" t="n">
        <v>1</v>
      </c>
      <c r="AF363" t="n">
        <v>4</v>
      </c>
      <c r="AG363" t="n">
        <v>4</v>
      </c>
      <c r="AH363" t="n">
        <v>1</v>
      </c>
      <c r="AI363" t="n">
        <v>1</v>
      </c>
      <c r="AJ363" t="n">
        <v>0</v>
      </c>
      <c r="AK363" t="n">
        <v>0</v>
      </c>
      <c r="AL363" t="n">
        <v>3</v>
      </c>
      <c r="AM363" t="n">
        <v>3</v>
      </c>
      <c r="AN363" t="n">
        <v>0</v>
      </c>
      <c r="AO363" t="n">
        <v>0</v>
      </c>
      <c r="AP363" t="n">
        <v>0</v>
      </c>
      <c r="AQ363" t="n">
        <v>0</v>
      </c>
      <c r="AR363" t="inlineStr">
        <is>
          <t>No</t>
        </is>
      </c>
      <c r="AS363" t="inlineStr">
        <is>
          <t>No</t>
        </is>
      </c>
      <c r="AU363">
        <f>HYPERLINK("https://creighton-primo.hosted.exlibrisgroup.com/primo-explore/search?tab=default_tab&amp;search_scope=EVERYTHING&amp;vid=01CRU&amp;lang=en_US&amp;offset=0&amp;query=any,contains,991001361219702656","Catalog Record")</f>
        <v/>
      </c>
      <c r="AV363">
        <f>HYPERLINK("http://www.worldcat.org/oclc/5676053","WorldCat Record")</f>
        <v/>
      </c>
      <c r="AW363" t="inlineStr">
        <is>
          <t>3770498150:eng</t>
        </is>
      </c>
      <c r="AX363" t="inlineStr">
        <is>
          <t>5676053</t>
        </is>
      </c>
      <c r="AY363" t="inlineStr">
        <is>
          <t>991001361219702656</t>
        </is>
      </c>
      <c r="AZ363" t="inlineStr">
        <is>
          <t>991001361219702656</t>
        </is>
      </c>
      <c r="BA363" t="inlineStr">
        <is>
          <t>2269987680002656</t>
        </is>
      </c>
      <c r="BB363" t="inlineStr">
        <is>
          <t>BOOK</t>
        </is>
      </c>
      <c r="BE363" t="inlineStr">
        <is>
          <t>30001000460727</t>
        </is>
      </c>
      <c r="BF363" t="inlineStr">
        <is>
          <t>893451109</t>
        </is>
      </c>
    </row>
    <row r="364">
      <c r="A364" t="inlineStr">
        <is>
          <t>No</t>
        </is>
      </c>
      <c r="B364" t="inlineStr">
        <is>
          <t>CUHSL</t>
        </is>
      </c>
      <c r="C364" t="inlineStr">
        <is>
          <t>SHELVES</t>
        </is>
      </c>
      <c r="D364" t="inlineStr">
        <is>
          <t>WY 18 R434 1981</t>
        </is>
      </c>
      <c r="E364" t="inlineStr">
        <is>
          <t>0                      WY 0018000R  434         1981</t>
        </is>
      </c>
      <c r="F364" t="inlineStr">
        <is>
          <t>Resolutions approved by the NLN membership, May 7, 1981 at the 15th biennial convention, Las Vegas, Nevada.</t>
        </is>
      </c>
      <c r="H364" t="inlineStr">
        <is>
          <t>No</t>
        </is>
      </c>
      <c r="I364" t="inlineStr">
        <is>
          <t>1</t>
        </is>
      </c>
      <c r="J364" t="inlineStr">
        <is>
          <t>No</t>
        </is>
      </c>
      <c r="K364" t="inlineStr">
        <is>
          <t>No</t>
        </is>
      </c>
      <c r="L364" t="inlineStr">
        <is>
          <t>0</t>
        </is>
      </c>
      <c r="N364" t="inlineStr">
        <is>
          <t>New York : National League for Nursing, c1981.</t>
        </is>
      </c>
      <c r="O364" t="inlineStr">
        <is>
          <t>1981</t>
        </is>
      </c>
      <c r="Q364" t="inlineStr">
        <is>
          <t>eng</t>
        </is>
      </c>
      <c r="R364" t="inlineStr">
        <is>
          <t>nyu</t>
        </is>
      </c>
      <c r="T364" t="inlineStr">
        <is>
          <t xml:space="preserve">WY </t>
        </is>
      </c>
      <c r="U364" t="n">
        <v>3</v>
      </c>
      <c r="V364" t="n">
        <v>3</v>
      </c>
      <c r="W364" t="inlineStr">
        <is>
          <t>1990-04-30</t>
        </is>
      </c>
      <c r="X364" t="inlineStr">
        <is>
          <t>1990-04-30</t>
        </is>
      </c>
      <c r="Y364" t="inlineStr">
        <is>
          <t>1987-10-13</t>
        </is>
      </c>
      <c r="Z364" t="inlineStr">
        <is>
          <t>1987-10-13</t>
        </is>
      </c>
      <c r="AA364" t="n">
        <v>32</v>
      </c>
      <c r="AB364" t="n">
        <v>31</v>
      </c>
      <c r="AC364" t="n">
        <v>31</v>
      </c>
      <c r="AD364" t="n">
        <v>1</v>
      </c>
      <c r="AE364" t="n">
        <v>1</v>
      </c>
      <c r="AF364" t="n">
        <v>3</v>
      </c>
      <c r="AG364" t="n">
        <v>3</v>
      </c>
      <c r="AH364" t="n">
        <v>0</v>
      </c>
      <c r="AI364" t="n">
        <v>0</v>
      </c>
      <c r="AJ364" t="n">
        <v>0</v>
      </c>
      <c r="AK364" t="n">
        <v>0</v>
      </c>
      <c r="AL364" t="n">
        <v>3</v>
      </c>
      <c r="AM364" t="n">
        <v>3</v>
      </c>
      <c r="AN364" t="n">
        <v>0</v>
      </c>
      <c r="AO364" t="n">
        <v>0</v>
      </c>
      <c r="AP364" t="n">
        <v>0</v>
      </c>
      <c r="AQ364" t="n">
        <v>0</v>
      </c>
      <c r="AR364" t="inlineStr">
        <is>
          <t>No</t>
        </is>
      </c>
      <c r="AS364" t="inlineStr">
        <is>
          <t>No</t>
        </is>
      </c>
      <c r="AU364">
        <f>HYPERLINK("https://creighton-primo.hosted.exlibrisgroup.com/primo-explore/search?tab=default_tab&amp;search_scope=EVERYTHING&amp;vid=01CRU&amp;lang=en_US&amp;offset=0&amp;query=any,contains,991001361369702656","Catalog Record")</f>
        <v/>
      </c>
      <c r="AV364">
        <f>HYPERLINK("http://www.worldcat.org/oclc/7638118","WorldCat Record")</f>
        <v/>
      </c>
      <c r="AW364" t="inlineStr">
        <is>
          <t>3771141068:eng</t>
        </is>
      </c>
      <c r="AX364" t="inlineStr">
        <is>
          <t>7638118</t>
        </is>
      </c>
      <c r="AY364" t="inlineStr">
        <is>
          <t>991001361369702656</t>
        </is>
      </c>
      <c r="AZ364" t="inlineStr">
        <is>
          <t>991001361369702656</t>
        </is>
      </c>
      <c r="BA364" t="inlineStr">
        <is>
          <t>2263934350002656</t>
        </is>
      </c>
      <c r="BB364" t="inlineStr">
        <is>
          <t>BOOK</t>
        </is>
      </c>
      <c r="BE364" t="inlineStr">
        <is>
          <t>30001000460784</t>
        </is>
      </c>
      <c r="BF364" t="inlineStr">
        <is>
          <t>893541295</t>
        </is>
      </c>
    </row>
    <row r="365">
      <c r="A365" t="inlineStr">
        <is>
          <t>No</t>
        </is>
      </c>
      <c r="B365" t="inlineStr">
        <is>
          <t>CUHSL</t>
        </is>
      </c>
      <c r="C365" t="inlineStr">
        <is>
          <t>SHELVES</t>
        </is>
      </c>
      <c r="D365" t="inlineStr">
        <is>
          <t>WY 18 R454 1983</t>
        </is>
      </c>
      <c r="E365" t="inlineStr">
        <is>
          <t>0                      WY 0018000R  454         1983</t>
        </is>
      </c>
      <c r="F365" t="inlineStr">
        <is>
          <t>Review of research in nursing education / William L. Holzemer.</t>
        </is>
      </c>
      <c r="H365" t="inlineStr">
        <is>
          <t>No</t>
        </is>
      </c>
      <c r="I365" t="inlineStr">
        <is>
          <t>1</t>
        </is>
      </c>
      <c r="J365" t="inlineStr">
        <is>
          <t>No</t>
        </is>
      </c>
      <c r="K365" t="inlineStr">
        <is>
          <t>No</t>
        </is>
      </c>
      <c r="L365" t="inlineStr">
        <is>
          <t>0</t>
        </is>
      </c>
      <c r="N365" t="inlineStr">
        <is>
          <t>Thorofare, N.J. : Slack, c1983.</t>
        </is>
      </c>
      <c r="O365" t="inlineStr">
        <is>
          <t>1983</t>
        </is>
      </c>
      <c r="Q365" t="inlineStr">
        <is>
          <t>eng</t>
        </is>
      </c>
      <c r="R365" t="inlineStr">
        <is>
          <t>nju</t>
        </is>
      </c>
      <c r="T365" t="inlineStr">
        <is>
          <t xml:space="preserve">WY </t>
        </is>
      </c>
      <c r="U365" t="n">
        <v>8</v>
      </c>
      <c r="V365" t="n">
        <v>8</v>
      </c>
      <c r="W365" t="inlineStr">
        <is>
          <t>1992-07-27</t>
        </is>
      </c>
      <c r="X365" t="inlineStr">
        <is>
          <t>1992-07-27</t>
        </is>
      </c>
      <c r="Y365" t="inlineStr">
        <is>
          <t>1987-12-28</t>
        </is>
      </c>
      <c r="Z365" t="inlineStr">
        <is>
          <t>1987-12-28</t>
        </is>
      </c>
      <c r="AA365" t="n">
        <v>153</v>
      </c>
      <c r="AB365" t="n">
        <v>130</v>
      </c>
      <c r="AC365" t="n">
        <v>196</v>
      </c>
      <c r="AD365" t="n">
        <v>1</v>
      </c>
      <c r="AE365" t="n">
        <v>2</v>
      </c>
      <c r="AF365" t="n">
        <v>5</v>
      </c>
      <c r="AG365" t="n">
        <v>9</v>
      </c>
      <c r="AH365" t="n">
        <v>1</v>
      </c>
      <c r="AI365" t="n">
        <v>4</v>
      </c>
      <c r="AJ365" t="n">
        <v>1</v>
      </c>
      <c r="AK365" t="n">
        <v>1</v>
      </c>
      <c r="AL365" t="n">
        <v>3</v>
      </c>
      <c r="AM365" t="n">
        <v>3</v>
      </c>
      <c r="AN365" t="n">
        <v>0</v>
      </c>
      <c r="AO365" t="n">
        <v>1</v>
      </c>
      <c r="AP365" t="n">
        <v>0</v>
      </c>
      <c r="AQ365" t="n">
        <v>0</v>
      </c>
      <c r="AR365" t="inlineStr">
        <is>
          <t>No</t>
        </is>
      </c>
      <c r="AS365" t="inlineStr">
        <is>
          <t>Yes</t>
        </is>
      </c>
      <c r="AT365">
        <f>HYPERLINK("http://catalog.hathitrust.org/Record/000568701","HathiTrust Record")</f>
        <v/>
      </c>
      <c r="AU365">
        <f>HYPERLINK("https://creighton-primo.hosted.exlibrisgroup.com/primo-explore/search?tab=default_tab&amp;search_scope=EVERYTHING&amp;vid=01CRU&amp;lang=en_US&amp;offset=0&amp;query=any,contains,991001040759702656","Catalog Record")</f>
        <v/>
      </c>
      <c r="AV365">
        <f>HYPERLINK("http://www.worldcat.org/oclc/9918296","WorldCat Record")</f>
        <v/>
      </c>
      <c r="AW365" t="inlineStr">
        <is>
          <t>2863535167:eng</t>
        </is>
      </c>
      <c r="AX365" t="inlineStr">
        <is>
          <t>9918296</t>
        </is>
      </c>
      <c r="AY365" t="inlineStr">
        <is>
          <t>991001040759702656</t>
        </is>
      </c>
      <c r="AZ365" t="inlineStr">
        <is>
          <t>991001040759702656</t>
        </is>
      </c>
      <c r="BA365" t="inlineStr">
        <is>
          <t>2268692390002656</t>
        </is>
      </c>
      <c r="BB365" t="inlineStr">
        <is>
          <t>BOOK</t>
        </is>
      </c>
      <c r="BD365" t="inlineStr">
        <is>
          <t>9780943432052</t>
        </is>
      </c>
      <c r="BE365" t="inlineStr">
        <is>
          <t>30001000242232</t>
        </is>
      </c>
      <c r="BF365" t="inlineStr">
        <is>
          <t>893465139</t>
        </is>
      </c>
    </row>
    <row r="366">
      <c r="A366" t="inlineStr">
        <is>
          <t>No</t>
        </is>
      </c>
      <c r="B366" t="inlineStr">
        <is>
          <t>CUHSL</t>
        </is>
      </c>
      <c r="C366" t="inlineStr">
        <is>
          <t>SHELVES</t>
        </is>
      </c>
      <c r="D366" t="inlineStr">
        <is>
          <t>WY 18 R454 1986 v.1</t>
        </is>
      </c>
      <c r="E366" t="inlineStr">
        <is>
          <t>0                      WY 0018000R  454         1986                                        v.1</t>
        </is>
      </c>
      <c r="F366" t="inlineStr">
        <is>
          <t>Review of research in nursing education, volume I / William L. Holzemer, editor.</t>
        </is>
      </c>
      <c r="G366" t="inlineStr">
        <is>
          <t>V.1</t>
        </is>
      </c>
      <c r="H366" t="inlineStr">
        <is>
          <t>No</t>
        </is>
      </c>
      <c r="I366" t="inlineStr">
        <is>
          <t>1</t>
        </is>
      </c>
      <c r="J366" t="inlineStr">
        <is>
          <t>No</t>
        </is>
      </c>
      <c r="K366" t="inlineStr">
        <is>
          <t>No</t>
        </is>
      </c>
      <c r="L366" t="inlineStr">
        <is>
          <t>0</t>
        </is>
      </c>
      <c r="N366" t="inlineStr">
        <is>
          <t>New York : National League For Nursing, c1986.</t>
        </is>
      </c>
      <c r="O366" t="inlineStr">
        <is>
          <t>1986</t>
        </is>
      </c>
      <c r="Q366" t="inlineStr">
        <is>
          <t>eng</t>
        </is>
      </c>
      <c r="R366" t="inlineStr">
        <is>
          <t>nyu</t>
        </is>
      </c>
      <c r="S366" t="inlineStr">
        <is>
          <t>NLN pub. no. 15-2170.</t>
        </is>
      </c>
      <c r="T366" t="inlineStr">
        <is>
          <t xml:space="preserve">WY </t>
        </is>
      </c>
      <c r="U366" t="n">
        <v>5</v>
      </c>
      <c r="V366" t="n">
        <v>5</v>
      </c>
      <c r="W366" t="inlineStr">
        <is>
          <t>1991-03-25</t>
        </is>
      </c>
      <c r="X366" t="inlineStr">
        <is>
          <t>1991-03-25</t>
        </is>
      </c>
      <c r="Y366" t="inlineStr">
        <is>
          <t>1987-10-29</t>
        </is>
      </c>
      <c r="Z366" t="inlineStr">
        <is>
          <t>1987-10-29</t>
        </is>
      </c>
      <c r="AA366" t="n">
        <v>29</v>
      </c>
      <c r="AB366" t="n">
        <v>23</v>
      </c>
      <c r="AC366" t="n">
        <v>23</v>
      </c>
      <c r="AD366" t="n">
        <v>1</v>
      </c>
      <c r="AE366" t="n">
        <v>1</v>
      </c>
      <c r="AF366" t="n">
        <v>0</v>
      </c>
      <c r="AG366" t="n">
        <v>0</v>
      </c>
      <c r="AH366" t="n">
        <v>0</v>
      </c>
      <c r="AI366" t="n">
        <v>0</v>
      </c>
      <c r="AJ366" t="n">
        <v>0</v>
      </c>
      <c r="AK366" t="n">
        <v>0</v>
      </c>
      <c r="AL366" t="n">
        <v>0</v>
      </c>
      <c r="AM366" t="n">
        <v>0</v>
      </c>
      <c r="AN366" t="n">
        <v>0</v>
      </c>
      <c r="AO366" t="n">
        <v>0</v>
      </c>
      <c r="AP366" t="n">
        <v>0</v>
      </c>
      <c r="AQ366" t="n">
        <v>0</v>
      </c>
      <c r="AR366" t="inlineStr">
        <is>
          <t>No</t>
        </is>
      </c>
      <c r="AS366" t="inlineStr">
        <is>
          <t>No</t>
        </is>
      </c>
      <c r="AU366">
        <f>HYPERLINK("https://creighton-primo.hosted.exlibrisgroup.com/primo-explore/search?tab=default_tab&amp;search_scope=EVERYTHING&amp;vid=01CRU&amp;lang=en_US&amp;offset=0&amp;query=any,contains,991001374919702656","Catalog Record")</f>
        <v/>
      </c>
      <c r="AV366">
        <f>HYPERLINK("http://www.worldcat.org/oclc/19676559","WorldCat Record")</f>
        <v/>
      </c>
      <c r="AW366" t="inlineStr">
        <is>
          <t>3943551952:eng</t>
        </is>
      </c>
      <c r="AX366" t="inlineStr">
        <is>
          <t>19676559</t>
        </is>
      </c>
      <c r="AY366" t="inlineStr">
        <is>
          <t>991001374919702656</t>
        </is>
      </c>
      <c r="AZ366" t="inlineStr">
        <is>
          <t>991001374919702656</t>
        </is>
      </c>
      <c r="BA366" t="inlineStr">
        <is>
          <t>2265289100002656</t>
        </is>
      </c>
      <c r="BB366" t="inlineStr">
        <is>
          <t>BOOK</t>
        </is>
      </c>
      <c r="BD366" t="inlineStr">
        <is>
          <t>9780887373404</t>
        </is>
      </c>
      <c r="BE366" t="inlineStr">
        <is>
          <t>30001000462087</t>
        </is>
      </c>
      <c r="BF366" t="inlineStr">
        <is>
          <t>893369337</t>
        </is>
      </c>
    </row>
    <row r="367">
      <c r="A367" t="inlineStr">
        <is>
          <t>No</t>
        </is>
      </c>
      <c r="B367" t="inlineStr">
        <is>
          <t>CUHSL</t>
        </is>
      </c>
      <c r="C367" t="inlineStr">
        <is>
          <t>SHELVES</t>
        </is>
      </c>
      <c r="D367" t="inlineStr">
        <is>
          <t>WY 18 R454 1989 v.2</t>
        </is>
      </c>
      <c r="E367" t="inlineStr">
        <is>
          <t>0                      WY 0018000R  454         1989                                        v.2</t>
        </is>
      </c>
      <c r="F367" t="inlineStr">
        <is>
          <t>Review of research in nursing education, volume II / William L. Holzemer, editor.</t>
        </is>
      </c>
      <c r="G367" t="inlineStr">
        <is>
          <t>V.2</t>
        </is>
      </c>
      <c r="H367" t="inlineStr">
        <is>
          <t>No</t>
        </is>
      </c>
      <c r="I367" t="inlineStr">
        <is>
          <t>1</t>
        </is>
      </c>
      <c r="J367" t="inlineStr">
        <is>
          <t>No</t>
        </is>
      </c>
      <c r="K367" t="inlineStr">
        <is>
          <t>No</t>
        </is>
      </c>
      <c r="L367" t="inlineStr">
        <is>
          <t>0</t>
        </is>
      </c>
      <c r="N367" t="inlineStr">
        <is>
          <t>New York : National League For Nursing, c1989.</t>
        </is>
      </c>
      <c r="O367" t="inlineStr">
        <is>
          <t>1989</t>
        </is>
      </c>
      <c r="Q367" t="inlineStr">
        <is>
          <t>eng</t>
        </is>
      </c>
      <c r="R367" t="inlineStr">
        <is>
          <t>nyu</t>
        </is>
      </c>
      <c r="S367" t="inlineStr">
        <is>
          <t>NLN pub. no. 15-2219.</t>
        </is>
      </c>
      <c r="T367" t="inlineStr">
        <is>
          <t xml:space="preserve">WY </t>
        </is>
      </c>
      <c r="U367" t="n">
        <v>8</v>
      </c>
      <c r="V367" t="n">
        <v>8</v>
      </c>
      <c r="W367" t="inlineStr">
        <is>
          <t>1990-04-30</t>
        </is>
      </c>
      <c r="X367" t="inlineStr">
        <is>
          <t>1990-04-30</t>
        </is>
      </c>
      <c r="Y367" t="inlineStr">
        <is>
          <t>1989-03-08</t>
        </is>
      </c>
      <c r="Z367" t="inlineStr">
        <is>
          <t>1989-03-08</t>
        </is>
      </c>
      <c r="AA367" t="n">
        <v>59</v>
      </c>
      <c r="AB367" t="n">
        <v>45</v>
      </c>
      <c r="AC367" t="n">
        <v>45</v>
      </c>
      <c r="AD367" t="n">
        <v>2</v>
      </c>
      <c r="AE367" t="n">
        <v>2</v>
      </c>
      <c r="AF367" t="n">
        <v>0</v>
      </c>
      <c r="AG367" t="n">
        <v>0</v>
      </c>
      <c r="AH367" t="n">
        <v>0</v>
      </c>
      <c r="AI367" t="n">
        <v>0</v>
      </c>
      <c r="AJ367" t="n">
        <v>0</v>
      </c>
      <c r="AK367" t="n">
        <v>0</v>
      </c>
      <c r="AL367" t="n">
        <v>0</v>
      </c>
      <c r="AM367" t="n">
        <v>0</v>
      </c>
      <c r="AN367" t="n">
        <v>0</v>
      </c>
      <c r="AO367" t="n">
        <v>0</v>
      </c>
      <c r="AP367" t="n">
        <v>0</v>
      </c>
      <c r="AQ367" t="n">
        <v>0</v>
      </c>
      <c r="AR367" t="inlineStr">
        <is>
          <t>No</t>
        </is>
      </c>
      <c r="AS367" t="inlineStr">
        <is>
          <t>No</t>
        </is>
      </c>
      <c r="AU367">
        <f>HYPERLINK("https://creighton-primo.hosted.exlibrisgroup.com/primo-explore/search?tab=default_tab&amp;search_scope=EVERYTHING&amp;vid=01CRU&amp;lang=en_US&amp;offset=0&amp;query=any,contains,991001242089702656","Catalog Record")</f>
        <v/>
      </c>
      <c r="AV367">
        <f>HYPERLINK("http://www.worldcat.org/oclc/19676721","WorldCat Record")</f>
        <v/>
      </c>
      <c r="AW367" t="inlineStr">
        <is>
          <t>4820584793:eng</t>
        </is>
      </c>
      <c r="AX367" t="inlineStr">
        <is>
          <t>19676721</t>
        </is>
      </c>
      <c r="AY367" t="inlineStr">
        <is>
          <t>991001242089702656</t>
        </is>
      </c>
      <c r="AZ367" t="inlineStr">
        <is>
          <t>991001242089702656</t>
        </is>
      </c>
      <c r="BA367" t="inlineStr">
        <is>
          <t>2265368130002656</t>
        </is>
      </c>
      <c r="BB367" t="inlineStr">
        <is>
          <t>BOOK</t>
        </is>
      </c>
      <c r="BD367" t="inlineStr">
        <is>
          <t>9780887373992</t>
        </is>
      </c>
      <c r="BE367" t="inlineStr">
        <is>
          <t>30001001675877</t>
        </is>
      </c>
      <c r="BF367" t="inlineStr">
        <is>
          <t>893552268</t>
        </is>
      </c>
    </row>
    <row r="368">
      <c r="A368" t="inlineStr">
        <is>
          <t>No</t>
        </is>
      </c>
      <c r="B368" t="inlineStr">
        <is>
          <t>CUHSL</t>
        </is>
      </c>
      <c r="C368" t="inlineStr">
        <is>
          <t>SHELVES</t>
        </is>
      </c>
      <c r="D368" t="inlineStr">
        <is>
          <t>WY 18 R454 1990</t>
        </is>
      </c>
      <c r="E368" t="inlineStr">
        <is>
          <t>0                      WY 0018000R  454         1990</t>
        </is>
      </c>
      <c r="F368" t="inlineStr">
        <is>
          <t>Review of research in nursing education, volume III / Gloria M. Clayton, Pamela A. Baj, editors.</t>
        </is>
      </c>
      <c r="H368" t="inlineStr">
        <is>
          <t>No</t>
        </is>
      </c>
      <c r="I368" t="inlineStr">
        <is>
          <t>1</t>
        </is>
      </c>
      <c r="J368" t="inlineStr">
        <is>
          <t>No</t>
        </is>
      </c>
      <c r="K368" t="inlineStr">
        <is>
          <t>No</t>
        </is>
      </c>
      <c r="L368" t="inlineStr">
        <is>
          <t>0</t>
        </is>
      </c>
      <c r="N368" t="inlineStr">
        <is>
          <t>New York : National League For Nursing, c1990.</t>
        </is>
      </c>
      <c r="O368" t="inlineStr">
        <is>
          <t>1990</t>
        </is>
      </c>
      <c r="Q368" t="inlineStr">
        <is>
          <t>eng</t>
        </is>
      </c>
      <c r="R368" t="inlineStr">
        <is>
          <t>nyu</t>
        </is>
      </c>
      <c r="S368" t="inlineStr">
        <is>
          <t>NLN pub. no. 15-2339.</t>
        </is>
      </c>
      <c r="T368" t="inlineStr">
        <is>
          <t xml:space="preserve">WY </t>
        </is>
      </c>
      <c r="U368" t="n">
        <v>9</v>
      </c>
      <c r="V368" t="n">
        <v>9</v>
      </c>
      <c r="W368" t="inlineStr">
        <is>
          <t>1991-11-08</t>
        </is>
      </c>
      <c r="X368" t="inlineStr">
        <is>
          <t>1991-11-08</t>
        </is>
      </c>
      <c r="Y368" t="inlineStr">
        <is>
          <t>1990-01-31</t>
        </is>
      </c>
      <c r="Z368" t="inlineStr">
        <is>
          <t>1990-01-31</t>
        </is>
      </c>
      <c r="AA368" t="n">
        <v>63</v>
      </c>
      <c r="AB368" t="n">
        <v>55</v>
      </c>
      <c r="AC368" t="n">
        <v>55</v>
      </c>
      <c r="AD368" t="n">
        <v>2</v>
      </c>
      <c r="AE368" t="n">
        <v>2</v>
      </c>
      <c r="AF368" t="n">
        <v>0</v>
      </c>
      <c r="AG368" t="n">
        <v>0</v>
      </c>
      <c r="AH368" t="n">
        <v>0</v>
      </c>
      <c r="AI368" t="n">
        <v>0</v>
      </c>
      <c r="AJ368" t="n">
        <v>0</v>
      </c>
      <c r="AK368" t="n">
        <v>0</v>
      </c>
      <c r="AL368" t="n">
        <v>0</v>
      </c>
      <c r="AM368" t="n">
        <v>0</v>
      </c>
      <c r="AN368" t="n">
        <v>0</v>
      </c>
      <c r="AO368" t="n">
        <v>0</v>
      </c>
      <c r="AP368" t="n">
        <v>0</v>
      </c>
      <c r="AQ368" t="n">
        <v>0</v>
      </c>
      <c r="AR368" t="inlineStr">
        <is>
          <t>No</t>
        </is>
      </c>
      <c r="AS368" t="inlineStr">
        <is>
          <t>No</t>
        </is>
      </c>
      <c r="AU368">
        <f>HYPERLINK("https://creighton-primo.hosted.exlibrisgroup.com/primo-explore/search?tab=default_tab&amp;search_scope=EVERYTHING&amp;vid=01CRU&amp;lang=en_US&amp;offset=0&amp;query=any,contains,991001446419702656","Catalog Record")</f>
        <v/>
      </c>
      <c r="AV368">
        <f>HYPERLINK("http://www.worldcat.org/oclc/20987831","WorldCat Record")</f>
        <v/>
      </c>
      <c r="AW368" t="inlineStr">
        <is>
          <t>3372578089:eng</t>
        </is>
      </c>
      <c r="AX368" t="inlineStr">
        <is>
          <t>20987831</t>
        </is>
      </c>
      <c r="AY368" t="inlineStr">
        <is>
          <t>991001446419702656</t>
        </is>
      </c>
      <c r="AZ368" t="inlineStr">
        <is>
          <t>991001446419702656</t>
        </is>
      </c>
      <c r="BA368" t="inlineStr">
        <is>
          <t>2266344290002656</t>
        </is>
      </c>
      <c r="BB368" t="inlineStr">
        <is>
          <t>BOOK</t>
        </is>
      </c>
      <c r="BD368" t="inlineStr">
        <is>
          <t>9780887374869</t>
        </is>
      </c>
      <c r="BE368" t="inlineStr">
        <is>
          <t>30001001880592</t>
        </is>
      </c>
      <c r="BF368" t="inlineStr">
        <is>
          <t>893546725</t>
        </is>
      </c>
    </row>
    <row r="369">
      <c r="A369" t="inlineStr">
        <is>
          <t>No</t>
        </is>
      </c>
      <c r="B369" t="inlineStr">
        <is>
          <t>CUHSL</t>
        </is>
      </c>
      <c r="C369" t="inlineStr">
        <is>
          <t>SHELVES</t>
        </is>
      </c>
      <c r="D369" t="inlineStr">
        <is>
          <t>WY 18 R454 1996 v.VII</t>
        </is>
      </c>
      <c r="E369" t="inlineStr">
        <is>
          <t>0                      WY 0018000R  454         1996                                        v.VII</t>
        </is>
      </c>
      <c r="F369" t="inlineStr">
        <is>
          <t>Review of research in nursing education, volume VII / Kathleen R. Stevens, editor.</t>
        </is>
      </c>
      <c r="G369" t="inlineStr">
        <is>
          <t>V. 7</t>
        </is>
      </c>
      <c r="H369" t="inlineStr">
        <is>
          <t>No</t>
        </is>
      </c>
      <c r="I369" t="inlineStr">
        <is>
          <t>1</t>
        </is>
      </c>
      <c r="J369" t="inlineStr">
        <is>
          <t>No</t>
        </is>
      </c>
      <c r="K369" t="inlineStr">
        <is>
          <t>No</t>
        </is>
      </c>
      <c r="L369" t="inlineStr">
        <is>
          <t>0</t>
        </is>
      </c>
      <c r="N369" t="inlineStr">
        <is>
          <t>New York : National League for Nursing, c1996.</t>
        </is>
      </c>
      <c r="O369" t="inlineStr">
        <is>
          <t>1996</t>
        </is>
      </c>
      <c r="Q369" t="inlineStr">
        <is>
          <t>eng</t>
        </is>
      </c>
      <c r="R369" t="inlineStr">
        <is>
          <t>nyu</t>
        </is>
      </c>
      <c r="S369" t="inlineStr">
        <is>
          <t>NLN pub. no. 19-6711</t>
        </is>
      </c>
      <c r="T369" t="inlineStr">
        <is>
          <t xml:space="preserve">WY </t>
        </is>
      </c>
      <c r="U369" t="n">
        <v>1</v>
      </c>
      <c r="V369" t="n">
        <v>1</v>
      </c>
      <c r="W369" t="inlineStr">
        <is>
          <t>2002-11-27</t>
        </is>
      </c>
      <c r="X369" t="inlineStr">
        <is>
          <t>2002-11-27</t>
        </is>
      </c>
      <c r="Y369" t="inlineStr">
        <is>
          <t>2000-06-15</t>
        </is>
      </c>
      <c r="Z369" t="inlineStr">
        <is>
          <t>2000-06-15</t>
        </is>
      </c>
      <c r="AA369" t="n">
        <v>52</v>
      </c>
      <c r="AB369" t="n">
        <v>43</v>
      </c>
      <c r="AC369" t="n">
        <v>43</v>
      </c>
      <c r="AD369" t="n">
        <v>1</v>
      </c>
      <c r="AE369" t="n">
        <v>1</v>
      </c>
      <c r="AF369" t="n">
        <v>0</v>
      </c>
      <c r="AG369" t="n">
        <v>0</v>
      </c>
      <c r="AH369" t="n">
        <v>0</v>
      </c>
      <c r="AI369" t="n">
        <v>0</v>
      </c>
      <c r="AJ369" t="n">
        <v>0</v>
      </c>
      <c r="AK369" t="n">
        <v>0</v>
      </c>
      <c r="AL369" t="n">
        <v>0</v>
      </c>
      <c r="AM369" t="n">
        <v>0</v>
      </c>
      <c r="AN369" t="n">
        <v>0</v>
      </c>
      <c r="AO369" t="n">
        <v>0</v>
      </c>
      <c r="AP369" t="n">
        <v>0</v>
      </c>
      <c r="AQ369" t="n">
        <v>0</v>
      </c>
      <c r="AR369" t="inlineStr">
        <is>
          <t>No</t>
        </is>
      </c>
      <c r="AS369" t="inlineStr">
        <is>
          <t>No</t>
        </is>
      </c>
      <c r="AU369">
        <f>HYPERLINK("https://creighton-primo.hosted.exlibrisgroup.com/primo-explore/search?tab=default_tab&amp;search_scope=EVERYTHING&amp;vid=01CRU&amp;lang=en_US&amp;offset=0&amp;query=any,contains,991000259529702656","Catalog Record")</f>
        <v/>
      </c>
      <c r="AV369">
        <f>HYPERLINK("http://www.worldcat.org/oclc/34056198","WorldCat Record")</f>
        <v/>
      </c>
      <c r="AW369" t="inlineStr">
        <is>
          <t>1781860980:eng</t>
        </is>
      </c>
      <c r="AX369" t="inlineStr">
        <is>
          <t>34056198</t>
        </is>
      </c>
      <c r="AY369" t="inlineStr">
        <is>
          <t>991000259529702656</t>
        </is>
      </c>
      <c r="AZ369" t="inlineStr">
        <is>
          <t>991000259529702656</t>
        </is>
      </c>
      <c r="BA369" t="inlineStr">
        <is>
          <t>2260602240002656</t>
        </is>
      </c>
      <c r="BB369" t="inlineStr">
        <is>
          <t>BOOK</t>
        </is>
      </c>
      <c r="BD369" t="inlineStr">
        <is>
          <t>9780887376719</t>
        </is>
      </c>
      <c r="BE369" t="inlineStr">
        <is>
          <t>30001003385715</t>
        </is>
      </c>
      <c r="BF369" t="inlineStr">
        <is>
          <t>893644030</t>
        </is>
      </c>
    </row>
    <row r="370">
      <c r="A370" t="inlineStr">
        <is>
          <t>No</t>
        </is>
      </c>
      <c r="B370" t="inlineStr">
        <is>
          <t>CUHSL</t>
        </is>
      </c>
      <c r="C370" t="inlineStr">
        <is>
          <t>SHELVES</t>
        </is>
      </c>
      <c r="D370" t="inlineStr">
        <is>
          <t>WY 18 R728e 1961</t>
        </is>
      </c>
      <c r="E370" t="inlineStr">
        <is>
          <t>0                      WY 0018000R  728e        1961</t>
        </is>
      </c>
      <c r="F370" t="inlineStr">
        <is>
          <t>Educational revolution in nursing.</t>
        </is>
      </c>
      <c r="H370" t="inlineStr">
        <is>
          <t>No</t>
        </is>
      </c>
      <c r="I370" t="inlineStr">
        <is>
          <t>1</t>
        </is>
      </c>
      <c r="J370" t="inlineStr">
        <is>
          <t>No</t>
        </is>
      </c>
      <c r="K370" t="inlineStr">
        <is>
          <t>No</t>
        </is>
      </c>
      <c r="L370" t="inlineStr">
        <is>
          <t>0</t>
        </is>
      </c>
      <c r="M370" t="inlineStr">
        <is>
          <t>Rogers, Martha E.</t>
        </is>
      </c>
      <c r="N370" t="inlineStr">
        <is>
          <t>New York, NY : Macmillan, 1961.</t>
        </is>
      </c>
      <c r="O370" t="inlineStr">
        <is>
          <t>1961</t>
        </is>
      </c>
      <c r="Q370" t="inlineStr">
        <is>
          <t>eng</t>
        </is>
      </c>
      <c r="R370" t="inlineStr">
        <is>
          <t>nyu</t>
        </is>
      </c>
      <c r="T370" t="inlineStr">
        <is>
          <t xml:space="preserve">WY </t>
        </is>
      </c>
      <c r="U370" t="n">
        <v>3</v>
      </c>
      <c r="V370" t="n">
        <v>3</v>
      </c>
      <c r="W370" t="inlineStr">
        <is>
          <t>2005-09-06</t>
        </is>
      </c>
      <c r="X370" t="inlineStr">
        <is>
          <t>2005-09-06</t>
        </is>
      </c>
      <c r="Y370" t="inlineStr">
        <is>
          <t>1988-01-13</t>
        </is>
      </c>
      <c r="Z370" t="inlineStr">
        <is>
          <t>1988-01-13</t>
        </is>
      </c>
      <c r="AA370" t="n">
        <v>244</v>
      </c>
      <c r="AB370" t="n">
        <v>215</v>
      </c>
      <c r="AC370" t="n">
        <v>221</v>
      </c>
      <c r="AD370" t="n">
        <v>4</v>
      </c>
      <c r="AE370" t="n">
        <v>4</v>
      </c>
      <c r="AF370" t="n">
        <v>17</v>
      </c>
      <c r="AG370" t="n">
        <v>17</v>
      </c>
      <c r="AH370" t="n">
        <v>5</v>
      </c>
      <c r="AI370" t="n">
        <v>5</v>
      </c>
      <c r="AJ370" t="n">
        <v>3</v>
      </c>
      <c r="AK370" t="n">
        <v>3</v>
      </c>
      <c r="AL370" t="n">
        <v>8</v>
      </c>
      <c r="AM370" t="n">
        <v>8</v>
      </c>
      <c r="AN370" t="n">
        <v>3</v>
      </c>
      <c r="AO370" t="n">
        <v>3</v>
      </c>
      <c r="AP370" t="n">
        <v>0</v>
      </c>
      <c r="AQ370" t="n">
        <v>0</v>
      </c>
      <c r="AR370" t="inlineStr">
        <is>
          <t>No</t>
        </is>
      </c>
      <c r="AS370" t="inlineStr">
        <is>
          <t>Yes</t>
        </is>
      </c>
      <c r="AT370">
        <f>HYPERLINK("http://catalog.hathitrust.org/Record/001574611","HathiTrust Record")</f>
        <v/>
      </c>
      <c r="AU370">
        <f>HYPERLINK("https://creighton-primo.hosted.exlibrisgroup.com/primo-explore/search?tab=default_tab&amp;search_scope=EVERYTHING&amp;vid=01CRU&amp;lang=en_US&amp;offset=0&amp;query=any,contains,991001040889702656","Catalog Record")</f>
        <v/>
      </c>
      <c r="AV370">
        <f>HYPERLINK("http://www.worldcat.org/oclc/3677255","WorldCat Record")</f>
        <v/>
      </c>
      <c r="AW370" t="inlineStr">
        <is>
          <t>1623389:eng</t>
        </is>
      </c>
      <c r="AX370" t="inlineStr">
        <is>
          <t>3677255</t>
        </is>
      </c>
      <c r="AY370" t="inlineStr">
        <is>
          <t>991001040889702656</t>
        </is>
      </c>
      <c r="AZ370" t="inlineStr">
        <is>
          <t>991001040889702656</t>
        </is>
      </c>
      <c r="BA370" t="inlineStr">
        <is>
          <t>2262763550002656</t>
        </is>
      </c>
      <c r="BB370" t="inlineStr">
        <is>
          <t>BOOK</t>
        </is>
      </c>
      <c r="BE370" t="inlineStr">
        <is>
          <t>30001000242299</t>
        </is>
      </c>
      <c r="BF370" t="inlineStr">
        <is>
          <t>893369045</t>
        </is>
      </c>
    </row>
    <row r="371">
      <c r="A371" t="inlineStr">
        <is>
          <t>No</t>
        </is>
      </c>
      <c r="B371" t="inlineStr">
        <is>
          <t>CUHSL</t>
        </is>
      </c>
      <c r="C371" t="inlineStr">
        <is>
          <t>SHELVES</t>
        </is>
      </c>
      <c r="D371" t="inlineStr">
        <is>
          <t>WY 18 R745 1959</t>
        </is>
      </c>
      <c r="E371" t="inlineStr">
        <is>
          <t>0                      WY 0018000R  745         1959</t>
        </is>
      </c>
      <c r="F371" t="inlineStr">
        <is>
          <t>Roles and relationships in nursing education : viewpoints expressed at the 1959 regional conferences of representatives of nursing service and nursing education.</t>
        </is>
      </c>
      <c r="H371" t="inlineStr">
        <is>
          <t>No</t>
        </is>
      </c>
      <c r="I371" t="inlineStr">
        <is>
          <t>1</t>
        </is>
      </c>
      <c r="J371" t="inlineStr">
        <is>
          <t>No</t>
        </is>
      </c>
      <c r="K371" t="inlineStr">
        <is>
          <t>No</t>
        </is>
      </c>
      <c r="L371" t="inlineStr">
        <is>
          <t>0</t>
        </is>
      </c>
      <c r="N371" t="inlineStr">
        <is>
          <t>New York : National League for Nursing, Inc., 1959.</t>
        </is>
      </c>
      <c r="O371" t="inlineStr">
        <is>
          <t>1959</t>
        </is>
      </c>
      <c r="Q371" t="inlineStr">
        <is>
          <t>eng</t>
        </is>
      </c>
      <c r="R371" t="inlineStr">
        <is>
          <t>nyu</t>
        </is>
      </c>
      <c r="S371" t="inlineStr">
        <is>
          <t>NLN pub. no. 14-759</t>
        </is>
      </c>
      <c r="T371" t="inlineStr">
        <is>
          <t xml:space="preserve">WY </t>
        </is>
      </c>
      <c r="U371" t="n">
        <v>2</v>
      </c>
      <c r="V371" t="n">
        <v>2</v>
      </c>
      <c r="W371" t="inlineStr">
        <is>
          <t>1990-04-06</t>
        </is>
      </c>
      <c r="X371" t="inlineStr">
        <is>
          <t>1990-04-06</t>
        </is>
      </c>
      <c r="Y371" t="inlineStr">
        <is>
          <t>1987-10-13</t>
        </is>
      </c>
      <c r="Z371" t="inlineStr">
        <is>
          <t>1987-10-13</t>
        </is>
      </c>
      <c r="AA371" t="n">
        <v>37</v>
      </c>
      <c r="AB371" t="n">
        <v>21</v>
      </c>
      <c r="AC371" t="n">
        <v>48</v>
      </c>
      <c r="AD371" t="n">
        <v>1</v>
      </c>
      <c r="AE371" t="n">
        <v>1</v>
      </c>
      <c r="AF371" t="n">
        <v>0</v>
      </c>
      <c r="AG371" t="n">
        <v>2</v>
      </c>
      <c r="AH371" t="n">
        <v>0</v>
      </c>
      <c r="AI371" t="n">
        <v>0</v>
      </c>
      <c r="AJ371" t="n">
        <v>0</v>
      </c>
      <c r="AK371" t="n">
        <v>0</v>
      </c>
      <c r="AL371" t="n">
        <v>0</v>
      </c>
      <c r="AM371" t="n">
        <v>2</v>
      </c>
      <c r="AN371" t="n">
        <v>0</v>
      </c>
      <c r="AO371" t="n">
        <v>0</v>
      </c>
      <c r="AP371" t="n">
        <v>0</v>
      </c>
      <c r="AQ371" t="n">
        <v>0</v>
      </c>
      <c r="AR371" t="inlineStr">
        <is>
          <t>No</t>
        </is>
      </c>
      <c r="AS371" t="inlineStr">
        <is>
          <t>No</t>
        </is>
      </c>
      <c r="AU371">
        <f>HYPERLINK("https://creighton-primo.hosted.exlibrisgroup.com/primo-explore/search?tab=default_tab&amp;search_scope=EVERYTHING&amp;vid=01CRU&amp;lang=en_US&amp;offset=0&amp;query=any,contains,991001361999702656","Catalog Record")</f>
        <v/>
      </c>
      <c r="AV371">
        <f>HYPERLINK("http://www.worldcat.org/oclc/1633856","WorldCat Record")</f>
        <v/>
      </c>
      <c r="AW371" t="inlineStr">
        <is>
          <t>2128974:eng</t>
        </is>
      </c>
      <c r="AX371" t="inlineStr">
        <is>
          <t>1633856</t>
        </is>
      </c>
      <c r="AY371" t="inlineStr">
        <is>
          <t>991001361999702656</t>
        </is>
      </c>
      <c r="AZ371" t="inlineStr">
        <is>
          <t>991001361999702656</t>
        </is>
      </c>
      <c r="BA371" t="inlineStr">
        <is>
          <t>2255003740002656</t>
        </is>
      </c>
      <c r="BB371" t="inlineStr">
        <is>
          <t>BOOK</t>
        </is>
      </c>
      <c r="BE371" t="inlineStr">
        <is>
          <t>30001000460917</t>
        </is>
      </c>
      <c r="BF371" t="inlineStr">
        <is>
          <t>893451111</t>
        </is>
      </c>
    </row>
    <row r="372">
      <c r="A372" t="inlineStr">
        <is>
          <t>No</t>
        </is>
      </c>
      <c r="B372" t="inlineStr">
        <is>
          <t>CUHSL</t>
        </is>
      </c>
      <c r="C372" t="inlineStr">
        <is>
          <t>SHELVES</t>
        </is>
      </c>
      <c r="D372" t="inlineStr">
        <is>
          <t>WY 18 R813n 1987</t>
        </is>
      </c>
      <c r="E372" t="inlineStr">
        <is>
          <t>0                      WY 0018000R  813n        1987</t>
        </is>
      </c>
      <c r="F372" t="inlineStr">
        <is>
          <t>Nursing student census with policy implications, 1987 / by Peri Rosenfeld.</t>
        </is>
      </c>
      <c r="H372" t="inlineStr">
        <is>
          <t>No</t>
        </is>
      </c>
      <c r="I372" t="inlineStr">
        <is>
          <t>1</t>
        </is>
      </c>
      <c r="J372" t="inlineStr">
        <is>
          <t>No</t>
        </is>
      </c>
      <c r="K372" t="inlineStr">
        <is>
          <t>No</t>
        </is>
      </c>
      <c r="L372" t="inlineStr">
        <is>
          <t>0</t>
        </is>
      </c>
      <c r="M372" t="inlineStr">
        <is>
          <t>Rosenfeld, Peri.</t>
        </is>
      </c>
      <c r="N372" t="inlineStr">
        <is>
          <t>New York : Division of Public Policy and Research, National League for Nursing, c1988.</t>
        </is>
      </c>
      <c r="O372" t="inlineStr">
        <is>
          <t>1988</t>
        </is>
      </c>
      <c r="Q372" t="inlineStr">
        <is>
          <t>eng</t>
        </is>
      </c>
      <c r="R372" t="inlineStr">
        <is>
          <t>nyu</t>
        </is>
      </c>
      <c r="S372" t="inlineStr">
        <is>
          <t>NLN pub. no. 19-2202</t>
        </is>
      </c>
      <c r="T372" t="inlineStr">
        <is>
          <t xml:space="preserve">WY </t>
        </is>
      </c>
      <c r="U372" t="n">
        <v>1</v>
      </c>
      <c r="V372" t="n">
        <v>1</v>
      </c>
      <c r="W372" t="inlineStr">
        <is>
          <t>2003-05-14</t>
        </is>
      </c>
      <c r="X372" t="inlineStr">
        <is>
          <t>2003-05-14</t>
        </is>
      </c>
      <c r="Y372" t="inlineStr">
        <is>
          <t>1988-02-05</t>
        </is>
      </c>
      <c r="Z372" t="inlineStr">
        <is>
          <t>1988-02-05</t>
        </is>
      </c>
      <c r="AA372" t="n">
        <v>41</v>
      </c>
      <c r="AB372" t="n">
        <v>39</v>
      </c>
      <c r="AC372" t="n">
        <v>40</v>
      </c>
      <c r="AD372" t="n">
        <v>2</v>
      </c>
      <c r="AE372" t="n">
        <v>2</v>
      </c>
      <c r="AF372" t="n">
        <v>1</v>
      </c>
      <c r="AG372" t="n">
        <v>1</v>
      </c>
      <c r="AH372" t="n">
        <v>1</v>
      </c>
      <c r="AI372" t="n">
        <v>1</v>
      </c>
      <c r="AJ372" t="n">
        <v>0</v>
      </c>
      <c r="AK372" t="n">
        <v>0</v>
      </c>
      <c r="AL372" t="n">
        <v>0</v>
      </c>
      <c r="AM372" t="n">
        <v>0</v>
      </c>
      <c r="AN372" t="n">
        <v>0</v>
      </c>
      <c r="AO372" t="n">
        <v>0</v>
      </c>
      <c r="AP372" t="n">
        <v>0</v>
      </c>
      <c r="AQ372" t="n">
        <v>0</v>
      </c>
      <c r="AR372" t="inlineStr">
        <is>
          <t>No</t>
        </is>
      </c>
      <c r="AS372" t="inlineStr">
        <is>
          <t>No</t>
        </is>
      </c>
      <c r="AU372">
        <f>HYPERLINK("https://creighton-primo.hosted.exlibrisgroup.com/primo-explore/search?tab=default_tab&amp;search_scope=EVERYTHING&amp;vid=01CRU&amp;lang=en_US&amp;offset=0&amp;query=any,contains,991001539379702656","Catalog Record")</f>
        <v/>
      </c>
      <c r="AV372">
        <f>HYPERLINK("http://www.worldcat.org/oclc/17406426","WorldCat Record")</f>
        <v/>
      </c>
      <c r="AW372" t="inlineStr">
        <is>
          <t>15488189:eng</t>
        </is>
      </c>
      <c r="AX372" t="inlineStr">
        <is>
          <t>17406426</t>
        </is>
      </c>
      <c r="AY372" t="inlineStr">
        <is>
          <t>991001539379702656</t>
        </is>
      </c>
      <c r="AZ372" t="inlineStr">
        <is>
          <t>991001539379702656</t>
        </is>
      </c>
      <c r="BA372" t="inlineStr">
        <is>
          <t>2267828490002656</t>
        </is>
      </c>
      <c r="BB372" t="inlineStr">
        <is>
          <t>BOOK</t>
        </is>
      </c>
      <c r="BD372" t="inlineStr">
        <is>
          <t>9780887373886</t>
        </is>
      </c>
      <c r="BE372" t="inlineStr">
        <is>
          <t>30001000624496</t>
        </is>
      </c>
      <c r="BF372" t="inlineStr">
        <is>
          <t>893727741</t>
        </is>
      </c>
    </row>
    <row r="373">
      <c r="A373" t="inlineStr">
        <is>
          <t>No</t>
        </is>
      </c>
      <c r="B373" t="inlineStr">
        <is>
          <t>CUHSL</t>
        </is>
      </c>
      <c r="C373" t="inlineStr">
        <is>
          <t>SHELVES</t>
        </is>
      </c>
      <c r="D373" t="inlineStr">
        <is>
          <t>WY 18 R813n 1987</t>
        </is>
      </c>
      <c r="E373" t="inlineStr">
        <is>
          <t>0                      WY 0018000R  813n        1987</t>
        </is>
      </c>
      <c r="F373" t="inlineStr">
        <is>
          <t>Nursing student census with policy implications, 1986 / by Peri Rosenfeld.</t>
        </is>
      </c>
      <c r="H373" t="inlineStr">
        <is>
          <t>No</t>
        </is>
      </c>
      <c r="I373" t="inlineStr">
        <is>
          <t>1</t>
        </is>
      </c>
      <c r="J373" t="inlineStr">
        <is>
          <t>No</t>
        </is>
      </c>
      <c r="K373" t="inlineStr">
        <is>
          <t>No</t>
        </is>
      </c>
      <c r="L373" t="inlineStr">
        <is>
          <t>0</t>
        </is>
      </c>
      <c r="M373" t="inlineStr">
        <is>
          <t>Rosenfeld, Peri.</t>
        </is>
      </c>
      <c r="N373" t="inlineStr">
        <is>
          <t>New York : Division of Public Policy and Research, National League for Nursing, c1987.</t>
        </is>
      </c>
      <c r="O373" t="inlineStr">
        <is>
          <t>1987</t>
        </is>
      </c>
      <c r="Q373" t="inlineStr">
        <is>
          <t>eng</t>
        </is>
      </c>
      <c r="R373" t="inlineStr">
        <is>
          <t>nyu</t>
        </is>
      </c>
      <c r="S373" t="inlineStr">
        <is>
          <t>NLN pub. no. 19-2175</t>
        </is>
      </c>
      <c r="T373" t="inlineStr">
        <is>
          <t xml:space="preserve">WY </t>
        </is>
      </c>
      <c r="U373" t="n">
        <v>0</v>
      </c>
      <c r="V373" t="n">
        <v>0</v>
      </c>
      <c r="W373" t="inlineStr">
        <is>
          <t>2002-07-21</t>
        </is>
      </c>
      <c r="X373" t="inlineStr">
        <is>
          <t>2002-07-21</t>
        </is>
      </c>
      <c r="Y373" t="inlineStr">
        <is>
          <t>2000-06-15</t>
        </is>
      </c>
      <c r="Z373" t="inlineStr">
        <is>
          <t>2000-06-15</t>
        </is>
      </c>
      <c r="AA373" t="n">
        <v>54</v>
      </c>
      <c r="AB373" t="n">
        <v>52</v>
      </c>
      <c r="AC373" t="n">
        <v>52</v>
      </c>
      <c r="AD373" t="n">
        <v>2</v>
      </c>
      <c r="AE373" t="n">
        <v>2</v>
      </c>
      <c r="AF373" t="n">
        <v>1</v>
      </c>
      <c r="AG373" t="n">
        <v>1</v>
      </c>
      <c r="AH373" t="n">
        <v>1</v>
      </c>
      <c r="AI373" t="n">
        <v>1</v>
      </c>
      <c r="AJ373" t="n">
        <v>0</v>
      </c>
      <c r="AK373" t="n">
        <v>0</v>
      </c>
      <c r="AL373" t="n">
        <v>1</v>
      </c>
      <c r="AM373" t="n">
        <v>1</v>
      </c>
      <c r="AN373" t="n">
        <v>0</v>
      </c>
      <c r="AO373" t="n">
        <v>0</v>
      </c>
      <c r="AP373" t="n">
        <v>0</v>
      </c>
      <c r="AQ373" t="n">
        <v>0</v>
      </c>
      <c r="AR373" t="inlineStr">
        <is>
          <t>No</t>
        </is>
      </c>
      <c r="AS373" t="inlineStr">
        <is>
          <t>No</t>
        </is>
      </c>
      <c r="AU373">
        <f>HYPERLINK("https://creighton-primo.hosted.exlibrisgroup.com/primo-explore/search?tab=default_tab&amp;search_scope=EVERYTHING&amp;vid=01CRU&amp;lang=en_US&amp;offset=0&amp;query=any,contains,991000205969702656","Catalog Record")</f>
        <v/>
      </c>
      <c r="AV373">
        <f>HYPERLINK("http://www.worldcat.org/oclc/15338739","WorldCat Record")</f>
        <v/>
      </c>
      <c r="AW373" t="inlineStr">
        <is>
          <t>4794524187:eng</t>
        </is>
      </c>
      <c r="AX373" t="inlineStr">
        <is>
          <t>15338739</t>
        </is>
      </c>
      <c r="AY373" t="inlineStr">
        <is>
          <t>991000205969702656</t>
        </is>
      </c>
      <c r="AZ373" t="inlineStr">
        <is>
          <t>991000205969702656</t>
        </is>
      </c>
      <c r="BA373" t="inlineStr">
        <is>
          <t>2257253290002656</t>
        </is>
      </c>
      <c r="BB373" t="inlineStr">
        <is>
          <t>BOOK</t>
        </is>
      </c>
      <c r="BD373" t="inlineStr">
        <is>
          <t>9780887373565</t>
        </is>
      </c>
      <c r="BE373" t="inlineStr">
        <is>
          <t>30001002276386</t>
        </is>
      </c>
      <c r="BF373" t="inlineStr">
        <is>
          <t>893279837</t>
        </is>
      </c>
    </row>
    <row r="374">
      <c r="A374" t="inlineStr">
        <is>
          <t>No</t>
        </is>
      </c>
      <c r="B374" t="inlineStr">
        <is>
          <t>CUHSL</t>
        </is>
      </c>
      <c r="C374" t="inlineStr">
        <is>
          <t>SHELVES</t>
        </is>
      </c>
      <c r="D374" t="inlineStr">
        <is>
          <t>WY 18 R854c 1978</t>
        </is>
      </c>
      <c r="E374" t="inlineStr">
        <is>
          <t>0                      WY 0018000R  854c        1978</t>
        </is>
      </c>
      <c r="F374" t="inlineStr">
        <is>
          <t>College teaching, putting the pieces together / John E. Roueche ; with an introd. by Richard E. Wilson.</t>
        </is>
      </c>
      <c r="H374" t="inlineStr">
        <is>
          <t>No</t>
        </is>
      </c>
      <c r="I374" t="inlineStr">
        <is>
          <t>1</t>
        </is>
      </c>
      <c r="J374" t="inlineStr">
        <is>
          <t>No</t>
        </is>
      </c>
      <c r="K374" t="inlineStr">
        <is>
          <t>No</t>
        </is>
      </c>
      <c r="L374" t="inlineStr">
        <is>
          <t>0</t>
        </is>
      </c>
      <c r="M374" t="inlineStr">
        <is>
          <t>Roueche, John E.</t>
        </is>
      </c>
      <c r="N374" t="inlineStr">
        <is>
          <t>New York, N.Y. : National League for Nursing, c1979.</t>
        </is>
      </c>
      <c r="O374" t="inlineStr">
        <is>
          <t>1978</t>
        </is>
      </c>
      <c r="Q374" t="inlineStr">
        <is>
          <t>eng</t>
        </is>
      </c>
      <c r="R374" t="inlineStr">
        <is>
          <t>nyu</t>
        </is>
      </c>
      <c r="S374" t="inlineStr">
        <is>
          <t>NLN pub. no. 23-1792</t>
        </is>
      </c>
      <c r="T374" t="inlineStr">
        <is>
          <t xml:space="preserve">WY </t>
        </is>
      </c>
      <c r="U374" t="n">
        <v>2</v>
      </c>
      <c r="V374" t="n">
        <v>2</v>
      </c>
      <c r="W374" t="inlineStr">
        <is>
          <t>1990-07-17</t>
        </is>
      </c>
      <c r="X374" t="inlineStr">
        <is>
          <t>1990-07-17</t>
        </is>
      </c>
      <c r="Y374" t="inlineStr">
        <is>
          <t>1987-11-04</t>
        </is>
      </c>
      <c r="Z374" t="inlineStr">
        <is>
          <t>1987-11-04</t>
        </is>
      </c>
      <c r="AA374" t="n">
        <v>78</v>
      </c>
      <c r="AB374" t="n">
        <v>65</v>
      </c>
      <c r="AC374" t="n">
        <v>67</v>
      </c>
      <c r="AD374" t="n">
        <v>1</v>
      </c>
      <c r="AE374" t="n">
        <v>1</v>
      </c>
      <c r="AF374" t="n">
        <v>2</v>
      </c>
      <c r="AG374" t="n">
        <v>2</v>
      </c>
      <c r="AH374" t="n">
        <v>0</v>
      </c>
      <c r="AI374" t="n">
        <v>0</v>
      </c>
      <c r="AJ374" t="n">
        <v>0</v>
      </c>
      <c r="AK374" t="n">
        <v>0</v>
      </c>
      <c r="AL374" t="n">
        <v>2</v>
      </c>
      <c r="AM374" t="n">
        <v>2</v>
      </c>
      <c r="AN374" t="n">
        <v>0</v>
      </c>
      <c r="AO374" t="n">
        <v>0</v>
      </c>
      <c r="AP374" t="n">
        <v>0</v>
      </c>
      <c r="AQ374" t="n">
        <v>0</v>
      </c>
      <c r="AR374" t="inlineStr">
        <is>
          <t>No</t>
        </is>
      </c>
      <c r="AS374" t="inlineStr">
        <is>
          <t>Yes</t>
        </is>
      </c>
      <c r="AT374">
        <f>HYPERLINK("http://catalog.hathitrust.org/Record/009820110","HathiTrust Record")</f>
        <v/>
      </c>
      <c r="AU374">
        <f>HYPERLINK("https://creighton-primo.hosted.exlibrisgroup.com/primo-explore/search?tab=default_tab&amp;search_scope=EVERYTHING&amp;vid=01CRU&amp;lang=en_US&amp;offset=0&amp;query=any,contains,991001388729702656","Catalog Record")</f>
        <v/>
      </c>
      <c r="AV374">
        <f>HYPERLINK("http://www.worldcat.org/oclc/5434799","WorldCat Record")</f>
        <v/>
      </c>
      <c r="AW374" t="inlineStr">
        <is>
          <t>17813974:eng</t>
        </is>
      </c>
      <c r="AX374" t="inlineStr">
        <is>
          <t>5434799</t>
        </is>
      </c>
      <c r="AY374" t="inlineStr">
        <is>
          <t>991001388729702656</t>
        </is>
      </c>
      <c r="AZ374" t="inlineStr">
        <is>
          <t>991001388729702656</t>
        </is>
      </c>
      <c r="BA374" t="inlineStr">
        <is>
          <t>2260356290002656</t>
        </is>
      </c>
      <c r="BB374" t="inlineStr">
        <is>
          <t>BOOK</t>
        </is>
      </c>
      <c r="BE374" t="inlineStr">
        <is>
          <t>30001000464414</t>
        </is>
      </c>
      <c r="BF374" t="inlineStr">
        <is>
          <t>893832133</t>
        </is>
      </c>
    </row>
    <row r="375">
      <c r="A375" t="inlineStr">
        <is>
          <t>No</t>
        </is>
      </c>
      <c r="B375" t="inlineStr">
        <is>
          <t>CUHSL</t>
        </is>
      </c>
      <c r="C375" t="inlineStr">
        <is>
          <t>SHELVES</t>
        </is>
      </c>
      <c r="D375" t="inlineStr">
        <is>
          <t>WY 18 R943 1979</t>
        </is>
      </c>
      <c r="E375" t="inlineStr">
        <is>
          <t>0                      WY 0018000R  943         1979</t>
        </is>
      </c>
      <c r="F375" t="inlineStr">
        <is>
          <t>Rural energency nursing instructors manual / developed by Anthony J. Carnazzo.</t>
        </is>
      </c>
      <c r="H375" t="inlineStr">
        <is>
          <t>No</t>
        </is>
      </c>
      <c r="I375" t="inlineStr">
        <is>
          <t>1</t>
        </is>
      </c>
      <c r="J375" t="inlineStr">
        <is>
          <t>No</t>
        </is>
      </c>
      <c r="K375" t="inlineStr">
        <is>
          <t>No</t>
        </is>
      </c>
      <c r="L375" t="inlineStr">
        <is>
          <t>0</t>
        </is>
      </c>
      <c r="N375" t="inlineStr">
        <is>
          <t>[Omaha, Ne. : Creighton University,] 1979.</t>
        </is>
      </c>
      <c r="O375" t="inlineStr">
        <is>
          <t>1979</t>
        </is>
      </c>
      <c r="Q375" t="inlineStr">
        <is>
          <t>eng</t>
        </is>
      </c>
      <c r="R375" t="inlineStr">
        <is>
          <t>nbu</t>
        </is>
      </c>
      <c r="T375" t="inlineStr">
        <is>
          <t xml:space="preserve">WY </t>
        </is>
      </c>
      <c r="U375" t="n">
        <v>1</v>
      </c>
      <c r="V375" t="n">
        <v>1</v>
      </c>
      <c r="W375" t="inlineStr">
        <is>
          <t>1994-06-21</t>
        </is>
      </c>
      <c r="X375" t="inlineStr">
        <is>
          <t>1994-06-21</t>
        </is>
      </c>
      <c r="Y375" t="inlineStr">
        <is>
          <t>1987-10-22</t>
        </is>
      </c>
      <c r="Z375" t="inlineStr">
        <is>
          <t>1987-10-22</t>
        </is>
      </c>
      <c r="AA375" t="n">
        <v>1</v>
      </c>
      <c r="AB375" t="n">
        <v>1</v>
      </c>
      <c r="AC375" t="n">
        <v>1</v>
      </c>
      <c r="AD375" t="n">
        <v>1</v>
      </c>
      <c r="AE375" t="n">
        <v>1</v>
      </c>
      <c r="AF375" t="n">
        <v>0</v>
      </c>
      <c r="AG375" t="n">
        <v>0</v>
      </c>
      <c r="AH375" t="n">
        <v>0</v>
      </c>
      <c r="AI375" t="n">
        <v>0</v>
      </c>
      <c r="AJ375" t="n">
        <v>0</v>
      </c>
      <c r="AK375" t="n">
        <v>0</v>
      </c>
      <c r="AL375" t="n">
        <v>0</v>
      </c>
      <c r="AM375" t="n">
        <v>0</v>
      </c>
      <c r="AN375" t="n">
        <v>0</v>
      </c>
      <c r="AO375" t="n">
        <v>0</v>
      </c>
      <c r="AP375" t="n">
        <v>0</v>
      </c>
      <c r="AQ375" t="n">
        <v>0</v>
      </c>
      <c r="AR375" t="inlineStr">
        <is>
          <t>No</t>
        </is>
      </c>
      <c r="AS375" t="inlineStr">
        <is>
          <t>No</t>
        </is>
      </c>
      <c r="AU375">
        <f>HYPERLINK("https://creighton-primo.hosted.exlibrisgroup.com/primo-explore/search?tab=default_tab&amp;search_scope=EVERYTHING&amp;vid=01CRU&amp;lang=en_US&amp;offset=0&amp;query=any,contains,991000740019702656","Catalog Record")</f>
        <v/>
      </c>
      <c r="AV375">
        <f>HYPERLINK("http://www.worldcat.org/oclc/6050934","WorldCat Record")</f>
        <v/>
      </c>
      <c r="AW375" t="inlineStr">
        <is>
          <t>20475398:eng</t>
        </is>
      </c>
      <c r="AX375" t="inlineStr">
        <is>
          <t>6050934</t>
        </is>
      </c>
      <c r="AY375" t="inlineStr">
        <is>
          <t>991000740019702656</t>
        </is>
      </c>
      <c r="AZ375" t="inlineStr">
        <is>
          <t>991000740019702656</t>
        </is>
      </c>
      <c r="BA375" t="inlineStr">
        <is>
          <t>2267082960002656</t>
        </is>
      </c>
      <c r="BB375" t="inlineStr">
        <is>
          <t>BOOK</t>
        </is>
      </c>
      <c r="BE375" t="inlineStr">
        <is>
          <t>30001000043168</t>
        </is>
      </c>
      <c r="BF375" t="inlineStr">
        <is>
          <t>893831137</t>
        </is>
      </c>
    </row>
    <row r="376">
      <c r="A376" t="inlineStr">
        <is>
          <t>No</t>
        </is>
      </c>
      <c r="B376" t="inlineStr">
        <is>
          <t>CUHSL</t>
        </is>
      </c>
      <c r="C376" t="inlineStr">
        <is>
          <t>SHELVES</t>
        </is>
      </c>
      <c r="D376" t="inlineStr">
        <is>
          <t>WY18 S237C 1980</t>
        </is>
      </c>
      <c r="E376" t="inlineStr">
        <is>
          <t>0                      WY 0018000S  237C        1980</t>
        </is>
      </c>
      <c r="F376" t="inlineStr">
        <is>
          <t>Conceptual frameworks used in baccalaureate and master's degree curricula / Dolores Santora.</t>
        </is>
      </c>
      <c r="H376" t="inlineStr">
        <is>
          <t>No</t>
        </is>
      </c>
      <c r="I376" t="inlineStr">
        <is>
          <t>1</t>
        </is>
      </c>
      <c r="J376" t="inlineStr">
        <is>
          <t>No</t>
        </is>
      </c>
      <c r="K376" t="inlineStr">
        <is>
          <t>No</t>
        </is>
      </c>
      <c r="L376" t="inlineStr">
        <is>
          <t>0</t>
        </is>
      </c>
      <c r="M376" t="inlineStr">
        <is>
          <t>Santora, Dolores.</t>
        </is>
      </c>
      <c r="N376" t="inlineStr">
        <is>
          <t>New York : National League for Nursing, c1980.</t>
        </is>
      </c>
      <c r="O376" t="inlineStr">
        <is>
          <t>1980</t>
        </is>
      </c>
      <c r="Q376" t="inlineStr">
        <is>
          <t>eng</t>
        </is>
      </c>
      <c r="R376" t="inlineStr">
        <is>
          <t>xxu</t>
        </is>
      </c>
      <c r="S376" t="inlineStr">
        <is>
          <t>NLN pub. no. 15-1828</t>
        </is>
      </c>
      <c r="T376" t="inlineStr">
        <is>
          <t xml:space="preserve">WY </t>
        </is>
      </c>
      <c r="U376" t="n">
        <v>3</v>
      </c>
      <c r="V376" t="n">
        <v>3</v>
      </c>
      <c r="W376" t="inlineStr">
        <is>
          <t>2002-09-05</t>
        </is>
      </c>
      <c r="X376" t="inlineStr">
        <is>
          <t>2002-09-05</t>
        </is>
      </c>
      <c r="Y376" t="inlineStr">
        <is>
          <t>1987-10-29</t>
        </is>
      </c>
      <c r="Z376" t="inlineStr">
        <is>
          <t>1987-10-29</t>
        </is>
      </c>
      <c r="AA376" t="n">
        <v>117</v>
      </c>
      <c r="AB376" t="n">
        <v>98</v>
      </c>
      <c r="AC376" t="n">
        <v>98</v>
      </c>
      <c r="AD376" t="n">
        <v>1</v>
      </c>
      <c r="AE376" t="n">
        <v>1</v>
      </c>
      <c r="AF376" t="n">
        <v>3</v>
      </c>
      <c r="AG376" t="n">
        <v>3</v>
      </c>
      <c r="AH376" t="n">
        <v>1</v>
      </c>
      <c r="AI376" t="n">
        <v>1</v>
      </c>
      <c r="AJ376" t="n">
        <v>0</v>
      </c>
      <c r="AK376" t="n">
        <v>0</v>
      </c>
      <c r="AL376" t="n">
        <v>2</v>
      </c>
      <c r="AM376" t="n">
        <v>2</v>
      </c>
      <c r="AN376" t="n">
        <v>0</v>
      </c>
      <c r="AO376" t="n">
        <v>0</v>
      </c>
      <c r="AP376" t="n">
        <v>0</v>
      </c>
      <c r="AQ376" t="n">
        <v>0</v>
      </c>
      <c r="AR376" t="inlineStr">
        <is>
          <t>No</t>
        </is>
      </c>
      <c r="AS376" t="inlineStr">
        <is>
          <t>No</t>
        </is>
      </c>
      <c r="AU376">
        <f>HYPERLINK("https://creighton-primo.hosted.exlibrisgroup.com/primo-explore/search?tab=default_tab&amp;search_scope=EVERYTHING&amp;vid=01CRU&amp;lang=en_US&amp;offset=0&amp;query=any,contains,991001371479702656","Catalog Record")</f>
        <v/>
      </c>
      <c r="AV376">
        <f>HYPERLINK("http://www.worldcat.org/oclc/7738854","WorldCat Record")</f>
        <v/>
      </c>
      <c r="AW376" t="inlineStr">
        <is>
          <t>29767015:eng</t>
        </is>
      </c>
      <c r="AX376" t="inlineStr">
        <is>
          <t>7738854</t>
        </is>
      </c>
      <c r="AY376" t="inlineStr">
        <is>
          <t>991001371479702656</t>
        </is>
      </c>
      <c r="AZ376" t="inlineStr">
        <is>
          <t>991001371479702656</t>
        </is>
      </c>
      <c r="BA376" t="inlineStr">
        <is>
          <t>2257821040002656</t>
        </is>
      </c>
      <c r="BB376" t="inlineStr">
        <is>
          <t>BOOK</t>
        </is>
      </c>
      <c r="BE376" t="inlineStr">
        <is>
          <t>30001000461881</t>
        </is>
      </c>
      <c r="BF376" t="inlineStr">
        <is>
          <t>893546636</t>
        </is>
      </c>
    </row>
    <row r="377">
      <c r="A377" t="inlineStr">
        <is>
          <t>No</t>
        </is>
      </c>
      <c r="B377" t="inlineStr">
        <is>
          <t>CUHSL</t>
        </is>
      </c>
      <c r="C377" t="inlineStr">
        <is>
          <t>SHELVES</t>
        </is>
      </c>
      <c r="D377" t="inlineStr">
        <is>
          <t>WY 18 S281n 1985</t>
        </is>
      </c>
      <c r="E377" t="inlineStr">
        <is>
          <t>0                      WY 0018000S  281n        1985</t>
        </is>
      </c>
      <c r="F377" t="inlineStr">
        <is>
          <t>Nursing curriculum : development, structure, function / Freda S. Scales.</t>
        </is>
      </c>
      <c r="H377" t="inlineStr">
        <is>
          <t>No</t>
        </is>
      </c>
      <c r="I377" t="inlineStr">
        <is>
          <t>1</t>
        </is>
      </c>
      <c r="J377" t="inlineStr">
        <is>
          <t>No</t>
        </is>
      </c>
      <c r="K377" t="inlineStr">
        <is>
          <t>No</t>
        </is>
      </c>
      <c r="L377" t="inlineStr">
        <is>
          <t>0</t>
        </is>
      </c>
      <c r="M377" t="inlineStr">
        <is>
          <t>Scales, Freda S.</t>
        </is>
      </c>
      <c r="N377" t="inlineStr">
        <is>
          <t>Norwalk, Conn. : Appleton-Century-Crofts, n1985.</t>
        </is>
      </c>
      <c r="O377" t="inlineStr">
        <is>
          <t>1985</t>
        </is>
      </c>
      <c r="Q377" t="inlineStr">
        <is>
          <t>eng</t>
        </is>
      </c>
      <c r="R377" t="inlineStr">
        <is>
          <t xml:space="preserve">aa </t>
        </is>
      </c>
      <c r="T377" t="inlineStr">
        <is>
          <t xml:space="preserve">WY </t>
        </is>
      </c>
      <c r="U377" t="n">
        <v>7</v>
      </c>
      <c r="V377" t="n">
        <v>7</v>
      </c>
      <c r="W377" t="inlineStr">
        <is>
          <t>1997-03-12</t>
        </is>
      </c>
      <c r="X377" t="inlineStr">
        <is>
          <t>1997-03-12</t>
        </is>
      </c>
      <c r="Y377" t="inlineStr">
        <is>
          <t>1988-03-24</t>
        </is>
      </c>
      <c r="Z377" t="inlineStr">
        <is>
          <t>1988-03-24</t>
        </is>
      </c>
      <c r="AA377" t="n">
        <v>186</v>
      </c>
      <c r="AB377" t="n">
        <v>140</v>
      </c>
      <c r="AC377" t="n">
        <v>143</v>
      </c>
      <c r="AD377" t="n">
        <v>1</v>
      </c>
      <c r="AE377" t="n">
        <v>1</v>
      </c>
      <c r="AF377" t="n">
        <v>5</v>
      </c>
      <c r="AG377" t="n">
        <v>5</v>
      </c>
      <c r="AH377" t="n">
        <v>1</v>
      </c>
      <c r="AI377" t="n">
        <v>1</v>
      </c>
      <c r="AJ377" t="n">
        <v>2</v>
      </c>
      <c r="AK377" t="n">
        <v>2</v>
      </c>
      <c r="AL377" t="n">
        <v>2</v>
      </c>
      <c r="AM377" t="n">
        <v>2</v>
      </c>
      <c r="AN377" t="n">
        <v>0</v>
      </c>
      <c r="AO377" t="n">
        <v>0</v>
      </c>
      <c r="AP377" t="n">
        <v>0</v>
      </c>
      <c r="AQ377" t="n">
        <v>0</v>
      </c>
      <c r="AR377" t="inlineStr">
        <is>
          <t>No</t>
        </is>
      </c>
      <c r="AS377" t="inlineStr">
        <is>
          <t>Yes</t>
        </is>
      </c>
      <c r="AT377">
        <f>HYPERLINK("http://catalog.hathitrust.org/Record/000290109","HathiTrust Record")</f>
        <v/>
      </c>
      <c r="AU377">
        <f>HYPERLINK("https://creighton-primo.hosted.exlibrisgroup.com/primo-explore/search?tab=default_tab&amp;search_scope=EVERYTHING&amp;vid=01CRU&amp;lang=en_US&amp;offset=0&amp;query=any,contains,991001002759702656","Catalog Record")</f>
        <v/>
      </c>
      <c r="AV377">
        <f>HYPERLINK("http://www.worldcat.org/oclc/10914175","WorldCat Record")</f>
        <v/>
      </c>
      <c r="AW377" t="inlineStr">
        <is>
          <t>428634374:eng</t>
        </is>
      </c>
      <c r="AX377" t="inlineStr">
        <is>
          <t>10914175</t>
        </is>
      </c>
      <c r="AY377" t="inlineStr">
        <is>
          <t>991001002759702656</t>
        </is>
      </c>
      <c r="AZ377" t="inlineStr">
        <is>
          <t>991001002759702656</t>
        </is>
      </c>
      <c r="BA377" t="inlineStr">
        <is>
          <t>2256413060002656</t>
        </is>
      </c>
      <c r="BB377" t="inlineStr">
        <is>
          <t>BOOK</t>
        </is>
      </c>
      <c r="BD377" t="inlineStr">
        <is>
          <t>9780838570210</t>
        </is>
      </c>
      <c r="BE377" t="inlineStr">
        <is>
          <t>30001000900144</t>
        </is>
      </c>
      <c r="BF377" t="inlineStr">
        <is>
          <t>893460205</t>
        </is>
      </c>
    </row>
    <row r="378">
      <c r="A378" t="inlineStr">
        <is>
          <t>No</t>
        </is>
      </c>
      <c r="B378" t="inlineStr">
        <is>
          <t>CUHSL</t>
        </is>
      </c>
      <c r="C378" t="inlineStr">
        <is>
          <t>SHELVES</t>
        </is>
      </c>
      <c r="D378" t="inlineStr">
        <is>
          <t>WY 18 S326c 1990</t>
        </is>
      </c>
      <c r="E378" t="inlineStr">
        <is>
          <t>0                      WY 0018000S  326c        1990</t>
        </is>
      </c>
      <c r="F378" t="inlineStr">
        <is>
          <t>Community health nursing care plans : a guide for home health care professionals / Susan L. Scherman.</t>
        </is>
      </c>
      <c r="H378" t="inlineStr">
        <is>
          <t>No</t>
        </is>
      </c>
      <c r="I378" t="inlineStr">
        <is>
          <t>1</t>
        </is>
      </c>
      <c r="J378" t="inlineStr">
        <is>
          <t>No</t>
        </is>
      </c>
      <c r="K378" t="inlineStr">
        <is>
          <t>Yes</t>
        </is>
      </c>
      <c r="L378" t="inlineStr">
        <is>
          <t>0</t>
        </is>
      </c>
      <c r="M378" t="inlineStr">
        <is>
          <t>Scherman, Susan L.</t>
        </is>
      </c>
      <c r="N378" t="inlineStr">
        <is>
          <t>Albany, N.Y. : Delmar Publishers, c1990.</t>
        </is>
      </c>
      <c r="O378" t="inlineStr">
        <is>
          <t>1990</t>
        </is>
      </c>
      <c r="P378" t="inlineStr">
        <is>
          <t>2nd ed.</t>
        </is>
      </c>
      <c r="Q378" t="inlineStr">
        <is>
          <t>eng</t>
        </is>
      </c>
      <c r="R378" t="inlineStr">
        <is>
          <t>xxu</t>
        </is>
      </c>
      <c r="T378" t="inlineStr">
        <is>
          <t xml:space="preserve">WY </t>
        </is>
      </c>
      <c r="U378" t="n">
        <v>2</v>
      </c>
      <c r="V378" t="n">
        <v>2</v>
      </c>
      <c r="W378" t="inlineStr">
        <is>
          <t>1995-10-12</t>
        </is>
      </c>
      <c r="X378" t="inlineStr">
        <is>
          <t>1995-10-12</t>
        </is>
      </c>
      <c r="Y378" t="inlineStr">
        <is>
          <t>1990-10-23</t>
        </is>
      </c>
      <c r="Z378" t="inlineStr">
        <is>
          <t>1990-10-23</t>
        </is>
      </c>
      <c r="AA378" t="n">
        <v>149</v>
      </c>
      <c r="AB378" t="n">
        <v>119</v>
      </c>
      <c r="AC378" t="n">
        <v>269</v>
      </c>
      <c r="AD378" t="n">
        <v>1</v>
      </c>
      <c r="AE378" t="n">
        <v>3</v>
      </c>
      <c r="AF378" t="n">
        <v>5</v>
      </c>
      <c r="AG378" t="n">
        <v>8</v>
      </c>
      <c r="AH378" t="n">
        <v>2</v>
      </c>
      <c r="AI378" t="n">
        <v>3</v>
      </c>
      <c r="AJ378" t="n">
        <v>1</v>
      </c>
      <c r="AK378" t="n">
        <v>1</v>
      </c>
      <c r="AL378" t="n">
        <v>5</v>
      </c>
      <c r="AM378" t="n">
        <v>6</v>
      </c>
      <c r="AN378" t="n">
        <v>0</v>
      </c>
      <c r="AO378" t="n">
        <v>1</v>
      </c>
      <c r="AP378" t="n">
        <v>0</v>
      </c>
      <c r="AQ378" t="n">
        <v>0</v>
      </c>
      <c r="AR378" t="inlineStr">
        <is>
          <t>No</t>
        </is>
      </c>
      <c r="AS378" t="inlineStr">
        <is>
          <t>No</t>
        </is>
      </c>
      <c r="AU378">
        <f>HYPERLINK("https://creighton-primo.hosted.exlibrisgroup.com/primo-explore/search?tab=default_tab&amp;search_scope=EVERYTHING&amp;vid=01CRU&amp;lang=en_US&amp;offset=0&amp;query=any,contains,991000771759702656","Catalog Record")</f>
        <v/>
      </c>
      <c r="AV378">
        <f>HYPERLINK("http://www.worldcat.org/oclc/20823663","WorldCat Record")</f>
        <v/>
      </c>
      <c r="AW378" t="inlineStr">
        <is>
          <t>836674199:eng</t>
        </is>
      </c>
      <c r="AX378" t="inlineStr">
        <is>
          <t>20823663</t>
        </is>
      </c>
      <c r="AY378" t="inlineStr">
        <is>
          <t>991000771759702656</t>
        </is>
      </c>
      <c r="AZ378" t="inlineStr">
        <is>
          <t>991000771759702656</t>
        </is>
      </c>
      <c r="BA378" t="inlineStr">
        <is>
          <t>2269421250002656</t>
        </is>
      </c>
      <c r="BB378" t="inlineStr">
        <is>
          <t>BOOK</t>
        </is>
      </c>
      <c r="BD378" t="inlineStr">
        <is>
          <t>9780827343573</t>
        </is>
      </c>
      <c r="BE378" t="inlineStr">
        <is>
          <t>30001002062273</t>
        </is>
      </c>
      <c r="BF378" t="inlineStr">
        <is>
          <t>893459807</t>
        </is>
      </c>
    </row>
    <row r="379">
      <c r="A379" t="inlineStr">
        <is>
          <t>No</t>
        </is>
      </c>
      <c r="B379" t="inlineStr">
        <is>
          <t>CUHSL</t>
        </is>
      </c>
      <c r="C379" t="inlineStr">
        <is>
          <t>SHELVES</t>
        </is>
      </c>
      <c r="D379" t="inlineStr">
        <is>
          <t>WY 18 S412c 1976</t>
        </is>
      </c>
      <c r="E379" t="inlineStr">
        <is>
          <t>0                      WY 0018000S  412c        1976</t>
        </is>
      </c>
      <c r="F379" t="inlineStr">
        <is>
          <t>Creative teaching in clinical nursing / Jean E. Schweer, Kristine M. Gebbie.</t>
        </is>
      </c>
      <c r="H379" t="inlineStr">
        <is>
          <t>No</t>
        </is>
      </c>
      <c r="I379" t="inlineStr">
        <is>
          <t>1</t>
        </is>
      </c>
      <c r="J379" t="inlineStr">
        <is>
          <t>No</t>
        </is>
      </c>
      <c r="K379" t="inlineStr">
        <is>
          <t>No</t>
        </is>
      </c>
      <c r="L379" t="inlineStr">
        <is>
          <t>0</t>
        </is>
      </c>
      <c r="M379" t="inlineStr">
        <is>
          <t>Schweer, Jean E.</t>
        </is>
      </c>
      <c r="N379" t="inlineStr">
        <is>
          <t>Saint Louis, MO : Mosby, 1976.</t>
        </is>
      </c>
      <c r="O379" t="inlineStr">
        <is>
          <t>1976</t>
        </is>
      </c>
      <c r="P379" t="inlineStr">
        <is>
          <t>3rd ed.</t>
        </is>
      </c>
      <c r="Q379" t="inlineStr">
        <is>
          <t>eng</t>
        </is>
      </c>
      <c r="R379" t="inlineStr">
        <is>
          <t>mou</t>
        </is>
      </c>
      <c r="T379" t="inlineStr">
        <is>
          <t xml:space="preserve">WY </t>
        </is>
      </c>
      <c r="U379" t="n">
        <v>4</v>
      </c>
      <c r="V379" t="n">
        <v>4</v>
      </c>
      <c r="W379" t="inlineStr">
        <is>
          <t>1992-11-01</t>
        </is>
      </c>
      <c r="X379" t="inlineStr">
        <is>
          <t>1992-11-01</t>
        </is>
      </c>
      <c r="Y379" t="inlineStr">
        <is>
          <t>1988-01-20</t>
        </is>
      </c>
      <c r="Z379" t="inlineStr">
        <is>
          <t>1988-01-20</t>
        </is>
      </c>
      <c r="AA379" t="n">
        <v>236</v>
      </c>
      <c r="AB379" t="n">
        <v>172</v>
      </c>
      <c r="AC379" t="n">
        <v>269</v>
      </c>
      <c r="AD379" t="n">
        <v>3</v>
      </c>
      <c r="AE379" t="n">
        <v>4</v>
      </c>
      <c r="AF379" t="n">
        <v>8</v>
      </c>
      <c r="AG379" t="n">
        <v>9</v>
      </c>
      <c r="AH379" t="n">
        <v>2</v>
      </c>
      <c r="AI379" t="n">
        <v>2</v>
      </c>
      <c r="AJ379" t="n">
        <v>1</v>
      </c>
      <c r="AK379" t="n">
        <v>2</v>
      </c>
      <c r="AL379" t="n">
        <v>3</v>
      </c>
      <c r="AM379" t="n">
        <v>3</v>
      </c>
      <c r="AN379" t="n">
        <v>2</v>
      </c>
      <c r="AO379" t="n">
        <v>2</v>
      </c>
      <c r="AP379" t="n">
        <v>0</v>
      </c>
      <c r="AQ379" t="n">
        <v>0</v>
      </c>
      <c r="AR379" t="inlineStr">
        <is>
          <t>No</t>
        </is>
      </c>
      <c r="AS379" t="inlineStr">
        <is>
          <t>Yes</t>
        </is>
      </c>
      <c r="AT379">
        <f>HYPERLINK("http://catalog.hathitrust.org/Record/000038744","HathiTrust Record")</f>
        <v/>
      </c>
      <c r="AU379">
        <f>HYPERLINK("https://creighton-primo.hosted.exlibrisgroup.com/primo-explore/search?tab=default_tab&amp;search_scope=EVERYTHING&amp;vid=01CRU&amp;lang=en_US&amp;offset=0&amp;query=any,contains,991001042799702656","Catalog Record")</f>
        <v/>
      </c>
      <c r="AV379">
        <f>HYPERLINK("http://www.worldcat.org/oclc/1733520","WorldCat Record")</f>
        <v/>
      </c>
      <c r="AW379" t="inlineStr">
        <is>
          <t>1385804:eng</t>
        </is>
      </c>
      <c r="AX379" t="inlineStr">
        <is>
          <t>1733520</t>
        </is>
      </c>
      <c r="AY379" t="inlineStr">
        <is>
          <t>991001042799702656</t>
        </is>
      </c>
      <c r="AZ379" t="inlineStr">
        <is>
          <t>991001042799702656</t>
        </is>
      </c>
      <c r="BA379" t="inlineStr">
        <is>
          <t>2256835050002656</t>
        </is>
      </c>
      <c r="BB379" t="inlineStr">
        <is>
          <t>BOOK</t>
        </is>
      </c>
      <c r="BD379" t="inlineStr">
        <is>
          <t>9780801643774</t>
        </is>
      </c>
      <c r="BE379" t="inlineStr">
        <is>
          <t>30001000242851</t>
        </is>
      </c>
      <c r="BF379" t="inlineStr">
        <is>
          <t>893268011</t>
        </is>
      </c>
    </row>
    <row r="380">
      <c r="A380" t="inlineStr">
        <is>
          <t>No</t>
        </is>
      </c>
      <c r="B380" t="inlineStr">
        <is>
          <t>CUHSL</t>
        </is>
      </c>
      <c r="C380" t="inlineStr">
        <is>
          <t>SHELVES</t>
        </is>
      </c>
      <c r="D380" t="inlineStr">
        <is>
          <t>WY 18 S451p 1981</t>
        </is>
      </c>
      <c r="E380" t="inlineStr">
        <is>
          <t>0                      WY 0018000S  451p        1981</t>
        </is>
      </c>
      <c r="F380" t="inlineStr">
        <is>
          <t>The physical assessment : a programed unit of study for nurses / Marie M. Seedor ; photos. by Kathi Ann Lipcius ; ill. by Sharon M. Lipcius.</t>
        </is>
      </c>
      <c r="H380" t="inlineStr">
        <is>
          <t>No</t>
        </is>
      </c>
      <c r="I380" t="inlineStr">
        <is>
          <t>1</t>
        </is>
      </c>
      <c r="J380" t="inlineStr">
        <is>
          <t>No</t>
        </is>
      </c>
      <c r="K380" t="inlineStr">
        <is>
          <t>Yes</t>
        </is>
      </c>
      <c r="L380" t="inlineStr">
        <is>
          <t>0</t>
        </is>
      </c>
      <c r="M380" t="inlineStr">
        <is>
          <t>Seedor, Marie M.</t>
        </is>
      </c>
      <c r="N380" t="inlineStr">
        <is>
          <t>New York : Teachers College, Columbia University, c1981.</t>
        </is>
      </c>
      <c r="O380" t="inlineStr">
        <is>
          <t>1981</t>
        </is>
      </c>
      <c r="P380" t="inlineStr">
        <is>
          <t>2nd ed.</t>
        </is>
      </c>
      <c r="Q380" t="inlineStr">
        <is>
          <t>eng</t>
        </is>
      </c>
      <c r="R380" t="inlineStr">
        <is>
          <t>nyu</t>
        </is>
      </c>
      <c r="T380" t="inlineStr">
        <is>
          <t xml:space="preserve">WY </t>
        </is>
      </c>
      <c r="U380" t="n">
        <v>6</v>
      </c>
      <c r="V380" t="n">
        <v>6</v>
      </c>
      <c r="W380" t="inlineStr">
        <is>
          <t>2002-05-30</t>
        </is>
      </c>
      <c r="X380" t="inlineStr">
        <is>
          <t>2002-05-30</t>
        </is>
      </c>
      <c r="Y380" t="inlineStr">
        <is>
          <t>1987-12-28</t>
        </is>
      </c>
      <c r="Z380" t="inlineStr">
        <is>
          <t>1987-12-28</t>
        </is>
      </c>
      <c r="AA380" t="n">
        <v>60</v>
      </c>
      <c r="AB380" t="n">
        <v>49</v>
      </c>
      <c r="AC380" t="n">
        <v>120</v>
      </c>
      <c r="AD380" t="n">
        <v>1</v>
      </c>
      <c r="AE380" t="n">
        <v>2</v>
      </c>
      <c r="AF380" t="n">
        <v>3</v>
      </c>
      <c r="AG380" t="n">
        <v>10</v>
      </c>
      <c r="AH380" t="n">
        <v>1</v>
      </c>
      <c r="AI380" t="n">
        <v>2</v>
      </c>
      <c r="AJ380" t="n">
        <v>1</v>
      </c>
      <c r="AK380" t="n">
        <v>3</v>
      </c>
      <c r="AL380" t="n">
        <v>1</v>
      </c>
      <c r="AM380" t="n">
        <v>5</v>
      </c>
      <c r="AN380" t="n">
        <v>0</v>
      </c>
      <c r="AO380" t="n">
        <v>1</v>
      </c>
      <c r="AP380" t="n">
        <v>0</v>
      </c>
      <c r="AQ380" t="n">
        <v>0</v>
      </c>
      <c r="AR380" t="inlineStr">
        <is>
          <t>No</t>
        </is>
      </c>
      <c r="AS380" t="inlineStr">
        <is>
          <t>No</t>
        </is>
      </c>
      <c r="AU380">
        <f>HYPERLINK("https://creighton-primo.hosted.exlibrisgroup.com/primo-explore/search?tab=default_tab&amp;search_scope=EVERYTHING&amp;vid=01CRU&amp;lang=en_US&amp;offset=0&amp;query=any,contains,991001041079702656","Catalog Record")</f>
        <v/>
      </c>
      <c r="AV380">
        <f>HYPERLINK("http://www.worldcat.org/oclc/7206432","WorldCat Record")</f>
        <v/>
      </c>
      <c r="AW380" t="inlineStr">
        <is>
          <t>465064:eng</t>
        </is>
      </c>
      <c r="AX380" t="inlineStr">
        <is>
          <t>7206432</t>
        </is>
      </c>
      <c r="AY380" t="inlineStr">
        <is>
          <t>991001041079702656</t>
        </is>
      </c>
      <c r="AZ380" t="inlineStr">
        <is>
          <t>991001041079702656</t>
        </is>
      </c>
      <c r="BA380" t="inlineStr">
        <is>
          <t>2266040860002656</t>
        </is>
      </c>
      <c r="BB380" t="inlineStr">
        <is>
          <t>BOOK</t>
        </is>
      </c>
      <c r="BD380" t="inlineStr">
        <is>
          <t>9780807726426</t>
        </is>
      </c>
      <c r="BE380" t="inlineStr">
        <is>
          <t>30001000242398</t>
        </is>
      </c>
      <c r="BF380" t="inlineStr">
        <is>
          <t>893736168</t>
        </is>
      </c>
    </row>
    <row r="381">
      <c r="A381" t="inlineStr">
        <is>
          <t>No</t>
        </is>
      </c>
      <c r="B381" t="inlineStr">
        <is>
          <t>CUHSL</t>
        </is>
      </c>
      <c r="C381" t="inlineStr">
        <is>
          <t>SHELVES</t>
        </is>
      </c>
      <c r="D381" t="inlineStr">
        <is>
          <t>WY 18 S452 1967</t>
        </is>
      </c>
      <c r="E381" t="inlineStr">
        <is>
          <t>0                      WY 0018000S  452         1967</t>
        </is>
      </c>
      <c r="F381" t="inlineStr">
        <is>
          <t>Seeking plus factors in nursing : report of two meetings sponsored by the NLN interdivisional councils and Nursing Advisory Service of NLN-National Tuberculosis Association at the National League for Nursing convention, May, 1967.</t>
        </is>
      </c>
      <c r="H381" t="inlineStr">
        <is>
          <t>No</t>
        </is>
      </c>
      <c r="I381" t="inlineStr">
        <is>
          <t>1</t>
        </is>
      </c>
      <c r="J381" t="inlineStr">
        <is>
          <t>No</t>
        </is>
      </c>
      <c r="K381" t="inlineStr">
        <is>
          <t>No</t>
        </is>
      </c>
      <c r="L381" t="inlineStr">
        <is>
          <t>0</t>
        </is>
      </c>
      <c r="N381" t="inlineStr">
        <is>
          <t>New York : National League for Nursing, c1967.</t>
        </is>
      </c>
      <c r="O381" t="inlineStr">
        <is>
          <t>1967</t>
        </is>
      </c>
      <c r="Q381" t="inlineStr">
        <is>
          <t>eng</t>
        </is>
      </c>
      <c r="R381" t="inlineStr">
        <is>
          <t xml:space="preserve">xx </t>
        </is>
      </c>
      <c r="S381" t="inlineStr">
        <is>
          <t>NLN convention papers ; no. 1</t>
        </is>
      </c>
      <c r="T381" t="inlineStr">
        <is>
          <t xml:space="preserve">WY </t>
        </is>
      </c>
      <c r="U381" t="n">
        <v>2</v>
      </c>
      <c r="V381" t="n">
        <v>2</v>
      </c>
      <c r="W381" t="inlineStr">
        <is>
          <t>1990-04-30</t>
        </is>
      </c>
      <c r="X381" t="inlineStr">
        <is>
          <t>1990-04-30</t>
        </is>
      </c>
      <c r="Y381" t="inlineStr">
        <is>
          <t>1987-10-13</t>
        </is>
      </c>
      <c r="Z381" t="inlineStr">
        <is>
          <t>1987-10-13</t>
        </is>
      </c>
      <c r="AA381" t="n">
        <v>13</v>
      </c>
      <c r="AB381" t="n">
        <v>12</v>
      </c>
      <c r="AC381" t="n">
        <v>12</v>
      </c>
      <c r="AD381" t="n">
        <v>1</v>
      </c>
      <c r="AE381" t="n">
        <v>1</v>
      </c>
      <c r="AF381" t="n">
        <v>0</v>
      </c>
      <c r="AG381" t="n">
        <v>0</v>
      </c>
      <c r="AH381" t="n">
        <v>0</v>
      </c>
      <c r="AI381" t="n">
        <v>0</v>
      </c>
      <c r="AJ381" t="n">
        <v>0</v>
      </c>
      <c r="AK381" t="n">
        <v>0</v>
      </c>
      <c r="AL381" t="n">
        <v>0</v>
      </c>
      <c r="AM381" t="n">
        <v>0</v>
      </c>
      <c r="AN381" t="n">
        <v>0</v>
      </c>
      <c r="AO381" t="n">
        <v>0</v>
      </c>
      <c r="AP381" t="n">
        <v>0</v>
      </c>
      <c r="AQ381" t="n">
        <v>0</v>
      </c>
      <c r="AR381" t="inlineStr">
        <is>
          <t>No</t>
        </is>
      </c>
      <c r="AS381" t="inlineStr">
        <is>
          <t>No</t>
        </is>
      </c>
      <c r="AU381">
        <f>HYPERLINK("https://creighton-primo.hosted.exlibrisgroup.com/primo-explore/search?tab=default_tab&amp;search_scope=EVERYTHING&amp;vid=01CRU&amp;lang=en_US&amp;offset=0&amp;query=any,contains,991001360979702656","Catalog Record")</f>
        <v/>
      </c>
      <c r="AV381">
        <f>HYPERLINK("http://www.worldcat.org/oclc/14475399","WorldCat Record")</f>
        <v/>
      </c>
      <c r="AW381" t="inlineStr">
        <is>
          <t>8700564:eng</t>
        </is>
      </c>
      <c r="AX381" t="inlineStr">
        <is>
          <t>14475399</t>
        </is>
      </c>
      <c r="AY381" t="inlineStr">
        <is>
          <t>991001360979702656</t>
        </is>
      </c>
      <c r="AZ381" t="inlineStr">
        <is>
          <t>991001360979702656</t>
        </is>
      </c>
      <c r="BA381" t="inlineStr">
        <is>
          <t>2268383050002656</t>
        </is>
      </c>
      <c r="BB381" t="inlineStr">
        <is>
          <t>BOOK</t>
        </is>
      </c>
      <c r="BE381" t="inlineStr">
        <is>
          <t>30001000460669</t>
        </is>
      </c>
      <c r="BF381" t="inlineStr">
        <is>
          <t>893560990</t>
        </is>
      </c>
    </row>
    <row r="382">
      <c r="A382" t="inlineStr">
        <is>
          <t>No</t>
        </is>
      </c>
      <c r="B382" t="inlineStr">
        <is>
          <t>CUHSL</t>
        </is>
      </c>
      <c r="C382" t="inlineStr">
        <is>
          <t>SHELVES</t>
        </is>
      </c>
      <c r="D382" t="inlineStr">
        <is>
          <t>WY 18 S555 1966</t>
        </is>
      </c>
      <c r="E382" t="inlineStr">
        <is>
          <t>0                      WY 0018000S  555         1966</t>
        </is>
      </c>
      <c r="F382" t="inlineStr">
        <is>
          <t>The Shifting scene, building for strength : papers presented at the Twenty-first Conference of the Council of Member Agencies of the Department of Baccalaureate and Higher Degree Programs, held at Milwaukee, Wisconsin, March 23-25, 1966.</t>
        </is>
      </c>
      <c r="H382" t="inlineStr">
        <is>
          <t>No</t>
        </is>
      </c>
      <c r="I382" t="inlineStr">
        <is>
          <t>1</t>
        </is>
      </c>
      <c r="J382" t="inlineStr">
        <is>
          <t>No</t>
        </is>
      </c>
      <c r="K382" t="inlineStr">
        <is>
          <t>No</t>
        </is>
      </c>
      <c r="L382" t="inlineStr">
        <is>
          <t>0</t>
        </is>
      </c>
      <c r="N382" t="inlineStr">
        <is>
          <t>New York, N.Y. : National League for Nursing, 1967.</t>
        </is>
      </c>
      <c r="O382" t="inlineStr">
        <is>
          <t>1967</t>
        </is>
      </c>
      <c r="Q382" t="inlineStr">
        <is>
          <t>eng</t>
        </is>
      </c>
      <c r="R382" t="inlineStr">
        <is>
          <t>nyu</t>
        </is>
      </c>
      <c r="S382" t="inlineStr">
        <is>
          <t>NLN pub. no. 15-1252</t>
        </is>
      </c>
      <c r="T382" t="inlineStr">
        <is>
          <t xml:space="preserve">WY </t>
        </is>
      </c>
      <c r="U382" t="n">
        <v>2</v>
      </c>
      <c r="V382" t="n">
        <v>2</v>
      </c>
      <c r="W382" t="inlineStr">
        <is>
          <t>1990-04-30</t>
        </is>
      </c>
      <c r="X382" t="inlineStr">
        <is>
          <t>1990-04-30</t>
        </is>
      </c>
      <c r="Y382" t="inlineStr">
        <is>
          <t>1987-10-20</t>
        </is>
      </c>
      <c r="Z382" t="inlineStr">
        <is>
          <t>1987-10-20</t>
        </is>
      </c>
      <c r="AA382" t="n">
        <v>33</v>
      </c>
      <c r="AB382" t="n">
        <v>29</v>
      </c>
      <c r="AC382" t="n">
        <v>32</v>
      </c>
      <c r="AD382" t="n">
        <v>1</v>
      </c>
      <c r="AE382" t="n">
        <v>1</v>
      </c>
      <c r="AF382" t="n">
        <v>0</v>
      </c>
      <c r="AG382" t="n">
        <v>0</v>
      </c>
      <c r="AH382" t="n">
        <v>0</v>
      </c>
      <c r="AI382" t="n">
        <v>0</v>
      </c>
      <c r="AJ382" t="n">
        <v>0</v>
      </c>
      <c r="AK382" t="n">
        <v>0</v>
      </c>
      <c r="AL382" t="n">
        <v>0</v>
      </c>
      <c r="AM382" t="n">
        <v>0</v>
      </c>
      <c r="AN382" t="n">
        <v>0</v>
      </c>
      <c r="AO382" t="n">
        <v>0</v>
      </c>
      <c r="AP382" t="n">
        <v>0</v>
      </c>
      <c r="AQ382" t="n">
        <v>0</v>
      </c>
      <c r="AR382" t="inlineStr">
        <is>
          <t>No</t>
        </is>
      </c>
      <c r="AS382" t="inlineStr">
        <is>
          <t>Yes</t>
        </is>
      </c>
      <c r="AT382">
        <f>HYPERLINK("http://catalog.hathitrust.org/Record/001579467","HathiTrust Record")</f>
        <v/>
      </c>
      <c r="AU382">
        <f>HYPERLINK("https://creighton-primo.hosted.exlibrisgroup.com/primo-explore/search?tab=default_tab&amp;search_scope=EVERYTHING&amp;vid=01CRU&amp;lang=en_US&amp;offset=0&amp;query=any,contains,991001366849702656","Catalog Record")</f>
        <v/>
      </c>
      <c r="AV382">
        <f>HYPERLINK("http://www.worldcat.org/oclc/212866","WorldCat Record")</f>
        <v/>
      </c>
      <c r="AW382" t="inlineStr">
        <is>
          <t>1292698:eng</t>
        </is>
      </c>
      <c r="AX382" t="inlineStr">
        <is>
          <t>212866</t>
        </is>
      </c>
      <c r="AY382" t="inlineStr">
        <is>
          <t>991001366849702656</t>
        </is>
      </c>
      <c r="AZ382" t="inlineStr">
        <is>
          <t>991001366849702656</t>
        </is>
      </c>
      <c r="BA382" t="inlineStr">
        <is>
          <t>2262630350002656</t>
        </is>
      </c>
      <c r="BB382" t="inlineStr">
        <is>
          <t>BOOK</t>
        </is>
      </c>
      <c r="BE382" t="inlineStr">
        <is>
          <t>30001000461246</t>
        </is>
      </c>
      <c r="BF382" t="inlineStr">
        <is>
          <t>893134493</t>
        </is>
      </c>
    </row>
    <row r="383">
      <c r="A383" t="inlineStr">
        <is>
          <t>No</t>
        </is>
      </c>
      <c r="B383" t="inlineStr">
        <is>
          <t>CUHSL</t>
        </is>
      </c>
      <c r="C383" t="inlineStr">
        <is>
          <t>SHELVES</t>
        </is>
      </c>
      <c r="D383" t="inlineStr">
        <is>
          <t>WY 18 S771e 1988</t>
        </is>
      </c>
      <c r="E383" t="inlineStr">
        <is>
          <t>0                      WY 0018000S  771e        1988</t>
        </is>
      </c>
      <c r="F383" t="inlineStr">
        <is>
          <t>Essentials of perioperative nursing : a self-learning guide / Cynthia Spry ; contributors, Carolyn F. Bartlett, Nova Jean Grande, Carolyn Volpicello.</t>
        </is>
      </c>
      <c r="H383" t="inlineStr">
        <is>
          <t>No</t>
        </is>
      </c>
      <c r="I383" t="inlineStr">
        <is>
          <t>1</t>
        </is>
      </c>
      <c r="J383" t="inlineStr">
        <is>
          <t>No</t>
        </is>
      </c>
      <c r="K383" t="inlineStr">
        <is>
          <t>Yes</t>
        </is>
      </c>
      <c r="L383" t="inlineStr">
        <is>
          <t>0</t>
        </is>
      </c>
      <c r="M383" t="inlineStr">
        <is>
          <t>Spry, Cynthia.</t>
        </is>
      </c>
      <c r="N383" t="inlineStr">
        <is>
          <t>Rockville, Md. : Aspen Publishers, c1988.</t>
        </is>
      </c>
      <c r="O383" t="inlineStr">
        <is>
          <t>1988</t>
        </is>
      </c>
      <c r="Q383" t="inlineStr">
        <is>
          <t>eng</t>
        </is>
      </c>
      <c r="R383" t="inlineStr">
        <is>
          <t>xxu</t>
        </is>
      </c>
      <c r="T383" t="inlineStr">
        <is>
          <t xml:space="preserve">WY </t>
        </is>
      </c>
      <c r="U383" t="n">
        <v>6</v>
      </c>
      <c r="V383" t="n">
        <v>6</v>
      </c>
      <c r="W383" t="inlineStr">
        <is>
          <t>1992-08-13</t>
        </is>
      </c>
      <c r="X383" t="inlineStr">
        <is>
          <t>1992-08-13</t>
        </is>
      </c>
      <c r="Y383" t="inlineStr">
        <is>
          <t>1988-04-28</t>
        </is>
      </c>
      <c r="Z383" t="inlineStr">
        <is>
          <t>1988-04-28</t>
        </is>
      </c>
      <c r="AA383" t="n">
        <v>71</v>
      </c>
      <c r="AB383" t="n">
        <v>67</v>
      </c>
      <c r="AC383" t="n">
        <v>458</v>
      </c>
      <c r="AD383" t="n">
        <v>1</v>
      </c>
      <c r="AE383" t="n">
        <v>3</v>
      </c>
      <c r="AF383" t="n">
        <v>4</v>
      </c>
      <c r="AG383" t="n">
        <v>15</v>
      </c>
      <c r="AH383" t="n">
        <v>1</v>
      </c>
      <c r="AI383" t="n">
        <v>5</v>
      </c>
      <c r="AJ383" t="n">
        <v>1</v>
      </c>
      <c r="AK383" t="n">
        <v>4</v>
      </c>
      <c r="AL383" t="n">
        <v>4</v>
      </c>
      <c r="AM383" t="n">
        <v>7</v>
      </c>
      <c r="AN383" t="n">
        <v>0</v>
      </c>
      <c r="AO383" t="n">
        <v>2</v>
      </c>
      <c r="AP383" t="n">
        <v>0</v>
      </c>
      <c r="AQ383" t="n">
        <v>0</v>
      </c>
      <c r="AR383" t="inlineStr">
        <is>
          <t>No</t>
        </is>
      </c>
      <c r="AS383" t="inlineStr">
        <is>
          <t>Yes</t>
        </is>
      </c>
      <c r="AT383">
        <f>HYPERLINK("http://catalog.hathitrust.org/Record/002453052","HathiTrust Record")</f>
        <v/>
      </c>
      <c r="AU383">
        <f>HYPERLINK("https://creighton-primo.hosted.exlibrisgroup.com/primo-explore/search?tab=default_tab&amp;search_scope=EVERYTHING&amp;vid=01CRU&amp;lang=en_US&amp;offset=0&amp;query=any,contains,991001187639702656","Catalog Record")</f>
        <v/>
      </c>
      <c r="AV383">
        <f>HYPERLINK("http://www.worldcat.org/oclc/16464959","WorldCat Record")</f>
        <v/>
      </c>
      <c r="AW383" t="inlineStr">
        <is>
          <t>758418:eng</t>
        </is>
      </c>
      <c r="AX383" t="inlineStr">
        <is>
          <t>16464959</t>
        </is>
      </c>
      <c r="AY383" t="inlineStr">
        <is>
          <t>991001187639702656</t>
        </is>
      </c>
      <c r="AZ383" t="inlineStr">
        <is>
          <t>991001187639702656</t>
        </is>
      </c>
      <c r="BA383" t="inlineStr">
        <is>
          <t>2269256030002656</t>
        </is>
      </c>
      <c r="BB383" t="inlineStr">
        <is>
          <t>BOOK</t>
        </is>
      </c>
      <c r="BD383" t="inlineStr">
        <is>
          <t>9780871898791</t>
        </is>
      </c>
      <c r="BE383" t="inlineStr">
        <is>
          <t>30001000978488</t>
        </is>
      </c>
      <c r="BF383" t="inlineStr">
        <is>
          <t>893740854</t>
        </is>
      </c>
    </row>
    <row r="384">
      <c r="A384" t="inlineStr">
        <is>
          <t>No</t>
        </is>
      </c>
      <c r="B384" t="inlineStr">
        <is>
          <t>CUHSL</t>
        </is>
      </c>
      <c r="C384" t="inlineStr">
        <is>
          <t>SHELVES</t>
        </is>
      </c>
      <c r="D384" t="inlineStr">
        <is>
          <t>WY 18 S814e 1978</t>
        </is>
      </c>
      <c r="E384" t="inlineStr">
        <is>
          <t>0                      WY 0018000S  814e        1978</t>
        </is>
      </c>
      <c r="F384" t="inlineStr">
        <is>
          <t>Educational evaluation in nursing / Shirley Steele ; with contributions by David K. Akanbi, Helen Ptak.</t>
        </is>
      </c>
      <c r="H384" t="inlineStr">
        <is>
          <t>No</t>
        </is>
      </c>
      <c r="I384" t="inlineStr">
        <is>
          <t>1</t>
        </is>
      </c>
      <c r="J384" t="inlineStr">
        <is>
          <t>No</t>
        </is>
      </c>
      <c r="K384" t="inlineStr">
        <is>
          <t>No</t>
        </is>
      </c>
      <c r="L384" t="inlineStr">
        <is>
          <t>0</t>
        </is>
      </c>
      <c r="M384" t="inlineStr">
        <is>
          <t>Steele, Shirley.</t>
        </is>
      </c>
      <c r="N384" t="inlineStr">
        <is>
          <t>[Thorofare, N.J.] : C.B. Slack, c1978.</t>
        </is>
      </c>
      <c r="O384" t="inlineStr">
        <is>
          <t>1978</t>
        </is>
      </c>
      <c r="Q384" t="inlineStr">
        <is>
          <t>eng</t>
        </is>
      </c>
      <c r="R384" t="inlineStr">
        <is>
          <t>xxu</t>
        </is>
      </c>
      <c r="T384" t="inlineStr">
        <is>
          <t xml:space="preserve">WY </t>
        </is>
      </c>
      <c r="U384" t="n">
        <v>4</v>
      </c>
      <c r="V384" t="n">
        <v>4</v>
      </c>
      <c r="W384" t="inlineStr">
        <is>
          <t>1993-01-29</t>
        </is>
      </c>
      <c r="X384" t="inlineStr">
        <is>
          <t>1993-01-29</t>
        </is>
      </c>
      <c r="Y384" t="inlineStr">
        <is>
          <t>1987-12-28</t>
        </is>
      </c>
      <c r="Z384" t="inlineStr">
        <is>
          <t>1987-12-28</t>
        </is>
      </c>
      <c r="AA384" t="n">
        <v>212</v>
      </c>
      <c r="AB384" t="n">
        <v>168</v>
      </c>
      <c r="AC384" t="n">
        <v>170</v>
      </c>
      <c r="AD384" t="n">
        <v>4</v>
      </c>
      <c r="AE384" t="n">
        <v>4</v>
      </c>
      <c r="AF384" t="n">
        <v>11</v>
      </c>
      <c r="AG384" t="n">
        <v>11</v>
      </c>
      <c r="AH384" t="n">
        <v>3</v>
      </c>
      <c r="AI384" t="n">
        <v>3</v>
      </c>
      <c r="AJ384" t="n">
        <v>2</v>
      </c>
      <c r="AK384" t="n">
        <v>2</v>
      </c>
      <c r="AL384" t="n">
        <v>6</v>
      </c>
      <c r="AM384" t="n">
        <v>6</v>
      </c>
      <c r="AN384" t="n">
        <v>2</v>
      </c>
      <c r="AO384" t="n">
        <v>2</v>
      </c>
      <c r="AP384" t="n">
        <v>0</v>
      </c>
      <c r="AQ384" t="n">
        <v>0</v>
      </c>
      <c r="AR384" t="inlineStr">
        <is>
          <t>No</t>
        </is>
      </c>
      <c r="AS384" t="inlineStr">
        <is>
          <t>Yes</t>
        </is>
      </c>
      <c r="AT384">
        <f>HYPERLINK("http://catalog.hathitrust.org/Record/000217617","HathiTrust Record")</f>
        <v/>
      </c>
      <c r="AU384">
        <f>HYPERLINK("https://creighton-primo.hosted.exlibrisgroup.com/primo-explore/search?tab=default_tab&amp;search_scope=EVERYTHING&amp;vid=01CRU&amp;lang=en_US&amp;offset=0&amp;query=any,contains,991000923139702656","Catalog Record")</f>
        <v/>
      </c>
      <c r="AV384">
        <f>HYPERLINK("http://www.worldcat.org/oclc/4269531","WorldCat Record")</f>
        <v/>
      </c>
      <c r="AW384" t="inlineStr">
        <is>
          <t>14537538:eng</t>
        </is>
      </c>
      <c r="AX384" t="inlineStr">
        <is>
          <t>4269531</t>
        </is>
      </c>
      <c r="AY384" t="inlineStr">
        <is>
          <t>991000923139702656</t>
        </is>
      </c>
      <c r="AZ384" t="inlineStr">
        <is>
          <t>991000923139702656</t>
        </is>
      </c>
      <c r="BA384" t="inlineStr">
        <is>
          <t>2271851380002656</t>
        </is>
      </c>
      <c r="BB384" t="inlineStr">
        <is>
          <t>BOOK</t>
        </is>
      </c>
      <c r="BD384" t="inlineStr">
        <is>
          <t>9780913590546</t>
        </is>
      </c>
      <c r="BE384" t="inlineStr">
        <is>
          <t>30001000850208</t>
        </is>
      </c>
      <c r="BF384" t="inlineStr">
        <is>
          <t>893826232</t>
        </is>
      </c>
    </row>
    <row r="385">
      <c r="A385" t="inlineStr">
        <is>
          <t>No</t>
        </is>
      </c>
      <c r="B385" t="inlineStr">
        <is>
          <t>CUHSL</t>
        </is>
      </c>
      <c r="C385" t="inlineStr">
        <is>
          <t>SHELVES</t>
        </is>
      </c>
      <c r="D385" t="inlineStr">
        <is>
          <t>WY 18 S898 1997</t>
        </is>
      </c>
      <c r="E385" t="inlineStr">
        <is>
          <t>0                      WY 0018000S  898         1997</t>
        </is>
      </c>
      <c r="F385" t="inlineStr">
        <is>
          <t>Strategies for recruitment, retention and graduation of minority nurses in colleges of nursing / Hattie Bessent, editor ; American Nurses Foundation.</t>
        </is>
      </c>
      <c r="H385" t="inlineStr">
        <is>
          <t>No</t>
        </is>
      </c>
      <c r="I385" t="inlineStr">
        <is>
          <t>1</t>
        </is>
      </c>
      <c r="J385" t="inlineStr">
        <is>
          <t>No</t>
        </is>
      </c>
      <c r="K385" t="inlineStr">
        <is>
          <t>No</t>
        </is>
      </c>
      <c r="L385" t="inlineStr">
        <is>
          <t>0</t>
        </is>
      </c>
      <c r="N385" t="inlineStr">
        <is>
          <t>Washington, D.C. : American Nurses Publishing, c1997.</t>
        </is>
      </c>
      <c r="O385" t="inlineStr">
        <is>
          <t>1997</t>
        </is>
      </c>
      <c r="Q385" t="inlineStr">
        <is>
          <t>eng</t>
        </is>
      </c>
      <c r="R385" t="inlineStr">
        <is>
          <t>dcu</t>
        </is>
      </c>
      <c r="S385" t="inlineStr">
        <is>
          <t>ANA pub.no. D-100 1M</t>
        </is>
      </c>
      <c r="T385" t="inlineStr">
        <is>
          <t xml:space="preserve">WY </t>
        </is>
      </c>
      <c r="U385" t="n">
        <v>2</v>
      </c>
      <c r="V385" t="n">
        <v>2</v>
      </c>
      <c r="W385" t="inlineStr">
        <is>
          <t>1997-12-01</t>
        </is>
      </c>
      <c r="X385" t="inlineStr">
        <is>
          <t>1997-12-01</t>
        </is>
      </c>
      <c r="Y385" t="inlineStr">
        <is>
          <t>1997-12-01</t>
        </is>
      </c>
      <c r="Z385" t="inlineStr">
        <is>
          <t>1997-12-01</t>
        </is>
      </c>
      <c r="AA385" t="n">
        <v>141</v>
      </c>
      <c r="AB385" t="n">
        <v>138</v>
      </c>
      <c r="AC385" t="n">
        <v>140</v>
      </c>
      <c r="AD385" t="n">
        <v>2</v>
      </c>
      <c r="AE385" t="n">
        <v>2</v>
      </c>
      <c r="AF385" t="n">
        <v>9</v>
      </c>
      <c r="AG385" t="n">
        <v>9</v>
      </c>
      <c r="AH385" t="n">
        <v>3</v>
      </c>
      <c r="AI385" t="n">
        <v>3</v>
      </c>
      <c r="AJ385" t="n">
        <v>2</v>
      </c>
      <c r="AK385" t="n">
        <v>2</v>
      </c>
      <c r="AL385" t="n">
        <v>4</v>
      </c>
      <c r="AM385" t="n">
        <v>4</v>
      </c>
      <c r="AN385" t="n">
        <v>0</v>
      </c>
      <c r="AO385" t="n">
        <v>0</v>
      </c>
      <c r="AP385" t="n">
        <v>0</v>
      </c>
      <c r="AQ385" t="n">
        <v>0</v>
      </c>
      <c r="AR385" t="inlineStr">
        <is>
          <t>No</t>
        </is>
      </c>
      <c r="AS385" t="inlineStr">
        <is>
          <t>Yes</t>
        </is>
      </c>
      <c r="AT385">
        <f>HYPERLINK("http://catalog.hathitrust.org/Record/003245104","HathiTrust Record")</f>
        <v/>
      </c>
      <c r="AU385">
        <f>HYPERLINK("https://creighton-primo.hosted.exlibrisgroup.com/primo-explore/search?tab=default_tab&amp;search_scope=EVERYTHING&amp;vid=01CRU&amp;lang=en_US&amp;offset=0&amp;query=any,contains,991001562279702656","Catalog Record")</f>
        <v/>
      </c>
      <c r="AV385">
        <f>HYPERLINK("http://www.worldcat.org/oclc/38005355","WorldCat Record")</f>
        <v/>
      </c>
      <c r="AW385" t="inlineStr">
        <is>
          <t>998734:eng</t>
        </is>
      </c>
      <c r="AX385" t="inlineStr">
        <is>
          <t>38005355</t>
        </is>
      </c>
      <c r="AY385" t="inlineStr">
        <is>
          <t>991001562279702656</t>
        </is>
      </c>
      <c r="AZ385" t="inlineStr">
        <is>
          <t>991001562279702656</t>
        </is>
      </c>
      <c r="BA385" t="inlineStr">
        <is>
          <t>2264546090002656</t>
        </is>
      </c>
      <c r="BB385" t="inlineStr">
        <is>
          <t>BOOK</t>
        </is>
      </c>
      <c r="BD385" t="inlineStr">
        <is>
          <t>9781558101371</t>
        </is>
      </c>
      <c r="BE385" t="inlineStr">
        <is>
          <t>30001003604867</t>
        </is>
      </c>
      <c r="BF385" t="inlineStr">
        <is>
          <t>893736713</t>
        </is>
      </c>
    </row>
    <row r="386">
      <c r="A386" t="inlineStr">
        <is>
          <t>No</t>
        </is>
      </c>
      <c r="B386" t="inlineStr">
        <is>
          <t>CUHSL</t>
        </is>
      </c>
      <c r="C386" t="inlineStr">
        <is>
          <t>SHELVES</t>
        </is>
      </c>
      <c r="D386" t="inlineStr">
        <is>
          <t>WY 18 S995 1984</t>
        </is>
      </c>
      <c r="E386" t="inlineStr">
        <is>
          <t>0                      WY 0018000S  995         1984</t>
        </is>
      </c>
      <c r="F386" t="inlineStr">
        <is>
          <t>Systematic evaluation of programs in nursing.</t>
        </is>
      </c>
      <c r="H386" t="inlineStr">
        <is>
          <t>No</t>
        </is>
      </c>
      <c r="I386" t="inlineStr">
        <is>
          <t>1</t>
        </is>
      </c>
      <c r="J386" t="inlineStr">
        <is>
          <t>No</t>
        </is>
      </c>
      <c r="K386" t="inlineStr">
        <is>
          <t>No</t>
        </is>
      </c>
      <c r="L386" t="inlineStr">
        <is>
          <t>0</t>
        </is>
      </c>
      <c r="N386" t="inlineStr">
        <is>
          <t>New York : National League for Nursing, c1985.</t>
        </is>
      </c>
      <c r="O386" t="inlineStr">
        <is>
          <t>1985</t>
        </is>
      </c>
      <c r="Q386" t="inlineStr">
        <is>
          <t>eng</t>
        </is>
      </c>
      <c r="R386" t="inlineStr">
        <is>
          <t>nyu</t>
        </is>
      </c>
      <c r="S386" t="inlineStr">
        <is>
          <t>NLN pub. no. 16-1972</t>
        </is>
      </c>
      <c r="T386" t="inlineStr">
        <is>
          <t xml:space="preserve">WY </t>
        </is>
      </c>
      <c r="U386" t="n">
        <v>3</v>
      </c>
      <c r="V386" t="n">
        <v>3</v>
      </c>
      <c r="W386" t="inlineStr">
        <is>
          <t>1992-08-25</t>
        </is>
      </c>
      <c r="X386" t="inlineStr">
        <is>
          <t>1992-08-25</t>
        </is>
      </c>
      <c r="Y386" t="inlineStr">
        <is>
          <t>1987-11-04</t>
        </is>
      </c>
      <c r="Z386" t="inlineStr">
        <is>
          <t>1987-11-04</t>
        </is>
      </c>
      <c r="AA386" t="n">
        <v>116</v>
      </c>
      <c r="AB386" t="n">
        <v>101</v>
      </c>
      <c r="AC386" t="n">
        <v>103</v>
      </c>
      <c r="AD386" t="n">
        <v>1</v>
      </c>
      <c r="AE386" t="n">
        <v>1</v>
      </c>
      <c r="AF386" t="n">
        <v>6</v>
      </c>
      <c r="AG386" t="n">
        <v>6</v>
      </c>
      <c r="AH386" t="n">
        <v>1</v>
      </c>
      <c r="AI386" t="n">
        <v>1</v>
      </c>
      <c r="AJ386" t="n">
        <v>2</v>
      </c>
      <c r="AK386" t="n">
        <v>2</v>
      </c>
      <c r="AL386" t="n">
        <v>4</v>
      </c>
      <c r="AM386" t="n">
        <v>4</v>
      </c>
      <c r="AN386" t="n">
        <v>0</v>
      </c>
      <c r="AO386" t="n">
        <v>0</v>
      </c>
      <c r="AP386" t="n">
        <v>0</v>
      </c>
      <c r="AQ386" t="n">
        <v>0</v>
      </c>
      <c r="AR386" t="inlineStr">
        <is>
          <t>No</t>
        </is>
      </c>
      <c r="AS386" t="inlineStr">
        <is>
          <t>Yes</t>
        </is>
      </c>
      <c r="AT386">
        <f>HYPERLINK("http://catalog.hathitrust.org/Record/002508242","HathiTrust Record")</f>
        <v/>
      </c>
      <c r="AU386">
        <f>HYPERLINK("https://creighton-primo.hosted.exlibrisgroup.com/primo-explore/search?tab=default_tab&amp;search_scope=EVERYTHING&amp;vid=01CRU&amp;lang=en_US&amp;offset=0&amp;query=any,contains,991001383009702656","Catalog Record")</f>
        <v/>
      </c>
      <c r="AV386">
        <f>HYPERLINK("http://www.worldcat.org/oclc/12548666","WorldCat Record")</f>
        <v/>
      </c>
      <c r="AW386" t="inlineStr">
        <is>
          <t>5258908:eng</t>
        </is>
      </c>
      <c r="AX386" t="inlineStr">
        <is>
          <t>12548666</t>
        </is>
      </c>
      <c r="AY386" t="inlineStr">
        <is>
          <t>991001383009702656</t>
        </is>
      </c>
      <c r="AZ386" t="inlineStr">
        <is>
          <t>991001383009702656</t>
        </is>
      </c>
      <c r="BA386" t="inlineStr">
        <is>
          <t>2260775560002656</t>
        </is>
      </c>
      <c r="BB386" t="inlineStr">
        <is>
          <t>BOOK</t>
        </is>
      </c>
      <c r="BD386" t="inlineStr">
        <is>
          <t>9780887371370</t>
        </is>
      </c>
      <c r="BE386" t="inlineStr">
        <is>
          <t>30001000463143</t>
        </is>
      </c>
      <c r="BF386" t="inlineStr">
        <is>
          <t>893743761</t>
        </is>
      </c>
    </row>
    <row r="387">
      <c r="A387" t="inlineStr">
        <is>
          <t>No</t>
        </is>
      </c>
      <c r="B387" t="inlineStr">
        <is>
          <t>CUHSL</t>
        </is>
      </c>
      <c r="C387" t="inlineStr">
        <is>
          <t>SHELVES</t>
        </is>
      </c>
      <c r="D387" t="inlineStr">
        <is>
          <t>WY 18 T242 1975</t>
        </is>
      </c>
      <c r="E387" t="inlineStr">
        <is>
          <t>0                      WY 0018000T  242         1975</t>
        </is>
      </c>
      <c r="F387" t="inlineStr">
        <is>
          <t>Teaching-learning strategies in baccalaureate nursing education.</t>
        </is>
      </c>
      <c r="H387" t="inlineStr">
        <is>
          <t>No</t>
        </is>
      </c>
      <c r="I387" t="inlineStr">
        <is>
          <t>1</t>
        </is>
      </c>
      <c r="J387" t="inlineStr">
        <is>
          <t>No</t>
        </is>
      </c>
      <c r="K387" t="inlineStr">
        <is>
          <t>No</t>
        </is>
      </c>
      <c r="L387" t="inlineStr">
        <is>
          <t>0</t>
        </is>
      </c>
      <c r="N387" t="inlineStr">
        <is>
          <t>New York : National League for Nursing, c1976.</t>
        </is>
      </c>
      <c r="O387" t="inlineStr">
        <is>
          <t>1976</t>
        </is>
      </c>
      <c r="Q387" t="inlineStr">
        <is>
          <t>eng</t>
        </is>
      </c>
      <c r="R387" t="inlineStr">
        <is>
          <t>nyu</t>
        </is>
      </c>
      <c r="S387" t="inlineStr">
        <is>
          <t>NLN pub. no. 15-1622</t>
        </is>
      </c>
      <c r="T387" t="inlineStr">
        <is>
          <t xml:space="preserve">WY </t>
        </is>
      </c>
      <c r="U387" t="n">
        <v>3</v>
      </c>
      <c r="V387" t="n">
        <v>3</v>
      </c>
      <c r="W387" t="inlineStr">
        <is>
          <t>1993-01-28</t>
        </is>
      </c>
      <c r="X387" t="inlineStr">
        <is>
          <t>1993-01-28</t>
        </is>
      </c>
      <c r="Y387" t="inlineStr">
        <is>
          <t>1987-10-21</t>
        </is>
      </c>
      <c r="Z387" t="inlineStr">
        <is>
          <t>1987-10-21</t>
        </is>
      </c>
      <c r="AA387" t="n">
        <v>100</v>
      </c>
      <c r="AB387" t="n">
        <v>85</v>
      </c>
      <c r="AC387" t="n">
        <v>87</v>
      </c>
      <c r="AD387" t="n">
        <v>2</v>
      </c>
      <c r="AE387" t="n">
        <v>2</v>
      </c>
      <c r="AF387" t="n">
        <v>3</v>
      </c>
      <c r="AG387" t="n">
        <v>3</v>
      </c>
      <c r="AH387" t="n">
        <v>1</v>
      </c>
      <c r="AI387" t="n">
        <v>1</v>
      </c>
      <c r="AJ387" t="n">
        <v>0</v>
      </c>
      <c r="AK387" t="n">
        <v>0</v>
      </c>
      <c r="AL387" t="n">
        <v>1</v>
      </c>
      <c r="AM387" t="n">
        <v>1</v>
      </c>
      <c r="AN387" t="n">
        <v>1</v>
      </c>
      <c r="AO387" t="n">
        <v>1</v>
      </c>
      <c r="AP387" t="n">
        <v>0</v>
      </c>
      <c r="AQ387" t="n">
        <v>0</v>
      </c>
      <c r="AR387" t="inlineStr">
        <is>
          <t>No</t>
        </is>
      </c>
      <c r="AS387" t="inlineStr">
        <is>
          <t>Yes</t>
        </is>
      </c>
      <c r="AT387">
        <f>HYPERLINK("http://catalog.hathitrust.org/Record/000721399","HathiTrust Record")</f>
        <v/>
      </c>
      <c r="AU387">
        <f>HYPERLINK("https://creighton-primo.hosted.exlibrisgroup.com/primo-explore/search?tab=default_tab&amp;search_scope=EVERYTHING&amp;vid=01CRU&amp;lang=en_US&amp;offset=0&amp;query=any,contains,991001370009702656","Catalog Record")</f>
        <v/>
      </c>
      <c r="AV387">
        <f>HYPERLINK("http://www.worldcat.org/oclc/2371292","WorldCat Record")</f>
        <v/>
      </c>
      <c r="AW387" t="inlineStr">
        <is>
          <t>4727096:eng</t>
        </is>
      </c>
      <c r="AX387" t="inlineStr">
        <is>
          <t>2371292</t>
        </is>
      </c>
      <c r="AY387" t="inlineStr">
        <is>
          <t>991001370009702656</t>
        </is>
      </c>
      <c r="AZ387" t="inlineStr">
        <is>
          <t>991001370009702656</t>
        </is>
      </c>
      <c r="BA387" t="inlineStr">
        <is>
          <t>2255034390002656</t>
        </is>
      </c>
      <c r="BB387" t="inlineStr">
        <is>
          <t>BOOK</t>
        </is>
      </c>
      <c r="BE387" t="inlineStr">
        <is>
          <t>30001000461642</t>
        </is>
      </c>
      <c r="BF387" t="inlineStr">
        <is>
          <t>893364036</t>
        </is>
      </c>
    </row>
    <row r="388">
      <c r="A388" t="inlineStr">
        <is>
          <t>No</t>
        </is>
      </c>
      <c r="B388" t="inlineStr">
        <is>
          <t>CUHSL</t>
        </is>
      </c>
      <c r="C388" t="inlineStr">
        <is>
          <t>SHELVES</t>
        </is>
      </c>
      <c r="D388" t="inlineStr">
        <is>
          <t>WY18 T2516 2006</t>
        </is>
      </c>
      <c r="E388" t="inlineStr">
        <is>
          <t>0                      WY 0018000T  2516        2006</t>
        </is>
      </c>
      <c r="F388" t="inlineStr">
        <is>
          <t>Teaching evidence-based practice in nursing : a guide for academic and clinical settings / Rona F. Levin and Harriet R. Feldman, editors.</t>
        </is>
      </c>
      <c r="H388" t="inlineStr">
        <is>
          <t>No</t>
        </is>
      </c>
      <c r="I388" t="inlineStr">
        <is>
          <t>1</t>
        </is>
      </c>
      <c r="J388" t="inlineStr">
        <is>
          <t>No</t>
        </is>
      </c>
      <c r="K388" t="inlineStr">
        <is>
          <t>No</t>
        </is>
      </c>
      <c r="L388" t="inlineStr">
        <is>
          <t>1</t>
        </is>
      </c>
      <c r="N388" t="inlineStr">
        <is>
          <t>New York : Springer Pub. Co., c2006.</t>
        </is>
      </c>
      <c r="O388" t="inlineStr">
        <is>
          <t>2006</t>
        </is>
      </c>
      <c r="Q388" t="inlineStr">
        <is>
          <t>eng</t>
        </is>
      </c>
      <c r="R388" t="inlineStr">
        <is>
          <t>nyu</t>
        </is>
      </c>
      <c r="T388" t="inlineStr">
        <is>
          <t xml:space="preserve">WY </t>
        </is>
      </c>
      <c r="U388" t="n">
        <v>4</v>
      </c>
      <c r="V388" t="n">
        <v>4</v>
      </c>
      <c r="W388" t="inlineStr">
        <is>
          <t>2007-12-17</t>
        </is>
      </c>
      <c r="X388" t="inlineStr">
        <is>
          <t>2007-12-17</t>
        </is>
      </c>
      <c r="Y388" t="inlineStr">
        <is>
          <t>2006-12-12</t>
        </is>
      </c>
      <c r="Z388" t="inlineStr">
        <is>
          <t>2006-12-12</t>
        </is>
      </c>
      <c r="AA388" t="n">
        <v>480</v>
      </c>
      <c r="AB388" t="n">
        <v>395</v>
      </c>
      <c r="AC388" t="n">
        <v>1282</v>
      </c>
      <c r="AD388" t="n">
        <v>8</v>
      </c>
      <c r="AE388" t="n">
        <v>16</v>
      </c>
      <c r="AF388" t="n">
        <v>28</v>
      </c>
      <c r="AG388" t="n">
        <v>59</v>
      </c>
      <c r="AH388" t="n">
        <v>9</v>
      </c>
      <c r="AI388" t="n">
        <v>20</v>
      </c>
      <c r="AJ388" t="n">
        <v>6</v>
      </c>
      <c r="AK388" t="n">
        <v>13</v>
      </c>
      <c r="AL388" t="n">
        <v>11</v>
      </c>
      <c r="AM388" t="n">
        <v>21</v>
      </c>
      <c r="AN388" t="n">
        <v>7</v>
      </c>
      <c r="AO388" t="n">
        <v>14</v>
      </c>
      <c r="AP388" t="n">
        <v>0</v>
      </c>
      <c r="AQ388" t="n">
        <v>2</v>
      </c>
      <c r="AR388" t="inlineStr">
        <is>
          <t>No</t>
        </is>
      </c>
      <c r="AS388" t="inlineStr">
        <is>
          <t>No</t>
        </is>
      </c>
      <c r="AU388">
        <f>HYPERLINK("https://creighton-primo.hosted.exlibrisgroup.com/primo-explore/search?tab=default_tab&amp;search_scope=EVERYTHING&amp;vid=01CRU&amp;lang=en_US&amp;offset=0&amp;query=any,contains,991000575359702656","Catalog Record")</f>
        <v/>
      </c>
      <c r="AV388">
        <f>HYPERLINK("http://www.worldcat.org/oclc/61240558","WorldCat Record")</f>
        <v/>
      </c>
      <c r="AW388" t="inlineStr">
        <is>
          <t>865593142:eng</t>
        </is>
      </c>
      <c r="AX388" t="inlineStr">
        <is>
          <t>61240558</t>
        </is>
      </c>
      <c r="AY388" t="inlineStr">
        <is>
          <t>991000575359702656</t>
        </is>
      </c>
      <c r="AZ388" t="inlineStr">
        <is>
          <t>991000575359702656</t>
        </is>
      </c>
      <c r="BA388" t="inlineStr">
        <is>
          <t>2262055040002656</t>
        </is>
      </c>
      <c r="BB388" t="inlineStr">
        <is>
          <t>BOOK</t>
        </is>
      </c>
      <c r="BD388" t="inlineStr">
        <is>
          <t>9780826131553</t>
        </is>
      </c>
      <c r="BE388" t="inlineStr">
        <is>
          <t>30001005192770</t>
        </is>
      </c>
      <c r="BF388" t="inlineStr">
        <is>
          <t>893636311</t>
        </is>
      </c>
    </row>
    <row r="389">
      <c r="A389" t="inlineStr">
        <is>
          <t>No</t>
        </is>
      </c>
      <c r="B389" t="inlineStr">
        <is>
          <t>CUHSL</t>
        </is>
      </c>
      <c r="C389" t="inlineStr">
        <is>
          <t>SHELVES</t>
        </is>
      </c>
      <c r="D389" t="inlineStr">
        <is>
          <t>WY 18 T2518 1997</t>
        </is>
      </c>
      <c r="E389" t="inlineStr">
        <is>
          <t>0                      WY 0018000T  2518        1997</t>
        </is>
      </c>
      <c r="F389" t="inlineStr">
        <is>
          <t>Teaching in the community : preparing nurses for the 21st century / edited by M. Elaine Tagliareni and Barbara B. Marckx.</t>
        </is>
      </c>
      <c r="H389" t="inlineStr">
        <is>
          <t>No</t>
        </is>
      </c>
      <c r="I389" t="inlineStr">
        <is>
          <t>1</t>
        </is>
      </c>
      <c r="J389" t="inlineStr">
        <is>
          <t>No</t>
        </is>
      </c>
      <c r="K389" t="inlineStr">
        <is>
          <t>No</t>
        </is>
      </c>
      <c r="L389" t="inlineStr">
        <is>
          <t>0</t>
        </is>
      </c>
      <c r="N389" t="inlineStr">
        <is>
          <t>New York : National League for Nursing Press, c1997.</t>
        </is>
      </c>
      <c r="O389" t="inlineStr">
        <is>
          <t>1997</t>
        </is>
      </c>
      <c r="Q389" t="inlineStr">
        <is>
          <t>eng</t>
        </is>
      </c>
      <c r="R389" t="inlineStr">
        <is>
          <t>nyu</t>
        </is>
      </c>
      <c r="S389" t="inlineStr">
        <is>
          <t>NLN pub. no. 14-7262</t>
        </is>
      </c>
      <c r="T389" t="inlineStr">
        <is>
          <t xml:space="preserve">WY </t>
        </is>
      </c>
      <c r="U389" t="n">
        <v>1</v>
      </c>
      <c r="V389" t="n">
        <v>1</v>
      </c>
      <c r="W389" t="inlineStr">
        <is>
          <t>1997-06-09</t>
        </is>
      </c>
      <c r="X389" t="inlineStr">
        <is>
          <t>1997-06-09</t>
        </is>
      </c>
      <c r="Y389" t="inlineStr">
        <is>
          <t>1997-06-09</t>
        </is>
      </c>
      <c r="Z389" t="inlineStr">
        <is>
          <t>1997-06-09</t>
        </is>
      </c>
      <c r="AA389" t="n">
        <v>249</v>
      </c>
      <c r="AB389" t="n">
        <v>230</v>
      </c>
      <c r="AC389" t="n">
        <v>281</v>
      </c>
      <c r="AD389" t="n">
        <v>2</v>
      </c>
      <c r="AE389" t="n">
        <v>2</v>
      </c>
      <c r="AF389" t="n">
        <v>10</v>
      </c>
      <c r="AG389" t="n">
        <v>12</v>
      </c>
      <c r="AH389" t="n">
        <v>2</v>
      </c>
      <c r="AI389" t="n">
        <v>4</v>
      </c>
      <c r="AJ389" t="n">
        <v>4</v>
      </c>
      <c r="AK389" t="n">
        <v>4</v>
      </c>
      <c r="AL389" t="n">
        <v>6</v>
      </c>
      <c r="AM389" t="n">
        <v>7</v>
      </c>
      <c r="AN389" t="n">
        <v>0</v>
      </c>
      <c r="AO389" t="n">
        <v>0</v>
      </c>
      <c r="AP389" t="n">
        <v>0</v>
      </c>
      <c r="AQ389" t="n">
        <v>0</v>
      </c>
      <c r="AR389" t="inlineStr">
        <is>
          <t>No</t>
        </is>
      </c>
      <c r="AS389" t="inlineStr">
        <is>
          <t>Yes</t>
        </is>
      </c>
      <c r="AT389">
        <f>HYPERLINK("http://catalog.hathitrust.org/Record/003165729","HathiTrust Record")</f>
        <v/>
      </c>
      <c r="AU389">
        <f>HYPERLINK("https://creighton-primo.hosted.exlibrisgroup.com/primo-explore/search?tab=default_tab&amp;search_scope=EVERYTHING&amp;vid=01CRU&amp;lang=en_US&amp;offset=0&amp;query=any,contains,991001066669702656","Catalog Record")</f>
        <v/>
      </c>
      <c r="AV389">
        <f>HYPERLINK("http://www.worldcat.org/oclc/36501409","WorldCat Record")</f>
        <v/>
      </c>
      <c r="AW389" t="inlineStr">
        <is>
          <t>436481830:eng</t>
        </is>
      </c>
      <c r="AX389" t="inlineStr">
        <is>
          <t>36501409</t>
        </is>
      </c>
      <c r="AY389" t="inlineStr">
        <is>
          <t>991001066669702656</t>
        </is>
      </c>
      <c r="AZ389" t="inlineStr">
        <is>
          <t>991001066669702656</t>
        </is>
      </c>
      <c r="BA389" t="inlineStr">
        <is>
          <t>2267992450002656</t>
        </is>
      </c>
      <c r="BB389" t="inlineStr">
        <is>
          <t>BOOK</t>
        </is>
      </c>
      <c r="BD389" t="inlineStr">
        <is>
          <t>9780887377266</t>
        </is>
      </c>
      <c r="BE389" t="inlineStr">
        <is>
          <t>30001003592591</t>
        </is>
      </c>
      <c r="BF389" t="inlineStr">
        <is>
          <t>893455428</t>
        </is>
      </c>
    </row>
    <row r="390">
      <c r="A390" t="inlineStr">
        <is>
          <t>No</t>
        </is>
      </c>
      <c r="B390" t="inlineStr">
        <is>
          <t>CUHSL</t>
        </is>
      </c>
      <c r="C390" t="inlineStr">
        <is>
          <t>SHELVES</t>
        </is>
      </c>
      <c r="D390" t="inlineStr">
        <is>
          <t>WY 18 T253 1975</t>
        </is>
      </c>
      <c r="E390" t="inlineStr">
        <is>
          <t>0                      WY 0018000T  253         1975</t>
        </is>
      </c>
      <c r="F390" t="inlineStr">
        <is>
          <t>Teaching and evaluating synthesis in an associate degree nursing program : a developmental experience / Carol Willts Peterson [et al.]</t>
        </is>
      </c>
      <c r="H390" t="inlineStr">
        <is>
          <t>No</t>
        </is>
      </c>
      <c r="I390" t="inlineStr">
        <is>
          <t>1</t>
        </is>
      </c>
      <c r="J390" t="inlineStr">
        <is>
          <t>No</t>
        </is>
      </c>
      <c r="K390" t="inlineStr">
        <is>
          <t>No</t>
        </is>
      </c>
      <c r="L390" t="inlineStr">
        <is>
          <t>0</t>
        </is>
      </c>
      <c r="N390" t="inlineStr">
        <is>
          <t>New York : National League for Nursing, c1975.</t>
        </is>
      </c>
      <c r="O390" t="inlineStr">
        <is>
          <t>1975</t>
        </is>
      </c>
      <c r="Q390" t="inlineStr">
        <is>
          <t>eng</t>
        </is>
      </c>
      <c r="R390" t="inlineStr">
        <is>
          <t>nyu</t>
        </is>
      </c>
      <c r="S390" t="inlineStr">
        <is>
          <t>League exchange ; no. 107</t>
        </is>
      </c>
      <c r="T390" t="inlineStr">
        <is>
          <t xml:space="preserve">WY </t>
        </is>
      </c>
      <c r="U390" t="n">
        <v>2</v>
      </c>
      <c r="V390" t="n">
        <v>2</v>
      </c>
      <c r="W390" t="inlineStr">
        <is>
          <t>1994-09-19</t>
        </is>
      </c>
      <c r="X390" t="inlineStr">
        <is>
          <t>1994-09-19</t>
        </is>
      </c>
      <c r="Y390" t="inlineStr">
        <is>
          <t>1987-11-05</t>
        </is>
      </c>
      <c r="Z390" t="inlineStr">
        <is>
          <t>1987-11-05</t>
        </is>
      </c>
      <c r="AA390" t="n">
        <v>80</v>
      </c>
      <c r="AB390" t="n">
        <v>71</v>
      </c>
      <c r="AC390" t="n">
        <v>73</v>
      </c>
      <c r="AD390" t="n">
        <v>4</v>
      </c>
      <c r="AE390" t="n">
        <v>4</v>
      </c>
      <c r="AF390" t="n">
        <v>3</v>
      </c>
      <c r="AG390" t="n">
        <v>3</v>
      </c>
      <c r="AH390" t="n">
        <v>0</v>
      </c>
      <c r="AI390" t="n">
        <v>0</v>
      </c>
      <c r="AJ390" t="n">
        <v>0</v>
      </c>
      <c r="AK390" t="n">
        <v>0</v>
      </c>
      <c r="AL390" t="n">
        <v>2</v>
      </c>
      <c r="AM390" t="n">
        <v>2</v>
      </c>
      <c r="AN390" t="n">
        <v>1</v>
      </c>
      <c r="AO390" t="n">
        <v>1</v>
      </c>
      <c r="AP390" t="n">
        <v>0</v>
      </c>
      <c r="AQ390" t="n">
        <v>0</v>
      </c>
      <c r="AR390" t="inlineStr">
        <is>
          <t>No</t>
        </is>
      </c>
      <c r="AS390" t="inlineStr">
        <is>
          <t>Yes</t>
        </is>
      </c>
      <c r="AT390">
        <f>HYPERLINK("http://catalog.hathitrust.org/Record/000703373","HathiTrust Record")</f>
        <v/>
      </c>
      <c r="AU390">
        <f>HYPERLINK("https://creighton-primo.hosted.exlibrisgroup.com/primo-explore/search?tab=default_tab&amp;search_scope=EVERYTHING&amp;vid=01CRU&amp;lang=en_US&amp;offset=0&amp;query=any,contains,991001387819702656","Catalog Record")</f>
        <v/>
      </c>
      <c r="AV390">
        <f>HYPERLINK("http://www.worldcat.org/oclc/1882086","WorldCat Record")</f>
        <v/>
      </c>
      <c r="AW390" t="inlineStr">
        <is>
          <t>2973597:eng</t>
        </is>
      </c>
      <c r="AX390" t="inlineStr">
        <is>
          <t>1882086</t>
        </is>
      </c>
      <c r="AY390" t="inlineStr">
        <is>
          <t>991001387819702656</t>
        </is>
      </c>
      <c r="AZ390" t="inlineStr">
        <is>
          <t>991001387819702656</t>
        </is>
      </c>
      <c r="BA390" t="inlineStr">
        <is>
          <t>2257548070002656</t>
        </is>
      </c>
      <c r="BB390" t="inlineStr">
        <is>
          <t>BOOK</t>
        </is>
      </c>
      <c r="BE390" t="inlineStr">
        <is>
          <t>30001000464174</t>
        </is>
      </c>
      <c r="BF390" t="inlineStr">
        <is>
          <t>893451126</t>
        </is>
      </c>
    </row>
    <row r="391">
      <c r="A391" t="inlineStr">
        <is>
          <t>No</t>
        </is>
      </c>
      <c r="B391" t="inlineStr">
        <is>
          <t>CUHSL</t>
        </is>
      </c>
      <c r="C391" t="inlineStr">
        <is>
          <t>SHELVES</t>
        </is>
      </c>
      <c r="D391" t="inlineStr">
        <is>
          <t>WY 18 T2535 1965</t>
        </is>
      </c>
      <c r="E391" t="inlineStr">
        <is>
          <t>0                      WY 0018000T  2535        1965</t>
        </is>
      </c>
      <c r="F391" t="inlineStr">
        <is>
          <t>Teaching effectiveness : report of the 1965 regional workshops / of the Council of Member Agencies of the Department of Diploma Programs, National League for Nursing.</t>
        </is>
      </c>
      <c r="H391" t="inlineStr">
        <is>
          <t>No</t>
        </is>
      </c>
      <c r="I391" t="inlineStr">
        <is>
          <t>1</t>
        </is>
      </c>
      <c r="J391" t="inlineStr">
        <is>
          <t>No</t>
        </is>
      </c>
      <c r="K391" t="inlineStr">
        <is>
          <t>No</t>
        </is>
      </c>
      <c r="L391" t="inlineStr">
        <is>
          <t>0</t>
        </is>
      </c>
      <c r="N391" t="inlineStr">
        <is>
          <t>New York : National League for Nursing, Dept. of Diploma Programs, 1966.</t>
        </is>
      </c>
      <c r="O391" t="inlineStr">
        <is>
          <t>1965</t>
        </is>
      </c>
      <c r="Q391" t="inlineStr">
        <is>
          <t>eng</t>
        </is>
      </c>
      <c r="R391" t="inlineStr">
        <is>
          <t>nyu</t>
        </is>
      </c>
      <c r="S391" t="inlineStr">
        <is>
          <t>NLN pub. no. 16-1211</t>
        </is>
      </c>
      <c r="T391" t="inlineStr">
        <is>
          <t xml:space="preserve">WY </t>
        </is>
      </c>
      <c r="U391" t="n">
        <v>1</v>
      </c>
      <c r="V391" t="n">
        <v>1</v>
      </c>
      <c r="W391" t="inlineStr">
        <is>
          <t>2008-01-08</t>
        </is>
      </c>
      <c r="X391" t="inlineStr">
        <is>
          <t>2008-01-08</t>
        </is>
      </c>
      <c r="Y391" t="inlineStr">
        <is>
          <t>1987-10-29</t>
        </is>
      </c>
      <c r="Z391" t="inlineStr">
        <is>
          <t>1987-10-29</t>
        </is>
      </c>
      <c r="AA391" t="n">
        <v>11</v>
      </c>
      <c r="AB391" t="n">
        <v>8</v>
      </c>
      <c r="AC391" t="n">
        <v>8</v>
      </c>
      <c r="AD391" t="n">
        <v>1</v>
      </c>
      <c r="AE391" t="n">
        <v>1</v>
      </c>
      <c r="AF391" t="n">
        <v>0</v>
      </c>
      <c r="AG391" t="n">
        <v>0</v>
      </c>
      <c r="AH391" t="n">
        <v>0</v>
      </c>
      <c r="AI391" t="n">
        <v>0</v>
      </c>
      <c r="AJ391" t="n">
        <v>0</v>
      </c>
      <c r="AK391" t="n">
        <v>0</v>
      </c>
      <c r="AL391" t="n">
        <v>0</v>
      </c>
      <c r="AM391" t="n">
        <v>0</v>
      </c>
      <c r="AN391" t="n">
        <v>0</v>
      </c>
      <c r="AO391" t="n">
        <v>0</v>
      </c>
      <c r="AP391" t="n">
        <v>0</v>
      </c>
      <c r="AQ391" t="n">
        <v>0</v>
      </c>
      <c r="AR391" t="inlineStr">
        <is>
          <t>No</t>
        </is>
      </c>
      <c r="AS391" t="inlineStr">
        <is>
          <t>No</t>
        </is>
      </c>
      <c r="AU391">
        <f>HYPERLINK("https://creighton-primo.hosted.exlibrisgroup.com/primo-explore/search?tab=default_tab&amp;search_scope=EVERYTHING&amp;vid=01CRU&amp;lang=en_US&amp;offset=0&amp;query=any,contains,991001375699702656","Catalog Record")</f>
        <v/>
      </c>
      <c r="AV391">
        <f>HYPERLINK("http://www.worldcat.org/oclc/14882805","WorldCat Record")</f>
        <v/>
      </c>
      <c r="AW391" t="inlineStr">
        <is>
          <t>8907180865:eng</t>
        </is>
      </c>
      <c r="AX391" t="inlineStr">
        <is>
          <t>14882805</t>
        </is>
      </c>
      <c r="AY391" t="inlineStr">
        <is>
          <t>991001375699702656</t>
        </is>
      </c>
      <c r="AZ391" t="inlineStr">
        <is>
          <t>991001375699702656</t>
        </is>
      </c>
      <c r="BA391" t="inlineStr">
        <is>
          <t>2271052210002656</t>
        </is>
      </c>
      <c r="BB391" t="inlineStr">
        <is>
          <t>BOOK</t>
        </is>
      </c>
      <c r="BE391" t="inlineStr">
        <is>
          <t>30001000462145</t>
        </is>
      </c>
      <c r="BF391" t="inlineStr">
        <is>
          <t>893374484</t>
        </is>
      </c>
    </row>
    <row r="392">
      <c r="A392" t="inlineStr">
        <is>
          <t>No</t>
        </is>
      </c>
      <c r="B392" t="inlineStr">
        <is>
          <t>CUHSL</t>
        </is>
      </c>
      <c r="C392" t="inlineStr">
        <is>
          <t>SHELVES</t>
        </is>
      </c>
      <c r="D392" t="inlineStr">
        <is>
          <t>WY 18 T693t 1974</t>
        </is>
      </c>
      <c r="E392" t="inlineStr">
        <is>
          <t>0                      WY 0018000T  693t        1974</t>
        </is>
      </c>
      <c r="F392" t="inlineStr">
        <is>
          <t>Today's conceptual framework : its relationship to the curriculum development process / Gertrude Torres, Helen Yura.</t>
        </is>
      </c>
      <c r="H392" t="inlineStr">
        <is>
          <t>No</t>
        </is>
      </c>
      <c r="I392" t="inlineStr">
        <is>
          <t>1</t>
        </is>
      </c>
      <c r="J392" t="inlineStr">
        <is>
          <t>No</t>
        </is>
      </c>
      <c r="K392" t="inlineStr">
        <is>
          <t>No</t>
        </is>
      </c>
      <c r="L392" t="inlineStr">
        <is>
          <t>0</t>
        </is>
      </c>
      <c r="M392" t="inlineStr">
        <is>
          <t>Torres, Gertrude.</t>
        </is>
      </c>
      <c r="N392" t="inlineStr">
        <is>
          <t>New York : Dept. of Baccalaureate and Higher Degree Programs, National League for Nursing, c1974.</t>
        </is>
      </c>
      <c r="O392" t="inlineStr">
        <is>
          <t>1974</t>
        </is>
      </c>
      <c r="Q392" t="inlineStr">
        <is>
          <t>eng</t>
        </is>
      </c>
      <c r="R392" t="inlineStr">
        <is>
          <t>xxu</t>
        </is>
      </c>
      <c r="S392" t="inlineStr">
        <is>
          <t>NLN pub. no. 15-1529</t>
        </is>
      </c>
      <c r="T392" t="inlineStr">
        <is>
          <t xml:space="preserve">WY </t>
        </is>
      </c>
      <c r="U392" t="n">
        <v>2</v>
      </c>
      <c r="V392" t="n">
        <v>2</v>
      </c>
      <c r="W392" t="inlineStr">
        <is>
          <t>1990-04-06</t>
        </is>
      </c>
      <c r="X392" t="inlineStr">
        <is>
          <t>1990-04-06</t>
        </is>
      </c>
      <c r="Y392" t="inlineStr">
        <is>
          <t>1987-10-21</t>
        </is>
      </c>
      <c r="Z392" t="inlineStr">
        <is>
          <t>1987-10-21</t>
        </is>
      </c>
      <c r="AA392" t="n">
        <v>62</v>
      </c>
      <c r="AB392" t="n">
        <v>52</v>
      </c>
      <c r="AC392" t="n">
        <v>52</v>
      </c>
      <c r="AD392" t="n">
        <v>1</v>
      </c>
      <c r="AE392" t="n">
        <v>1</v>
      </c>
      <c r="AF392" t="n">
        <v>2</v>
      </c>
      <c r="AG392" t="n">
        <v>2</v>
      </c>
      <c r="AH392" t="n">
        <v>0</v>
      </c>
      <c r="AI392" t="n">
        <v>0</v>
      </c>
      <c r="AJ392" t="n">
        <v>0</v>
      </c>
      <c r="AK392" t="n">
        <v>0</v>
      </c>
      <c r="AL392" t="n">
        <v>2</v>
      </c>
      <c r="AM392" t="n">
        <v>2</v>
      </c>
      <c r="AN392" t="n">
        <v>0</v>
      </c>
      <c r="AO392" t="n">
        <v>0</v>
      </c>
      <c r="AP392" t="n">
        <v>0</v>
      </c>
      <c r="AQ392" t="n">
        <v>0</v>
      </c>
      <c r="AR392" t="inlineStr">
        <is>
          <t>No</t>
        </is>
      </c>
      <c r="AS392" t="inlineStr">
        <is>
          <t>No</t>
        </is>
      </c>
      <c r="AU392">
        <f>HYPERLINK("https://creighton-primo.hosted.exlibrisgroup.com/primo-explore/search?tab=default_tab&amp;search_scope=EVERYTHING&amp;vid=01CRU&amp;lang=en_US&amp;offset=0&amp;query=any,contains,991001368559702656","Catalog Record")</f>
        <v/>
      </c>
      <c r="AV392">
        <f>HYPERLINK("http://www.worldcat.org/oclc/1080329","WorldCat Record")</f>
        <v/>
      </c>
      <c r="AW392" t="inlineStr">
        <is>
          <t>2043086:eng</t>
        </is>
      </c>
      <c r="AX392" t="inlineStr">
        <is>
          <t>1080329</t>
        </is>
      </c>
      <c r="AY392" t="inlineStr">
        <is>
          <t>991001368559702656</t>
        </is>
      </c>
      <c r="AZ392" t="inlineStr">
        <is>
          <t>991001368559702656</t>
        </is>
      </c>
      <c r="BA392" t="inlineStr">
        <is>
          <t>2268833180002656</t>
        </is>
      </c>
      <c r="BB392" t="inlineStr">
        <is>
          <t>BOOK</t>
        </is>
      </c>
      <c r="BE392" t="inlineStr">
        <is>
          <t>30001000461501</t>
        </is>
      </c>
      <c r="BF392" t="inlineStr">
        <is>
          <t>893743757</t>
        </is>
      </c>
    </row>
    <row r="393">
      <c r="A393" t="inlineStr">
        <is>
          <t>No</t>
        </is>
      </c>
      <c r="B393" t="inlineStr">
        <is>
          <t>CUHSL</t>
        </is>
      </c>
      <c r="C393" t="inlineStr">
        <is>
          <t>SHELVES</t>
        </is>
      </c>
      <c r="D393" t="inlineStr">
        <is>
          <t>WY18 U535 2000</t>
        </is>
      </c>
      <c r="E393" t="inlineStr">
        <is>
          <t>0                      WY 0018000U  535         2000</t>
        </is>
      </c>
      <c r="F393" t="inlineStr">
        <is>
          <t>Understanding cultural diversity : culture, curriculum, and community in nursing / [edited by] Mary Lebreck Kelley, Virginia Macken Fitzsimons.</t>
        </is>
      </c>
      <c r="H393" t="inlineStr">
        <is>
          <t>No</t>
        </is>
      </c>
      <c r="I393" t="inlineStr">
        <is>
          <t>1</t>
        </is>
      </c>
      <c r="J393" t="inlineStr">
        <is>
          <t>No</t>
        </is>
      </c>
      <c r="K393" t="inlineStr">
        <is>
          <t>No</t>
        </is>
      </c>
      <c r="L393" t="inlineStr">
        <is>
          <t>0</t>
        </is>
      </c>
      <c r="N393" t="inlineStr">
        <is>
          <t>Sudbury, Mass. : Jones and Bartlett, c2000.</t>
        </is>
      </c>
      <c r="O393" t="inlineStr">
        <is>
          <t>2000</t>
        </is>
      </c>
      <c r="Q393" t="inlineStr">
        <is>
          <t>eng</t>
        </is>
      </c>
      <c r="R393" t="inlineStr">
        <is>
          <t>mau</t>
        </is>
      </c>
      <c r="T393" t="inlineStr">
        <is>
          <t xml:space="preserve">WY </t>
        </is>
      </c>
      <c r="U393" t="n">
        <v>2</v>
      </c>
      <c r="V393" t="n">
        <v>2</v>
      </c>
      <c r="W393" t="inlineStr">
        <is>
          <t>2007-09-09</t>
        </is>
      </c>
      <c r="X393" t="inlineStr">
        <is>
          <t>2007-09-09</t>
        </is>
      </c>
      <c r="Y393" t="inlineStr">
        <is>
          <t>2004-06-04</t>
        </is>
      </c>
      <c r="Z393" t="inlineStr">
        <is>
          <t>2004-06-04</t>
        </is>
      </c>
      <c r="AA393" t="n">
        <v>650</v>
      </c>
      <c r="AB393" t="n">
        <v>591</v>
      </c>
      <c r="AC393" t="n">
        <v>594</v>
      </c>
      <c r="AD393" t="n">
        <v>4</v>
      </c>
      <c r="AE393" t="n">
        <v>4</v>
      </c>
      <c r="AF393" t="n">
        <v>26</v>
      </c>
      <c r="AG393" t="n">
        <v>26</v>
      </c>
      <c r="AH393" t="n">
        <v>11</v>
      </c>
      <c r="AI393" t="n">
        <v>11</v>
      </c>
      <c r="AJ393" t="n">
        <v>7</v>
      </c>
      <c r="AK393" t="n">
        <v>7</v>
      </c>
      <c r="AL393" t="n">
        <v>9</v>
      </c>
      <c r="AM393" t="n">
        <v>9</v>
      </c>
      <c r="AN393" t="n">
        <v>3</v>
      </c>
      <c r="AO393" t="n">
        <v>3</v>
      </c>
      <c r="AP393" t="n">
        <v>0</v>
      </c>
      <c r="AQ393" t="n">
        <v>0</v>
      </c>
      <c r="AR393" t="inlineStr">
        <is>
          <t>No</t>
        </is>
      </c>
      <c r="AS393" t="inlineStr">
        <is>
          <t>Yes</t>
        </is>
      </c>
      <c r="AT393">
        <f>HYPERLINK("http://catalog.hathitrust.org/Record/003344993","HathiTrust Record")</f>
        <v/>
      </c>
      <c r="AU393">
        <f>HYPERLINK("https://creighton-primo.hosted.exlibrisgroup.com/primo-explore/search?tab=default_tab&amp;search_scope=EVERYTHING&amp;vid=01CRU&amp;lang=en_US&amp;offset=0&amp;query=any,contains,991000372129702656","Catalog Record")</f>
        <v/>
      </c>
      <c r="AV393">
        <f>HYPERLINK("http://www.worldcat.org/oclc/41266196","WorldCat Record")</f>
        <v/>
      </c>
      <c r="AW393" t="inlineStr">
        <is>
          <t>903583021:eng</t>
        </is>
      </c>
      <c r="AX393" t="inlineStr">
        <is>
          <t>41266196</t>
        </is>
      </c>
      <c r="AY393" t="inlineStr">
        <is>
          <t>991000372129702656</t>
        </is>
      </c>
      <c r="AZ393" t="inlineStr">
        <is>
          <t>991000372129702656</t>
        </is>
      </c>
      <c r="BA393" t="inlineStr">
        <is>
          <t>2262659410002656</t>
        </is>
      </c>
      <c r="BB393" t="inlineStr">
        <is>
          <t>BOOK</t>
        </is>
      </c>
      <c r="BD393" t="inlineStr">
        <is>
          <t>9780763711061</t>
        </is>
      </c>
      <c r="BE393" t="inlineStr">
        <is>
          <t>30001004508992</t>
        </is>
      </c>
      <c r="BF393" t="inlineStr">
        <is>
          <t>893811444</t>
        </is>
      </c>
    </row>
    <row r="394">
      <c r="A394" t="inlineStr">
        <is>
          <t>No</t>
        </is>
      </c>
      <c r="B394" t="inlineStr">
        <is>
          <t>CUHSL</t>
        </is>
      </c>
      <c r="C394" t="inlineStr">
        <is>
          <t>SHELVES</t>
        </is>
      </c>
      <c r="D394" t="inlineStr">
        <is>
          <t>WY 18 U58 1974</t>
        </is>
      </c>
      <c r="E394" t="inlineStr">
        <is>
          <t>0                      WY 0018000U  58          1974</t>
        </is>
      </c>
      <c r="F394" t="inlineStr">
        <is>
          <t>Unifying the curriculum, the integrated approach.</t>
        </is>
      </c>
      <c r="H394" t="inlineStr">
        <is>
          <t>No</t>
        </is>
      </c>
      <c r="I394" t="inlineStr">
        <is>
          <t>1</t>
        </is>
      </c>
      <c r="J394" t="inlineStr">
        <is>
          <t>No</t>
        </is>
      </c>
      <c r="K394" t="inlineStr">
        <is>
          <t>No</t>
        </is>
      </c>
      <c r="L394" t="inlineStr">
        <is>
          <t>0</t>
        </is>
      </c>
      <c r="N394" t="inlineStr">
        <is>
          <t>New York : Dept. of Baccalaureate and Higher Degree Programs, National League for Nursing, c1974.</t>
        </is>
      </c>
      <c r="O394" t="inlineStr">
        <is>
          <t>1974</t>
        </is>
      </c>
      <c r="Q394" t="inlineStr">
        <is>
          <t>eng</t>
        </is>
      </c>
      <c r="R394" t="inlineStr">
        <is>
          <t>nyu</t>
        </is>
      </c>
      <c r="S394" t="inlineStr">
        <is>
          <t>Faculty-curriculum development ; pt. 4</t>
        </is>
      </c>
      <c r="T394" t="inlineStr">
        <is>
          <t xml:space="preserve">WY </t>
        </is>
      </c>
      <c r="U394" t="n">
        <v>3</v>
      </c>
      <c r="V394" t="n">
        <v>3</v>
      </c>
      <c r="W394" t="inlineStr">
        <is>
          <t>1992-08-25</t>
        </is>
      </c>
      <c r="X394" t="inlineStr">
        <is>
          <t>1992-08-25</t>
        </is>
      </c>
      <c r="Y394" t="inlineStr">
        <is>
          <t>1987-10-21</t>
        </is>
      </c>
      <c r="Z394" t="inlineStr">
        <is>
          <t>1987-10-21</t>
        </is>
      </c>
      <c r="AA394" t="n">
        <v>52</v>
      </c>
      <c r="AB394" t="n">
        <v>46</v>
      </c>
      <c r="AC394" t="n">
        <v>46</v>
      </c>
      <c r="AD394" t="n">
        <v>1</v>
      </c>
      <c r="AE394" t="n">
        <v>1</v>
      </c>
      <c r="AF394" t="n">
        <v>2</v>
      </c>
      <c r="AG394" t="n">
        <v>2</v>
      </c>
      <c r="AH394" t="n">
        <v>0</v>
      </c>
      <c r="AI394" t="n">
        <v>0</v>
      </c>
      <c r="AJ394" t="n">
        <v>0</v>
      </c>
      <c r="AK394" t="n">
        <v>0</v>
      </c>
      <c r="AL394" t="n">
        <v>2</v>
      </c>
      <c r="AM394" t="n">
        <v>2</v>
      </c>
      <c r="AN394" t="n">
        <v>0</v>
      </c>
      <c r="AO394" t="n">
        <v>0</v>
      </c>
      <c r="AP394" t="n">
        <v>0</v>
      </c>
      <c r="AQ394" t="n">
        <v>0</v>
      </c>
      <c r="AR394" t="inlineStr">
        <is>
          <t>No</t>
        </is>
      </c>
      <c r="AS394" t="inlineStr">
        <is>
          <t>No</t>
        </is>
      </c>
      <c r="AU394">
        <f>HYPERLINK("https://creighton-primo.hosted.exlibrisgroup.com/primo-explore/search?tab=default_tab&amp;search_scope=EVERYTHING&amp;vid=01CRU&amp;lang=en_US&amp;offset=0&amp;query=any,contains,991001368439702656","Catalog Record")</f>
        <v/>
      </c>
      <c r="AV394">
        <f>HYPERLINK("http://www.worldcat.org/oclc/2006236","WorldCat Record")</f>
        <v/>
      </c>
      <c r="AW394" t="inlineStr">
        <is>
          <t>2618034:eng</t>
        </is>
      </c>
      <c r="AX394" t="inlineStr">
        <is>
          <t>2006236</t>
        </is>
      </c>
      <c r="AY394" t="inlineStr">
        <is>
          <t>991001368439702656</t>
        </is>
      </c>
      <c r="AZ394" t="inlineStr">
        <is>
          <t>991001368439702656</t>
        </is>
      </c>
      <c r="BA394" t="inlineStr">
        <is>
          <t>2262462310002656</t>
        </is>
      </c>
      <c r="BB394" t="inlineStr">
        <is>
          <t>BOOK</t>
        </is>
      </c>
      <c r="BE394" t="inlineStr">
        <is>
          <t>30001000461485</t>
        </is>
      </c>
      <c r="BF394" t="inlineStr">
        <is>
          <t>893364034</t>
        </is>
      </c>
    </row>
    <row r="395">
      <c r="A395" t="inlineStr">
        <is>
          <t>No</t>
        </is>
      </c>
      <c r="B395" t="inlineStr">
        <is>
          <t>CUHSL</t>
        </is>
      </c>
      <c r="C395" t="inlineStr">
        <is>
          <t>SHELVES</t>
        </is>
      </c>
      <c r="D395" t="inlineStr">
        <is>
          <t>WY 18 U91 1978</t>
        </is>
      </c>
      <c r="E395" t="inlineStr">
        <is>
          <t>0                      WY 0018000U  91          1978</t>
        </is>
      </c>
      <c r="F395" t="inlineStr">
        <is>
          <t>Utilization of the clinical laboratory in baccalaureate nursing programs.</t>
        </is>
      </c>
      <c r="H395" t="inlineStr">
        <is>
          <t>No</t>
        </is>
      </c>
      <c r="I395" t="inlineStr">
        <is>
          <t>1</t>
        </is>
      </c>
      <c r="J395" t="inlineStr">
        <is>
          <t>No</t>
        </is>
      </c>
      <c r="K395" t="inlineStr">
        <is>
          <t>No</t>
        </is>
      </c>
      <c r="L395" t="inlineStr">
        <is>
          <t>0</t>
        </is>
      </c>
      <c r="N395" t="inlineStr">
        <is>
          <t>New York : National League for Nursing, c1978.</t>
        </is>
      </c>
      <c r="O395" t="inlineStr">
        <is>
          <t>1978</t>
        </is>
      </c>
      <c r="Q395" t="inlineStr">
        <is>
          <t>eng</t>
        </is>
      </c>
      <c r="R395" t="inlineStr">
        <is>
          <t>nyu</t>
        </is>
      </c>
      <c r="S395" t="inlineStr">
        <is>
          <t>NLN pub. no. 15-1726</t>
        </is>
      </c>
      <c r="T395" t="inlineStr">
        <is>
          <t xml:space="preserve">WY </t>
        </is>
      </c>
      <c r="U395" t="n">
        <v>1</v>
      </c>
      <c r="V395" t="n">
        <v>1</v>
      </c>
      <c r="W395" t="inlineStr">
        <is>
          <t>1990-06-12</t>
        </is>
      </c>
      <c r="X395" t="inlineStr">
        <is>
          <t>1990-06-12</t>
        </is>
      </c>
      <c r="Y395" t="inlineStr">
        <is>
          <t>1987-10-29</t>
        </is>
      </c>
      <c r="Z395" t="inlineStr">
        <is>
          <t>1987-10-29</t>
        </is>
      </c>
      <c r="AA395" t="n">
        <v>92</v>
      </c>
      <c r="AB395" t="n">
        <v>79</v>
      </c>
      <c r="AC395" t="n">
        <v>81</v>
      </c>
      <c r="AD395" t="n">
        <v>1</v>
      </c>
      <c r="AE395" t="n">
        <v>1</v>
      </c>
      <c r="AF395" t="n">
        <v>2</v>
      </c>
      <c r="AG395" t="n">
        <v>2</v>
      </c>
      <c r="AH395" t="n">
        <v>0</v>
      </c>
      <c r="AI395" t="n">
        <v>0</v>
      </c>
      <c r="AJ395" t="n">
        <v>0</v>
      </c>
      <c r="AK395" t="n">
        <v>0</v>
      </c>
      <c r="AL395" t="n">
        <v>2</v>
      </c>
      <c r="AM395" t="n">
        <v>2</v>
      </c>
      <c r="AN395" t="n">
        <v>0</v>
      </c>
      <c r="AO395" t="n">
        <v>0</v>
      </c>
      <c r="AP395" t="n">
        <v>0</v>
      </c>
      <c r="AQ395" t="n">
        <v>0</v>
      </c>
      <c r="AR395" t="inlineStr">
        <is>
          <t>No</t>
        </is>
      </c>
      <c r="AS395" t="inlineStr">
        <is>
          <t>Yes</t>
        </is>
      </c>
      <c r="AT395">
        <f>HYPERLINK("http://catalog.hathitrust.org/Record/005669415","HathiTrust Record")</f>
        <v/>
      </c>
      <c r="AU395">
        <f>HYPERLINK("https://creighton-primo.hosted.exlibrisgroup.com/primo-explore/search?tab=default_tab&amp;search_scope=EVERYTHING&amp;vid=01CRU&amp;lang=en_US&amp;offset=0&amp;query=any,contains,991001370829702656","Catalog Record")</f>
        <v/>
      </c>
      <c r="AV395">
        <f>HYPERLINK("http://www.worldcat.org/oclc/4570471","WorldCat Record")</f>
        <v/>
      </c>
      <c r="AW395" t="inlineStr">
        <is>
          <t>14846243:eng</t>
        </is>
      </c>
      <c r="AX395" t="inlineStr">
        <is>
          <t>4570471</t>
        </is>
      </c>
      <c r="AY395" t="inlineStr">
        <is>
          <t>991001370829702656</t>
        </is>
      </c>
      <c r="AZ395" t="inlineStr">
        <is>
          <t>991001370829702656</t>
        </is>
      </c>
      <c r="BA395" t="inlineStr">
        <is>
          <t>2268286850002656</t>
        </is>
      </c>
      <c r="BB395" t="inlineStr">
        <is>
          <t>BOOK</t>
        </is>
      </c>
      <c r="BE395" t="inlineStr">
        <is>
          <t>30001000461766</t>
        </is>
      </c>
      <c r="BF395" t="inlineStr">
        <is>
          <t>893467930</t>
        </is>
      </c>
    </row>
    <row r="396">
      <c r="A396" t="inlineStr">
        <is>
          <t>No</t>
        </is>
      </c>
      <c r="B396" t="inlineStr">
        <is>
          <t>CUHSL</t>
        </is>
      </c>
      <c r="C396" t="inlineStr">
        <is>
          <t>SHELVES</t>
        </is>
      </c>
      <c r="D396" t="inlineStr">
        <is>
          <t>WY 18 V262h 1975a</t>
        </is>
      </c>
      <c r="E396" t="inlineStr">
        <is>
          <t>0                      WY 0018000V  262h        1975a</t>
        </is>
      </c>
      <c r="F396" t="inlineStr">
        <is>
          <t>Reading EKGs correctly / by Margaret Van Meter and Peter G. Lavine.</t>
        </is>
      </c>
      <c r="H396" t="inlineStr">
        <is>
          <t>No</t>
        </is>
      </c>
      <c r="I396" t="inlineStr">
        <is>
          <t>1</t>
        </is>
      </c>
      <c r="J396" t="inlineStr">
        <is>
          <t>No</t>
        </is>
      </c>
      <c r="K396" t="inlineStr">
        <is>
          <t>No</t>
        </is>
      </c>
      <c r="L396" t="inlineStr">
        <is>
          <t>0</t>
        </is>
      </c>
      <c r="M396" t="inlineStr">
        <is>
          <t>Van Meter, Margaret.</t>
        </is>
      </c>
      <c r="N396" t="inlineStr">
        <is>
          <t>Jenkintown, Pa. : Intermed Communications, c1975.</t>
        </is>
      </c>
      <c r="O396" t="inlineStr">
        <is>
          <t>1975</t>
        </is>
      </c>
      <c r="Q396" t="inlineStr">
        <is>
          <t>eng</t>
        </is>
      </c>
      <c r="R396" t="inlineStr">
        <is>
          <t>pau</t>
        </is>
      </c>
      <c r="S396" t="inlineStr">
        <is>
          <t>Nursing77 skillbook series</t>
        </is>
      </c>
      <c r="T396" t="inlineStr">
        <is>
          <t xml:space="preserve">WY </t>
        </is>
      </c>
      <c r="U396" t="n">
        <v>12</v>
      </c>
      <c r="V396" t="n">
        <v>12</v>
      </c>
      <c r="W396" t="inlineStr">
        <is>
          <t>2005-08-01</t>
        </is>
      </c>
      <c r="X396" t="inlineStr">
        <is>
          <t>2005-08-01</t>
        </is>
      </c>
      <c r="Y396" t="inlineStr">
        <is>
          <t>1987-12-28</t>
        </is>
      </c>
      <c r="Z396" t="inlineStr">
        <is>
          <t>1987-12-28</t>
        </is>
      </c>
      <c r="AA396" t="n">
        <v>186</v>
      </c>
      <c r="AB396" t="n">
        <v>158</v>
      </c>
      <c r="AC396" t="n">
        <v>291</v>
      </c>
      <c r="AD396" t="n">
        <v>1</v>
      </c>
      <c r="AE396" t="n">
        <v>1</v>
      </c>
      <c r="AF396" t="n">
        <v>4</v>
      </c>
      <c r="AG396" t="n">
        <v>9</v>
      </c>
      <c r="AH396" t="n">
        <v>2</v>
      </c>
      <c r="AI396" t="n">
        <v>5</v>
      </c>
      <c r="AJ396" t="n">
        <v>0</v>
      </c>
      <c r="AK396" t="n">
        <v>1</v>
      </c>
      <c r="AL396" t="n">
        <v>4</v>
      </c>
      <c r="AM396" t="n">
        <v>6</v>
      </c>
      <c r="AN396" t="n">
        <v>0</v>
      </c>
      <c r="AO396" t="n">
        <v>0</v>
      </c>
      <c r="AP396" t="n">
        <v>0</v>
      </c>
      <c r="AQ396" t="n">
        <v>0</v>
      </c>
      <c r="AR396" t="inlineStr">
        <is>
          <t>No</t>
        </is>
      </c>
      <c r="AS396" t="inlineStr">
        <is>
          <t>No</t>
        </is>
      </c>
      <c r="AU396">
        <f>HYPERLINK("https://creighton-primo.hosted.exlibrisgroup.com/primo-explore/search?tab=default_tab&amp;search_scope=EVERYTHING&amp;vid=01CRU&amp;lang=en_US&amp;offset=0&amp;query=any,contains,991001043379702656","Catalog Record")</f>
        <v/>
      </c>
      <c r="AV396">
        <f>HYPERLINK("http://www.worldcat.org/oclc/3205387","WorldCat Record")</f>
        <v/>
      </c>
      <c r="AW396" t="inlineStr">
        <is>
          <t>3118364:eng</t>
        </is>
      </c>
      <c r="AX396" t="inlineStr">
        <is>
          <t>3205387</t>
        </is>
      </c>
      <c r="AY396" t="inlineStr">
        <is>
          <t>991001043379702656</t>
        </is>
      </c>
      <c r="AZ396" t="inlineStr">
        <is>
          <t>991001043379702656</t>
        </is>
      </c>
      <c r="BA396" t="inlineStr">
        <is>
          <t>2269251400002656</t>
        </is>
      </c>
      <c r="BB396" t="inlineStr">
        <is>
          <t>BOOK</t>
        </is>
      </c>
      <c r="BD396" t="inlineStr">
        <is>
          <t>9780916730024</t>
        </is>
      </c>
      <c r="BE396" t="inlineStr">
        <is>
          <t>30001000243131</t>
        </is>
      </c>
      <c r="BF396" t="inlineStr">
        <is>
          <t>893465142</t>
        </is>
      </c>
    </row>
    <row r="397">
      <c r="A397" t="inlineStr">
        <is>
          <t>No</t>
        </is>
      </c>
      <c r="B397" t="inlineStr">
        <is>
          <t>CUHSL</t>
        </is>
      </c>
      <c r="C397" t="inlineStr">
        <is>
          <t>SHELVES</t>
        </is>
      </c>
      <c r="D397" t="inlineStr">
        <is>
          <t>WY 18 W225a 1968</t>
        </is>
      </c>
      <c r="E397" t="inlineStr">
        <is>
          <t>0                      WY 0018000W  225a        1968</t>
        </is>
      </c>
      <c r="F397" t="inlineStr">
        <is>
          <t>An approach to the teaching of psychiatric nursing in diploma and associate degree programs : a method for content integration and course development in the curriculum / Joan E. Walsh and Cecelia Monat Taylor.</t>
        </is>
      </c>
      <c r="H397" t="inlineStr">
        <is>
          <t>No</t>
        </is>
      </c>
      <c r="I397" t="inlineStr">
        <is>
          <t>1</t>
        </is>
      </c>
      <c r="J397" t="inlineStr">
        <is>
          <t>No</t>
        </is>
      </c>
      <c r="K397" t="inlineStr">
        <is>
          <t>No</t>
        </is>
      </c>
      <c r="L397" t="inlineStr">
        <is>
          <t>0</t>
        </is>
      </c>
      <c r="M397" t="inlineStr">
        <is>
          <t>Walsh, Joan E.</t>
        </is>
      </c>
      <c r="N397" t="inlineStr">
        <is>
          <t>New York : National League for Nursing, Division of Research and Development, 1968.</t>
        </is>
      </c>
      <c r="O397" t="inlineStr">
        <is>
          <t>1968</t>
        </is>
      </c>
      <c r="Q397" t="inlineStr">
        <is>
          <t>eng</t>
        </is>
      </c>
      <c r="R397" t="inlineStr">
        <is>
          <t>nyu</t>
        </is>
      </c>
      <c r="S397" t="inlineStr">
        <is>
          <t>NLN pub. no. 19-1336</t>
        </is>
      </c>
      <c r="T397" t="inlineStr">
        <is>
          <t xml:space="preserve">WY </t>
        </is>
      </c>
      <c r="U397" t="n">
        <v>1</v>
      </c>
      <c r="V397" t="n">
        <v>1</v>
      </c>
      <c r="W397" t="inlineStr">
        <is>
          <t>1990-08-29</t>
        </is>
      </c>
      <c r="X397" t="inlineStr">
        <is>
          <t>1990-08-29</t>
        </is>
      </c>
      <c r="Y397" t="inlineStr">
        <is>
          <t>1987-11-03</t>
        </is>
      </c>
      <c r="Z397" t="inlineStr">
        <is>
          <t>1987-11-03</t>
        </is>
      </c>
      <c r="AA397" t="n">
        <v>61</v>
      </c>
      <c r="AB397" t="n">
        <v>54</v>
      </c>
      <c r="AC397" t="n">
        <v>57</v>
      </c>
      <c r="AD397" t="n">
        <v>3</v>
      </c>
      <c r="AE397" t="n">
        <v>3</v>
      </c>
      <c r="AF397" t="n">
        <v>3</v>
      </c>
      <c r="AG397" t="n">
        <v>3</v>
      </c>
      <c r="AH397" t="n">
        <v>0</v>
      </c>
      <c r="AI397" t="n">
        <v>0</v>
      </c>
      <c r="AJ397" t="n">
        <v>0</v>
      </c>
      <c r="AK397" t="n">
        <v>0</v>
      </c>
      <c r="AL397" t="n">
        <v>2</v>
      </c>
      <c r="AM397" t="n">
        <v>2</v>
      </c>
      <c r="AN397" t="n">
        <v>1</v>
      </c>
      <c r="AO397" t="n">
        <v>1</v>
      </c>
      <c r="AP397" t="n">
        <v>0</v>
      </c>
      <c r="AQ397" t="n">
        <v>0</v>
      </c>
      <c r="AR397" t="inlineStr">
        <is>
          <t>No</t>
        </is>
      </c>
      <c r="AS397" t="inlineStr">
        <is>
          <t>Yes</t>
        </is>
      </c>
      <c r="AT397">
        <f>HYPERLINK("http://catalog.hathitrust.org/Record/001563727","HathiTrust Record")</f>
        <v/>
      </c>
      <c r="AU397">
        <f>HYPERLINK("https://creighton-primo.hosted.exlibrisgroup.com/primo-explore/search?tab=default_tab&amp;search_scope=EVERYTHING&amp;vid=01CRU&amp;lang=en_US&amp;offset=0&amp;query=any,contains,991001380579702656","Catalog Record")</f>
        <v/>
      </c>
      <c r="AV397">
        <f>HYPERLINK("http://www.worldcat.org/oclc/219719","WorldCat Record")</f>
        <v/>
      </c>
      <c r="AW397" t="inlineStr">
        <is>
          <t>1319347:eng</t>
        </is>
      </c>
      <c r="AX397" t="inlineStr">
        <is>
          <t>219719</t>
        </is>
      </c>
      <c r="AY397" t="inlineStr">
        <is>
          <t>991001380579702656</t>
        </is>
      </c>
      <c r="AZ397" t="inlineStr">
        <is>
          <t>991001380579702656</t>
        </is>
      </c>
      <c r="BA397" t="inlineStr">
        <is>
          <t>2265204940002656</t>
        </is>
      </c>
      <c r="BB397" t="inlineStr">
        <is>
          <t>BOOK</t>
        </is>
      </c>
      <c r="BE397" t="inlineStr">
        <is>
          <t>30001000462632</t>
        </is>
      </c>
      <c r="BF397" t="inlineStr">
        <is>
          <t>893633002</t>
        </is>
      </c>
    </row>
    <row r="398">
      <c r="A398" t="inlineStr">
        <is>
          <t>No</t>
        </is>
      </c>
      <c r="B398" t="inlineStr">
        <is>
          <t>CUHSL</t>
        </is>
      </c>
      <c r="C398" t="inlineStr">
        <is>
          <t>SHELVES</t>
        </is>
      </c>
      <c r="D398" t="inlineStr">
        <is>
          <t>WY 18 W226w 1975</t>
        </is>
      </c>
      <c r="E398" t="inlineStr">
        <is>
          <t>0                      WY 0018000W  226w        1975</t>
        </is>
      </c>
      <c r="F398" t="inlineStr">
        <is>
          <t>Why nursing education programs should be accredited / Margaret E. Walsh.</t>
        </is>
      </c>
      <c r="H398" t="inlineStr">
        <is>
          <t>No</t>
        </is>
      </c>
      <c r="I398" t="inlineStr">
        <is>
          <t>1</t>
        </is>
      </c>
      <c r="J398" t="inlineStr">
        <is>
          <t>No</t>
        </is>
      </c>
      <c r="K398" t="inlineStr">
        <is>
          <t>No</t>
        </is>
      </c>
      <c r="L398" t="inlineStr">
        <is>
          <t>0</t>
        </is>
      </c>
      <c r="M398" t="inlineStr">
        <is>
          <t>Walsh, Margaret E.</t>
        </is>
      </c>
      <c r="N398" t="inlineStr">
        <is>
          <t>New York : National League for Nursing, Division of Nursing, [c1975]</t>
        </is>
      </c>
      <c r="O398" t="inlineStr">
        <is>
          <t>1975</t>
        </is>
      </c>
      <c r="Q398" t="inlineStr">
        <is>
          <t>eng</t>
        </is>
      </c>
      <c r="R398" t="inlineStr">
        <is>
          <t>nyu</t>
        </is>
      </c>
      <c r="S398" t="inlineStr">
        <is>
          <t>NLN pub. no. 14-1597</t>
        </is>
      </c>
      <c r="T398" t="inlineStr">
        <is>
          <t xml:space="preserve">WY </t>
        </is>
      </c>
      <c r="U398" t="n">
        <v>1</v>
      </c>
      <c r="V398" t="n">
        <v>1</v>
      </c>
      <c r="W398" t="inlineStr">
        <is>
          <t>1990-04-20</t>
        </is>
      </c>
      <c r="X398" t="inlineStr">
        <is>
          <t>1990-04-20</t>
        </is>
      </c>
      <c r="Y398" t="inlineStr">
        <is>
          <t>1987-10-14</t>
        </is>
      </c>
      <c r="Z398" t="inlineStr">
        <is>
          <t>1987-10-14</t>
        </is>
      </c>
      <c r="AA398" t="n">
        <v>63</v>
      </c>
      <c r="AB398" t="n">
        <v>52</v>
      </c>
      <c r="AC398" t="n">
        <v>52</v>
      </c>
      <c r="AD398" t="n">
        <v>2</v>
      </c>
      <c r="AE398" t="n">
        <v>2</v>
      </c>
      <c r="AF398" t="n">
        <v>3</v>
      </c>
      <c r="AG398" t="n">
        <v>3</v>
      </c>
      <c r="AH398" t="n">
        <v>0</v>
      </c>
      <c r="AI398" t="n">
        <v>0</v>
      </c>
      <c r="AJ398" t="n">
        <v>0</v>
      </c>
      <c r="AK398" t="n">
        <v>0</v>
      </c>
      <c r="AL398" t="n">
        <v>2</v>
      </c>
      <c r="AM398" t="n">
        <v>2</v>
      </c>
      <c r="AN398" t="n">
        <v>1</v>
      </c>
      <c r="AO398" t="n">
        <v>1</v>
      </c>
      <c r="AP398" t="n">
        <v>0</v>
      </c>
      <c r="AQ398" t="n">
        <v>0</v>
      </c>
      <c r="AR398" t="inlineStr">
        <is>
          <t>No</t>
        </is>
      </c>
      <c r="AS398" t="inlineStr">
        <is>
          <t>No</t>
        </is>
      </c>
      <c r="AU398">
        <f>HYPERLINK("https://creighton-primo.hosted.exlibrisgroup.com/primo-explore/search?tab=default_tab&amp;search_scope=EVERYTHING&amp;vid=01CRU&amp;lang=en_US&amp;offset=0&amp;query=any,contains,991001363389702656","Catalog Record")</f>
        <v/>
      </c>
      <c r="AV398">
        <f>HYPERLINK("http://www.worldcat.org/oclc/1926872","WorldCat Record")</f>
        <v/>
      </c>
      <c r="AW398" t="inlineStr">
        <is>
          <t>2724194:eng</t>
        </is>
      </c>
      <c r="AX398" t="inlineStr">
        <is>
          <t>1926872</t>
        </is>
      </c>
      <c r="AY398" t="inlineStr">
        <is>
          <t>991001363389702656</t>
        </is>
      </c>
      <c r="AZ398" t="inlineStr">
        <is>
          <t>991001363389702656</t>
        </is>
      </c>
      <c r="BA398" t="inlineStr">
        <is>
          <t>2255876760002656</t>
        </is>
      </c>
      <c r="BB398" t="inlineStr">
        <is>
          <t>BOOK</t>
        </is>
      </c>
      <c r="BE398" t="inlineStr">
        <is>
          <t>30001000461055</t>
        </is>
      </c>
      <c r="BF398" t="inlineStr">
        <is>
          <t>893358507</t>
        </is>
      </c>
    </row>
    <row r="399">
      <c r="A399" t="inlineStr">
        <is>
          <t>No</t>
        </is>
      </c>
      <c r="B399" t="inlineStr">
        <is>
          <t>CUHSL</t>
        </is>
      </c>
      <c r="C399" t="inlineStr">
        <is>
          <t>SHELVES</t>
        </is>
      </c>
      <c r="D399" t="inlineStr">
        <is>
          <t>WY 18 W583 1961</t>
        </is>
      </c>
      <c r="E399" t="inlineStr">
        <is>
          <t>0                      WY 0018000W  583         1961</t>
        </is>
      </c>
      <c r="F399" t="inlineStr">
        <is>
          <t>Abilities needed by teachers of nursing in community colleges / Dorothy T. White.</t>
        </is>
      </c>
      <c r="H399" t="inlineStr">
        <is>
          <t>No</t>
        </is>
      </c>
      <c r="I399" t="inlineStr">
        <is>
          <t>1</t>
        </is>
      </c>
      <c r="J399" t="inlineStr">
        <is>
          <t>No</t>
        </is>
      </c>
      <c r="K399" t="inlineStr">
        <is>
          <t>No</t>
        </is>
      </c>
      <c r="L399" t="inlineStr">
        <is>
          <t>0</t>
        </is>
      </c>
      <c r="M399" t="inlineStr">
        <is>
          <t>White, Dorothy T.</t>
        </is>
      </c>
      <c r="N399" t="inlineStr">
        <is>
          <t>New York : National League for Nursing, Division of Nursing Education, 1961.</t>
        </is>
      </c>
      <c r="O399" t="inlineStr">
        <is>
          <t>1961</t>
        </is>
      </c>
      <c r="Q399" t="inlineStr">
        <is>
          <t>eng</t>
        </is>
      </c>
      <c r="R399" t="inlineStr">
        <is>
          <t>nyu</t>
        </is>
      </c>
      <c r="S399" t="inlineStr">
        <is>
          <t>League exchange, no. 56</t>
        </is>
      </c>
      <c r="T399" t="inlineStr">
        <is>
          <t xml:space="preserve">WY </t>
        </is>
      </c>
      <c r="U399" t="n">
        <v>2</v>
      </c>
      <c r="V399" t="n">
        <v>2</v>
      </c>
      <c r="W399" t="inlineStr">
        <is>
          <t>1990-04-30</t>
        </is>
      </c>
      <c r="X399" t="inlineStr">
        <is>
          <t>1990-04-30</t>
        </is>
      </c>
      <c r="Y399" t="inlineStr">
        <is>
          <t>1987-10-13</t>
        </is>
      </c>
      <c r="Z399" t="inlineStr">
        <is>
          <t>1987-10-13</t>
        </is>
      </c>
      <c r="AA399" t="n">
        <v>29</v>
      </c>
      <c r="AB399" t="n">
        <v>27</v>
      </c>
      <c r="AC399" t="n">
        <v>29</v>
      </c>
      <c r="AD399" t="n">
        <v>1</v>
      </c>
      <c r="AE399" t="n">
        <v>1</v>
      </c>
      <c r="AF399" t="n">
        <v>2</v>
      </c>
      <c r="AG399" t="n">
        <v>2</v>
      </c>
      <c r="AH399" t="n">
        <v>0</v>
      </c>
      <c r="AI399" t="n">
        <v>0</v>
      </c>
      <c r="AJ399" t="n">
        <v>1</v>
      </c>
      <c r="AK399" t="n">
        <v>1</v>
      </c>
      <c r="AL399" t="n">
        <v>1</v>
      </c>
      <c r="AM399" t="n">
        <v>1</v>
      </c>
      <c r="AN399" t="n">
        <v>0</v>
      </c>
      <c r="AO399" t="n">
        <v>0</v>
      </c>
      <c r="AP399" t="n">
        <v>0</v>
      </c>
      <c r="AQ399" t="n">
        <v>0</v>
      </c>
      <c r="AR399" t="inlineStr">
        <is>
          <t>No</t>
        </is>
      </c>
      <c r="AS399" t="inlineStr">
        <is>
          <t>No</t>
        </is>
      </c>
      <c r="AT399">
        <f>HYPERLINK("http://catalog.hathitrust.org/Record/002091974","HathiTrust Record")</f>
        <v/>
      </c>
      <c r="AU399">
        <f>HYPERLINK("https://creighton-primo.hosted.exlibrisgroup.com/primo-explore/search?tab=default_tab&amp;search_scope=EVERYTHING&amp;vid=01CRU&amp;lang=en_US&amp;offset=0&amp;query=any,contains,991001362069702656","Catalog Record")</f>
        <v/>
      </c>
      <c r="AV399">
        <f>HYPERLINK("http://www.worldcat.org/oclc/1885453","WorldCat Record")</f>
        <v/>
      </c>
      <c r="AW399" t="inlineStr">
        <is>
          <t>3148173:eng</t>
        </is>
      </c>
      <c r="AX399" t="inlineStr">
        <is>
          <t>1885453</t>
        </is>
      </c>
      <c r="AY399" t="inlineStr">
        <is>
          <t>991001362069702656</t>
        </is>
      </c>
      <c r="AZ399" t="inlineStr">
        <is>
          <t>991001362069702656</t>
        </is>
      </c>
      <c r="BA399" t="inlineStr">
        <is>
          <t>2257061630002656</t>
        </is>
      </c>
      <c r="BB399" t="inlineStr">
        <is>
          <t>BOOK</t>
        </is>
      </c>
      <c r="BE399" t="inlineStr">
        <is>
          <t>30001000460925</t>
        </is>
      </c>
      <c r="BF399" t="inlineStr">
        <is>
          <t>893649140</t>
        </is>
      </c>
    </row>
    <row r="400">
      <c r="A400" t="inlineStr">
        <is>
          <t>No</t>
        </is>
      </c>
      <c r="B400" t="inlineStr">
        <is>
          <t>CUHSL</t>
        </is>
      </c>
      <c r="C400" t="inlineStr">
        <is>
          <t>SHELVES</t>
        </is>
      </c>
      <c r="D400" t="inlineStr">
        <is>
          <t>WY 18 W854s 1978</t>
        </is>
      </c>
      <c r="E400" t="inlineStr">
        <is>
          <t>0                      WY 0018000W  854s        1978</t>
        </is>
      </c>
      <c r="F400" t="inlineStr">
        <is>
          <t>Simulations/games : a teaching strategy for nursing education / Margret S. Wolf, Mary E. Duffy.</t>
        </is>
      </c>
      <c r="H400" t="inlineStr">
        <is>
          <t>No</t>
        </is>
      </c>
      <c r="I400" t="inlineStr">
        <is>
          <t>1</t>
        </is>
      </c>
      <c r="J400" t="inlineStr">
        <is>
          <t>No</t>
        </is>
      </c>
      <c r="K400" t="inlineStr">
        <is>
          <t>No</t>
        </is>
      </c>
      <c r="L400" t="inlineStr">
        <is>
          <t>0</t>
        </is>
      </c>
      <c r="M400" t="inlineStr">
        <is>
          <t>Wolf, Margret S.</t>
        </is>
      </c>
      <c r="N400" t="inlineStr">
        <is>
          <t>New York : National League for Nursing, c1979.</t>
        </is>
      </c>
      <c r="O400" t="inlineStr">
        <is>
          <t>1978</t>
        </is>
      </c>
      <c r="Q400" t="inlineStr">
        <is>
          <t>eng</t>
        </is>
      </c>
      <c r="R400" t="inlineStr">
        <is>
          <t>nyu</t>
        </is>
      </c>
      <c r="S400" t="inlineStr">
        <is>
          <t>NLN pub. no. 23-1756</t>
        </is>
      </c>
      <c r="T400" t="inlineStr">
        <is>
          <t xml:space="preserve">WY </t>
        </is>
      </c>
      <c r="U400" t="n">
        <v>2</v>
      </c>
      <c r="V400" t="n">
        <v>2</v>
      </c>
      <c r="W400" t="inlineStr">
        <is>
          <t>1992-04-03</t>
        </is>
      </c>
      <c r="X400" t="inlineStr">
        <is>
          <t>1992-04-03</t>
        </is>
      </c>
      <c r="Y400" t="inlineStr">
        <is>
          <t>1987-11-09</t>
        </is>
      </c>
      <c r="Z400" t="inlineStr">
        <is>
          <t>1987-11-09</t>
        </is>
      </c>
      <c r="AA400" t="n">
        <v>121</v>
      </c>
      <c r="AB400" t="n">
        <v>104</v>
      </c>
      <c r="AC400" t="n">
        <v>106</v>
      </c>
      <c r="AD400" t="n">
        <v>1</v>
      </c>
      <c r="AE400" t="n">
        <v>1</v>
      </c>
      <c r="AF400" t="n">
        <v>4</v>
      </c>
      <c r="AG400" t="n">
        <v>4</v>
      </c>
      <c r="AH400" t="n">
        <v>1</v>
      </c>
      <c r="AI400" t="n">
        <v>1</v>
      </c>
      <c r="AJ400" t="n">
        <v>1</v>
      </c>
      <c r="AK400" t="n">
        <v>1</v>
      </c>
      <c r="AL400" t="n">
        <v>3</v>
      </c>
      <c r="AM400" t="n">
        <v>3</v>
      </c>
      <c r="AN400" t="n">
        <v>0</v>
      </c>
      <c r="AO400" t="n">
        <v>0</v>
      </c>
      <c r="AP400" t="n">
        <v>0</v>
      </c>
      <c r="AQ400" t="n">
        <v>0</v>
      </c>
      <c r="AR400" t="inlineStr">
        <is>
          <t>No</t>
        </is>
      </c>
      <c r="AS400" t="inlineStr">
        <is>
          <t>Yes</t>
        </is>
      </c>
      <c r="AT400">
        <f>HYPERLINK("http://catalog.hathitrust.org/Record/000260896","HathiTrust Record")</f>
        <v/>
      </c>
      <c r="AU400">
        <f>HYPERLINK("https://creighton-primo.hosted.exlibrisgroup.com/primo-explore/search?tab=default_tab&amp;search_scope=EVERYTHING&amp;vid=01CRU&amp;lang=en_US&amp;offset=0&amp;query=any,contains,991001388489702656","Catalog Record")</f>
        <v/>
      </c>
      <c r="AV400">
        <f>HYPERLINK("http://www.worldcat.org/oclc/5446016","WorldCat Record")</f>
        <v/>
      </c>
      <c r="AW400" t="inlineStr">
        <is>
          <t>18047799:eng</t>
        </is>
      </c>
      <c r="AX400" t="inlineStr">
        <is>
          <t>5446016</t>
        </is>
      </c>
      <c r="AY400" t="inlineStr">
        <is>
          <t>991001388489702656</t>
        </is>
      </c>
      <c r="AZ400" t="inlineStr">
        <is>
          <t>991001388489702656</t>
        </is>
      </c>
      <c r="BA400" t="inlineStr">
        <is>
          <t>2257549660002656</t>
        </is>
      </c>
      <c r="BB400" t="inlineStr">
        <is>
          <t>BOOK</t>
        </is>
      </c>
      <c r="BE400" t="inlineStr">
        <is>
          <t>30001000464331</t>
        </is>
      </c>
      <c r="BF400" t="inlineStr">
        <is>
          <t>893643540</t>
        </is>
      </c>
    </row>
    <row r="401">
      <c r="A401" t="inlineStr">
        <is>
          <t>No</t>
        </is>
      </c>
      <c r="B401" t="inlineStr">
        <is>
          <t>CUHSL</t>
        </is>
      </c>
      <c r="C401" t="inlineStr">
        <is>
          <t>SHELVES</t>
        </is>
      </c>
      <c r="D401" t="inlineStr">
        <is>
          <t>WY 18 Y95o 1975</t>
        </is>
      </c>
      <c r="E401" t="inlineStr">
        <is>
          <t>0                      WY 0018000Y  95o         1975</t>
        </is>
      </c>
      <c r="F401" t="inlineStr">
        <is>
          <t>One decade of accreditation statistics, 1964-1974 / Helen Yura.</t>
        </is>
      </c>
      <c r="H401" t="inlineStr">
        <is>
          <t>No</t>
        </is>
      </c>
      <c r="I401" t="inlineStr">
        <is>
          <t>1</t>
        </is>
      </c>
      <c r="J401" t="inlineStr">
        <is>
          <t>No</t>
        </is>
      </c>
      <c r="K401" t="inlineStr">
        <is>
          <t>No</t>
        </is>
      </c>
      <c r="L401" t="inlineStr">
        <is>
          <t>0</t>
        </is>
      </c>
      <c r="M401" t="inlineStr">
        <is>
          <t>Petro-Yura, Helen, 1929-</t>
        </is>
      </c>
      <c r="N401" t="inlineStr">
        <is>
          <t>New York : Dept. of Baccalaureate and Higher Degree Programs, National League for Nursing, c1975.</t>
        </is>
      </c>
      <c r="O401" t="inlineStr">
        <is>
          <t>1975</t>
        </is>
      </c>
      <c r="Q401" t="inlineStr">
        <is>
          <t>eng</t>
        </is>
      </c>
      <c r="R401" t="inlineStr">
        <is>
          <t>nyu</t>
        </is>
      </c>
      <c r="T401" t="inlineStr">
        <is>
          <t xml:space="preserve">WY </t>
        </is>
      </c>
      <c r="U401" t="n">
        <v>5</v>
      </c>
      <c r="V401" t="n">
        <v>5</v>
      </c>
      <c r="W401" t="inlineStr">
        <is>
          <t>1990-04-30</t>
        </is>
      </c>
      <c r="X401" t="inlineStr">
        <is>
          <t>1990-04-30</t>
        </is>
      </c>
      <c r="Y401" t="inlineStr">
        <is>
          <t>1987-10-21</t>
        </is>
      </c>
      <c r="Z401" t="inlineStr">
        <is>
          <t>1987-10-21</t>
        </is>
      </c>
      <c r="AA401" t="n">
        <v>73</v>
      </c>
      <c r="AB401" t="n">
        <v>66</v>
      </c>
      <c r="AC401" t="n">
        <v>66</v>
      </c>
      <c r="AD401" t="n">
        <v>1</v>
      </c>
      <c r="AE401" t="n">
        <v>1</v>
      </c>
      <c r="AF401" t="n">
        <v>3</v>
      </c>
      <c r="AG401" t="n">
        <v>3</v>
      </c>
      <c r="AH401" t="n">
        <v>0</v>
      </c>
      <c r="AI401" t="n">
        <v>0</v>
      </c>
      <c r="AJ401" t="n">
        <v>0</v>
      </c>
      <c r="AK401" t="n">
        <v>0</v>
      </c>
      <c r="AL401" t="n">
        <v>3</v>
      </c>
      <c r="AM401" t="n">
        <v>3</v>
      </c>
      <c r="AN401" t="n">
        <v>0</v>
      </c>
      <c r="AO401" t="n">
        <v>0</v>
      </c>
      <c r="AP401" t="n">
        <v>0</v>
      </c>
      <c r="AQ401" t="n">
        <v>0</v>
      </c>
      <c r="AR401" t="inlineStr">
        <is>
          <t>No</t>
        </is>
      </c>
      <c r="AS401" t="inlineStr">
        <is>
          <t>No</t>
        </is>
      </c>
      <c r="AU401">
        <f>HYPERLINK("https://creighton-primo.hosted.exlibrisgroup.com/primo-explore/search?tab=default_tab&amp;search_scope=EVERYTHING&amp;vid=01CRU&amp;lang=en_US&amp;offset=0&amp;query=any,contains,991001369139702656","Catalog Record")</f>
        <v/>
      </c>
      <c r="AV401">
        <f>HYPERLINK("http://www.worldcat.org/oclc/2729015","WorldCat Record")</f>
        <v/>
      </c>
      <c r="AW401" t="inlineStr">
        <is>
          <t>2724046:eng</t>
        </is>
      </c>
      <c r="AX401" t="inlineStr">
        <is>
          <t>2729015</t>
        </is>
      </c>
      <c r="AY401" t="inlineStr">
        <is>
          <t>991001369139702656</t>
        </is>
      </c>
      <c r="AZ401" t="inlineStr">
        <is>
          <t>991001369139702656</t>
        </is>
      </c>
      <c r="BA401" t="inlineStr">
        <is>
          <t>2267372780002656</t>
        </is>
      </c>
      <c r="BB401" t="inlineStr">
        <is>
          <t>BOOK</t>
        </is>
      </c>
      <c r="BE401" t="inlineStr">
        <is>
          <t>30001000461592</t>
        </is>
      </c>
      <c r="BF401" t="inlineStr">
        <is>
          <t>893274055</t>
        </is>
      </c>
    </row>
    <row r="402">
      <c r="A402" t="inlineStr">
        <is>
          <t>No</t>
        </is>
      </c>
      <c r="B402" t="inlineStr">
        <is>
          <t>CUHSL</t>
        </is>
      </c>
      <c r="C402" t="inlineStr">
        <is>
          <t>SHELVES</t>
        </is>
      </c>
      <c r="D402" t="inlineStr">
        <is>
          <t>WY 18 Z73o 1958</t>
        </is>
      </c>
      <c r="E402" t="inlineStr">
        <is>
          <t>0                      WY 0018000Z  73o         1958</t>
        </is>
      </c>
      <c r="F402" t="inlineStr">
        <is>
          <t>Orientation of graduates of associate degree programs to hospital nursing service.</t>
        </is>
      </c>
      <c r="H402" t="inlineStr">
        <is>
          <t>No</t>
        </is>
      </c>
      <c r="I402" t="inlineStr">
        <is>
          <t>1</t>
        </is>
      </c>
      <c r="J402" t="inlineStr">
        <is>
          <t>No</t>
        </is>
      </c>
      <c r="K402" t="inlineStr">
        <is>
          <t>No</t>
        </is>
      </c>
      <c r="L402" t="inlineStr">
        <is>
          <t>0</t>
        </is>
      </c>
      <c r="M402" t="inlineStr">
        <is>
          <t>Zimmerman, Esther D.</t>
        </is>
      </c>
      <c r="N402" t="inlineStr">
        <is>
          <t>New York : National League for Nursing, 1959.</t>
        </is>
      </c>
      <c r="O402" t="inlineStr">
        <is>
          <t>1958</t>
        </is>
      </c>
      <c r="Q402" t="inlineStr">
        <is>
          <t>eng</t>
        </is>
      </c>
      <c r="R402" t="inlineStr">
        <is>
          <t>nyu</t>
        </is>
      </c>
      <c r="S402" t="inlineStr">
        <is>
          <t>League exchange ; no.41</t>
        </is>
      </c>
      <c r="T402" t="inlineStr">
        <is>
          <t xml:space="preserve">WY </t>
        </is>
      </c>
      <c r="U402" t="n">
        <v>2</v>
      </c>
      <c r="V402" t="n">
        <v>2</v>
      </c>
      <c r="W402" t="inlineStr">
        <is>
          <t>1990-06-25</t>
        </is>
      </c>
      <c r="X402" t="inlineStr">
        <is>
          <t>1990-06-25</t>
        </is>
      </c>
      <c r="Y402" t="inlineStr">
        <is>
          <t>1987-11-04</t>
        </is>
      </c>
      <c r="Z402" t="inlineStr">
        <is>
          <t>1987-11-04</t>
        </is>
      </c>
      <c r="AA402" t="n">
        <v>20</v>
      </c>
      <c r="AB402" t="n">
        <v>18</v>
      </c>
      <c r="AC402" t="n">
        <v>26</v>
      </c>
      <c r="AD402" t="n">
        <v>1</v>
      </c>
      <c r="AE402" t="n">
        <v>1</v>
      </c>
      <c r="AF402" t="n">
        <v>2</v>
      </c>
      <c r="AG402" t="n">
        <v>2</v>
      </c>
      <c r="AH402" t="n">
        <v>0</v>
      </c>
      <c r="AI402" t="n">
        <v>0</v>
      </c>
      <c r="AJ402" t="n">
        <v>0</v>
      </c>
      <c r="AK402" t="n">
        <v>0</v>
      </c>
      <c r="AL402" t="n">
        <v>2</v>
      </c>
      <c r="AM402" t="n">
        <v>2</v>
      </c>
      <c r="AN402" t="n">
        <v>0</v>
      </c>
      <c r="AO402" t="n">
        <v>0</v>
      </c>
      <c r="AP402" t="n">
        <v>0</v>
      </c>
      <c r="AQ402" t="n">
        <v>0</v>
      </c>
      <c r="AR402" t="inlineStr">
        <is>
          <t>Yes</t>
        </is>
      </c>
      <c r="AS402" t="inlineStr">
        <is>
          <t>No</t>
        </is>
      </c>
      <c r="AT402">
        <f>HYPERLINK("http://catalog.hathitrust.org/Record/002071730","HathiTrust Record")</f>
        <v/>
      </c>
      <c r="AU402">
        <f>HYPERLINK("https://creighton-primo.hosted.exlibrisgroup.com/primo-explore/search?tab=default_tab&amp;search_scope=EVERYTHING&amp;vid=01CRU&amp;lang=en_US&amp;offset=0&amp;query=any,contains,991001383619702656","Catalog Record")</f>
        <v/>
      </c>
      <c r="AV402">
        <f>HYPERLINK("http://www.worldcat.org/oclc/1202034","WorldCat Record")</f>
        <v/>
      </c>
      <c r="AW402" t="inlineStr">
        <is>
          <t>2084927:eng</t>
        </is>
      </c>
      <c r="AX402" t="inlineStr">
        <is>
          <t>1202034</t>
        </is>
      </c>
      <c r="AY402" t="inlineStr">
        <is>
          <t>991001383619702656</t>
        </is>
      </c>
      <c r="AZ402" t="inlineStr">
        <is>
          <t>991001383619702656</t>
        </is>
      </c>
      <c r="BA402" t="inlineStr">
        <is>
          <t>2271412360002656</t>
        </is>
      </c>
      <c r="BB402" t="inlineStr">
        <is>
          <t>BOOK</t>
        </is>
      </c>
      <c r="BE402" t="inlineStr">
        <is>
          <t>30001000463234</t>
        </is>
      </c>
      <c r="BF402" t="inlineStr">
        <is>
          <t>893467936</t>
        </is>
      </c>
    </row>
    <row r="403">
      <c r="A403" t="inlineStr">
        <is>
          <t>No</t>
        </is>
      </c>
      <c r="B403" t="inlineStr">
        <is>
          <t>CUHSL</t>
        </is>
      </c>
      <c r="C403" t="inlineStr">
        <is>
          <t>SHELVES</t>
        </is>
      </c>
      <c r="D403" t="inlineStr">
        <is>
          <t>WY18.2 B598L 2002</t>
        </is>
      </c>
      <c r="E403" t="inlineStr">
        <is>
          <t>0                      WY 0018200B  598L        2002</t>
        </is>
      </c>
      <c r="F403" t="inlineStr">
        <is>
          <t>Lippincott's review for NCLEX-RN.</t>
        </is>
      </c>
      <c r="H403" t="inlineStr">
        <is>
          <t>No</t>
        </is>
      </c>
      <c r="I403" t="inlineStr">
        <is>
          <t>1</t>
        </is>
      </c>
      <c r="J403" t="inlineStr">
        <is>
          <t>No</t>
        </is>
      </c>
      <c r="K403" t="inlineStr">
        <is>
          <t>No</t>
        </is>
      </c>
      <c r="L403" t="inlineStr">
        <is>
          <t>0</t>
        </is>
      </c>
      <c r="M403" t="inlineStr">
        <is>
          <t>Billings, Diane McGovern.</t>
        </is>
      </c>
      <c r="N403" t="inlineStr">
        <is>
          <t>Philadelphia : Lippincott, c2002.</t>
        </is>
      </c>
      <c r="O403" t="inlineStr">
        <is>
          <t>2002</t>
        </is>
      </c>
      <c r="P403" t="inlineStr">
        <is>
          <t>7th ed. / Diane M. Billings.</t>
        </is>
      </c>
      <c r="Q403" t="inlineStr">
        <is>
          <t>eng</t>
        </is>
      </c>
      <c r="R403" t="inlineStr">
        <is>
          <t>pau</t>
        </is>
      </c>
      <c r="T403" t="inlineStr">
        <is>
          <t xml:space="preserve">WY </t>
        </is>
      </c>
      <c r="U403" t="n">
        <v>30</v>
      </c>
      <c r="V403" t="n">
        <v>30</v>
      </c>
      <c r="W403" t="inlineStr">
        <is>
          <t>2008-09-14</t>
        </is>
      </c>
      <c r="X403" t="inlineStr">
        <is>
          <t>2008-09-14</t>
        </is>
      </c>
      <c r="Y403" t="inlineStr">
        <is>
          <t>2002-04-16</t>
        </is>
      </c>
      <c r="Z403" t="inlineStr">
        <is>
          <t>2002-04-16</t>
        </is>
      </c>
      <c r="AA403" t="n">
        <v>209</v>
      </c>
      <c r="AB403" t="n">
        <v>174</v>
      </c>
      <c r="AC403" t="n">
        <v>174</v>
      </c>
      <c r="AD403" t="n">
        <v>1</v>
      </c>
      <c r="AE403" t="n">
        <v>1</v>
      </c>
      <c r="AF403" t="n">
        <v>3</v>
      </c>
      <c r="AG403" t="n">
        <v>3</v>
      </c>
      <c r="AH403" t="n">
        <v>0</v>
      </c>
      <c r="AI403" t="n">
        <v>0</v>
      </c>
      <c r="AJ403" t="n">
        <v>2</v>
      </c>
      <c r="AK403" t="n">
        <v>2</v>
      </c>
      <c r="AL403" t="n">
        <v>2</v>
      </c>
      <c r="AM403" t="n">
        <v>2</v>
      </c>
      <c r="AN403" t="n">
        <v>0</v>
      </c>
      <c r="AO403" t="n">
        <v>0</v>
      </c>
      <c r="AP403" t="n">
        <v>0</v>
      </c>
      <c r="AQ403" t="n">
        <v>0</v>
      </c>
      <c r="AR403" t="inlineStr">
        <is>
          <t>No</t>
        </is>
      </c>
      <c r="AS403" t="inlineStr">
        <is>
          <t>No</t>
        </is>
      </c>
      <c r="AU403">
        <f>HYPERLINK("https://creighton-primo.hosted.exlibrisgroup.com/primo-explore/search?tab=default_tab&amp;search_scope=EVERYTHING&amp;vid=01CRU&amp;lang=en_US&amp;offset=0&amp;query=any,contains,991000307899702656","Catalog Record")</f>
        <v/>
      </c>
      <c r="AV403">
        <f>HYPERLINK("http://www.worldcat.org/oclc/46970619","WorldCat Record")</f>
        <v/>
      </c>
      <c r="AW403" t="inlineStr">
        <is>
          <t>5614121391:eng</t>
        </is>
      </c>
      <c r="AX403" t="inlineStr">
        <is>
          <t>46970619</t>
        </is>
      </c>
      <c r="AY403" t="inlineStr">
        <is>
          <t>991000307899702656</t>
        </is>
      </c>
      <c r="AZ403" t="inlineStr">
        <is>
          <t>991000307899702656</t>
        </is>
      </c>
      <c r="BA403" t="inlineStr">
        <is>
          <t>2257034230002656</t>
        </is>
      </c>
      <c r="BB403" t="inlineStr">
        <is>
          <t>BOOK</t>
        </is>
      </c>
      <c r="BD403" t="inlineStr">
        <is>
          <t>9780781730693</t>
        </is>
      </c>
      <c r="BE403" t="inlineStr">
        <is>
          <t>30001004237279</t>
        </is>
      </c>
      <c r="BF403" t="inlineStr">
        <is>
          <t>893633748</t>
        </is>
      </c>
    </row>
    <row r="404">
      <c r="A404" t="inlineStr">
        <is>
          <t>No</t>
        </is>
      </c>
      <c r="B404" t="inlineStr">
        <is>
          <t>CUHSL</t>
        </is>
      </c>
      <c r="C404" t="inlineStr">
        <is>
          <t>SHELVES</t>
        </is>
      </c>
      <c r="D404" t="inlineStr">
        <is>
          <t>WY 18.2 C7965 2004</t>
        </is>
      </c>
      <c r="E404" t="inlineStr">
        <is>
          <t>0                      WY 0018200C  7965        2004</t>
        </is>
      </c>
      <c r="F404" t="inlineStr">
        <is>
          <t>Core curriculum for maternal-newborn nursing / [edited by] Susan Mattson, Judy E. Smith.</t>
        </is>
      </c>
      <c r="H404" t="inlineStr">
        <is>
          <t>No</t>
        </is>
      </c>
      <c r="I404" t="inlineStr">
        <is>
          <t>2</t>
        </is>
      </c>
      <c r="J404" t="inlineStr">
        <is>
          <t>No</t>
        </is>
      </c>
      <c r="K404" t="inlineStr">
        <is>
          <t>Yes</t>
        </is>
      </c>
      <c r="L404" t="inlineStr">
        <is>
          <t>0</t>
        </is>
      </c>
      <c r="N404" t="inlineStr">
        <is>
          <t>St. Louis : Saunders, c2004.</t>
        </is>
      </c>
      <c r="O404" t="inlineStr">
        <is>
          <t>2004</t>
        </is>
      </c>
      <c r="P404" t="inlineStr">
        <is>
          <t>3rd ed.</t>
        </is>
      </c>
      <c r="Q404" t="inlineStr">
        <is>
          <t>eng</t>
        </is>
      </c>
      <c r="R404" t="inlineStr">
        <is>
          <t>mou</t>
        </is>
      </c>
      <c r="T404" t="inlineStr">
        <is>
          <t xml:space="preserve">WY </t>
        </is>
      </c>
      <c r="U404" t="n">
        <v>0</v>
      </c>
      <c r="V404" t="n">
        <v>0</v>
      </c>
      <c r="W404" t="inlineStr">
        <is>
          <t>2004-09-30</t>
        </is>
      </c>
      <c r="X404" t="inlineStr">
        <is>
          <t>2004-09-30</t>
        </is>
      </c>
      <c r="Y404" t="inlineStr">
        <is>
          <t>2004-09-29</t>
        </is>
      </c>
      <c r="Z404" t="inlineStr">
        <is>
          <t>2004-09-29</t>
        </is>
      </c>
      <c r="AA404" t="n">
        <v>237</v>
      </c>
      <c r="AB404" t="n">
        <v>186</v>
      </c>
      <c r="AC404" t="n">
        <v>600</v>
      </c>
      <c r="AD404" t="n">
        <v>1</v>
      </c>
      <c r="AE404" t="n">
        <v>4</v>
      </c>
      <c r="AF404" t="n">
        <v>10</v>
      </c>
      <c r="AG404" t="n">
        <v>25</v>
      </c>
      <c r="AH404" t="n">
        <v>3</v>
      </c>
      <c r="AI404" t="n">
        <v>11</v>
      </c>
      <c r="AJ404" t="n">
        <v>2</v>
      </c>
      <c r="AK404" t="n">
        <v>4</v>
      </c>
      <c r="AL404" t="n">
        <v>8</v>
      </c>
      <c r="AM404" t="n">
        <v>14</v>
      </c>
      <c r="AN404" t="n">
        <v>0</v>
      </c>
      <c r="AO404" t="n">
        <v>2</v>
      </c>
      <c r="AP404" t="n">
        <v>0</v>
      </c>
      <c r="AQ404" t="n">
        <v>0</v>
      </c>
      <c r="AR404" t="inlineStr">
        <is>
          <t>No</t>
        </is>
      </c>
      <c r="AS404" t="inlineStr">
        <is>
          <t>Yes</t>
        </is>
      </c>
      <c r="AT404">
        <f>HYPERLINK("http://catalog.hathitrust.org/Record/004738889","HathiTrust Record")</f>
        <v/>
      </c>
      <c r="AU404">
        <f>HYPERLINK("https://creighton-primo.hosted.exlibrisgroup.com/primo-explore/search?tab=default_tab&amp;search_scope=EVERYTHING&amp;vid=01CRU&amp;lang=en_US&amp;offset=0&amp;query=any,contains,991000388799702656","Catalog Record")</f>
        <v/>
      </c>
      <c r="AV404">
        <f>HYPERLINK("http://www.worldcat.org/oclc/54853036","WorldCat Record")</f>
        <v/>
      </c>
      <c r="AW404" t="inlineStr">
        <is>
          <t>502129510:eng</t>
        </is>
      </c>
      <c r="AX404" t="inlineStr">
        <is>
          <t>54853036</t>
        </is>
      </c>
      <c r="AY404" t="inlineStr">
        <is>
          <t>991000388799702656</t>
        </is>
      </c>
      <c r="AZ404" t="inlineStr">
        <is>
          <t>991000388799702656</t>
        </is>
      </c>
      <c r="BA404" t="inlineStr">
        <is>
          <t>2269404990002656</t>
        </is>
      </c>
      <c r="BB404" t="inlineStr">
        <is>
          <t>BOOK</t>
        </is>
      </c>
      <c r="BD404" t="inlineStr">
        <is>
          <t>9780721603223</t>
        </is>
      </c>
      <c r="BE404" t="inlineStr">
        <is>
          <t>30001004923613</t>
        </is>
      </c>
      <c r="BF404" t="inlineStr">
        <is>
          <t>893644355</t>
        </is>
      </c>
    </row>
    <row r="405">
      <c r="A405" t="inlineStr">
        <is>
          <t>No</t>
        </is>
      </c>
      <c r="B405" t="inlineStr">
        <is>
          <t>CUHSL</t>
        </is>
      </c>
      <c r="C405" t="inlineStr">
        <is>
          <t>SHELVES</t>
        </is>
      </c>
      <c r="D405" t="inlineStr">
        <is>
          <t>WY18.2 C7968 1999</t>
        </is>
      </c>
      <c r="E405" t="inlineStr">
        <is>
          <t>0                      WY 0018200C  7968        1999</t>
        </is>
      </c>
      <c r="F405" t="inlineStr">
        <is>
          <t>Core curriculum for neonatal intensive care nursing / edited by Jane Deacon, Patricia O'Neill. ; AWHONN (Association of Women's Health, Obstetric, and Neonatal Nurses), AACN (American Association of Critical-Care Nurses), NANN (National Association of Neonatal Nurses).</t>
        </is>
      </c>
      <c r="H405" t="inlineStr">
        <is>
          <t>No</t>
        </is>
      </c>
      <c r="I405" t="inlineStr">
        <is>
          <t>1</t>
        </is>
      </c>
      <c r="J405" t="inlineStr">
        <is>
          <t>Yes</t>
        </is>
      </c>
      <c r="K405" t="inlineStr">
        <is>
          <t>No</t>
        </is>
      </c>
      <c r="L405" t="inlineStr">
        <is>
          <t>0</t>
        </is>
      </c>
      <c r="N405" t="inlineStr">
        <is>
          <t>Philadelphia : Saunders, c1999.</t>
        </is>
      </c>
      <c r="O405" t="inlineStr">
        <is>
          <t>1999</t>
        </is>
      </c>
      <c r="P405" t="inlineStr">
        <is>
          <t>2nd ed.</t>
        </is>
      </c>
      <c r="Q405" t="inlineStr">
        <is>
          <t>eng</t>
        </is>
      </c>
      <c r="R405" t="inlineStr">
        <is>
          <t>pau</t>
        </is>
      </c>
      <c r="T405" t="inlineStr">
        <is>
          <t xml:space="preserve">WY </t>
        </is>
      </c>
      <c r="U405" t="n">
        <v>2</v>
      </c>
      <c r="V405" t="n">
        <v>2</v>
      </c>
      <c r="W405" t="inlineStr">
        <is>
          <t>2007-09-12</t>
        </is>
      </c>
      <c r="X405" t="inlineStr">
        <is>
          <t>2007-09-12</t>
        </is>
      </c>
      <c r="Y405" t="inlineStr">
        <is>
          <t>2001-01-12</t>
        </is>
      </c>
      <c r="Z405" t="inlineStr">
        <is>
          <t>2002-06-28</t>
        </is>
      </c>
      <c r="AA405" t="n">
        <v>170</v>
      </c>
      <c r="AB405" t="n">
        <v>128</v>
      </c>
      <c r="AC405" t="n">
        <v>232</v>
      </c>
      <c r="AD405" t="n">
        <v>1</v>
      </c>
      <c r="AE405" t="n">
        <v>1</v>
      </c>
      <c r="AF405" t="n">
        <v>5</v>
      </c>
      <c r="AG405" t="n">
        <v>8</v>
      </c>
      <c r="AH405" t="n">
        <v>1</v>
      </c>
      <c r="AI405" t="n">
        <v>3</v>
      </c>
      <c r="AJ405" t="n">
        <v>1</v>
      </c>
      <c r="AK405" t="n">
        <v>1</v>
      </c>
      <c r="AL405" t="n">
        <v>3</v>
      </c>
      <c r="AM405" t="n">
        <v>5</v>
      </c>
      <c r="AN405" t="n">
        <v>0</v>
      </c>
      <c r="AO405" t="n">
        <v>0</v>
      </c>
      <c r="AP405" t="n">
        <v>0</v>
      </c>
      <c r="AQ405" t="n">
        <v>0</v>
      </c>
      <c r="AR405" t="inlineStr">
        <is>
          <t>No</t>
        </is>
      </c>
      <c r="AS405" t="inlineStr">
        <is>
          <t>Yes</t>
        </is>
      </c>
      <c r="AT405">
        <f>HYPERLINK("http://catalog.hathitrust.org/Record/004579223","HathiTrust Record")</f>
        <v/>
      </c>
      <c r="AU405">
        <f>HYPERLINK("https://creighton-primo.hosted.exlibrisgroup.com/primo-explore/search?tab=default_tab&amp;search_scope=EVERYTHING&amp;vid=01CRU&amp;lang=en_US&amp;offset=0&amp;query=any,contains,991000283859702656","Catalog Record")</f>
        <v/>
      </c>
      <c r="AV405">
        <f>HYPERLINK("http://www.worldcat.org/oclc/41076378","WorldCat Record")</f>
        <v/>
      </c>
      <c r="AW405" t="inlineStr">
        <is>
          <t>3943681318:eng</t>
        </is>
      </c>
      <c r="AX405" t="inlineStr">
        <is>
          <t>41076378</t>
        </is>
      </c>
      <c r="AY405" t="inlineStr">
        <is>
          <t>991000283859702656</t>
        </is>
      </c>
      <c r="AZ405" t="inlineStr">
        <is>
          <t>991000283859702656</t>
        </is>
      </c>
      <c r="BA405" t="inlineStr">
        <is>
          <t>2262448870002656</t>
        </is>
      </c>
      <c r="BB405" t="inlineStr">
        <is>
          <t>BOOK</t>
        </is>
      </c>
      <c r="BD405" t="inlineStr">
        <is>
          <t>9780721674896</t>
        </is>
      </c>
      <c r="BE405" t="inlineStr">
        <is>
          <t>30001004231801</t>
        </is>
      </c>
      <c r="BF405" t="inlineStr">
        <is>
          <t>893108231</t>
        </is>
      </c>
    </row>
    <row r="406">
      <c r="A406" t="inlineStr">
        <is>
          <t>No</t>
        </is>
      </c>
      <c r="B406" t="inlineStr">
        <is>
          <t>CUHSL</t>
        </is>
      </c>
      <c r="C406" t="inlineStr">
        <is>
          <t>SHELVES</t>
        </is>
      </c>
      <c r="D406" t="inlineStr">
        <is>
          <t>WY18.2 C7968 1999</t>
        </is>
      </c>
      <c r="E406" t="inlineStr">
        <is>
          <t>0                      WY 0018200C  7968        1999</t>
        </is>
      </c>
      <c r="F406" t="inlineStr">
        <is>
          <t>Core curriculum for neonatal intensive care nursing / edited by Jane Deacon, Patricia O'Neill. ; AWHONN (Association of Women's Health, Obstetric, and Neonatal Nurses), AACN (American Association of Critical-Care Nurses), NANN (National Association of Neonatal Nurses).</t>
        </is>
      </c>
      <c r="H406" t="inlineStr">
        <is>
          <t>No</t>
        </is>
      </c>
      <c r="I406" t="inlineStr">
        <is>
          <t>2</t>
        </is>
      </c>
      <c r="J406" t="inlineStr">
        <is>
          <t>Yes</t>
        </is>
      </c>
      <c r="K406" t="inlineStr">
        <is>
          <t>No</t>
        </is>
      </c>
      <c r="L406" t="inlineStr">
        <is>
          <t>0</t>
        </is>
      </c>
      <c r="N406" t="inlineStr">
        <is>
          <t>Philadelphia : Saunders, c1999.</t>
        </is>
      </c>
      <c r="O406" t="inlineStr">
        <is>
          <t>1999</t>
        </is>
      </c>
      <c r="P406" t="inlineStr">
        <is>
          <t>2nd ed.</t>
        </is>
      </c>
      <c r="Q406" t="inlineStr">
        <is>
          <t>eng</t>
        </is>
      </c>
      <c r="R406" t="inlineStr">
        <is>
          <t>pau</t>
        </is>
      </c>
      <c r="T406" t="inlineStr">
        <is>
          <t xml:space="preserve">WY </t>
        </is>
      </c>
      <c r="U406" t="n">
        <v>0</v>
      </c>
      <c r="V406" t="n">
        <v>2</v>
      </c>
      <c r="X406" t="inlineStr">
        <is>
          <t>2007-09-12</t>
        </is>
      </c>
      <c r="Y406" t="inlineStr">
        <is>
          <t>2002-06-28</t>
        </is>
      </c>
      <c r="Z406" t="inlineStr">
        <is>
          <t>2002-06-28</t>
        </is>
      </c>
      <c r="AA406" t="n">
        <v>170</v>
      </c>
      <c r="AB406" t="n">
        <v>128</v>
      </c>
      <c r="AC406" t="n">
        <v>232</v>
      </c>
      <c r="AD406" t="n">
        <v>1</v>
      </c>
      <c r="AE406" t="n">
        <v>1</v>
      </c>
      <c r="AF406" t="n">
        <v>5</v>
      </c>
      <c r="AG406" t="n">
        <v>8</v>
      </c>
      <c r="AH406" t="n">
        <v>1</v>
      </c>
      <c r="AI406" t="n">
        <v>3</v>
      </c>
      <c r="AJ406" t="n">
        <v>1</v>
      </c>
      <c r="AK406" t="n">
        <v>1</v>
      </c>
      <c r="AL406" t="n">
        <v>3</v>
      </c>
      <c r="AM406" t="n">
        <v>5</v>
      </c>
      <c r="AN406" t="n">
        <v>0</v>
      </c>
      <c r="AO406" t="n">
        <v>0</v>
      </c>
      <c r="AP406" t="n">
        <v>0</v>
      </c>
      <c r="AQ406" t="n">
        <v>0</v>
      </c>
      <c r="AR406" t="inlineStr">
        <is>
          <t>No</t>
        </is>
      </c>
      <c r="AS406" t="inlineStr">
        <is>
          <t>Yes</t>
        </is>
      </c>
      <c r="AT406">
        <f>HYPERLINK("http://catalog.hathitrust.org/Record/004579223","HathiTrust Record")</f>
        <v/>
      </c>
      <c r="AU406">
        <f>HYPERLINK("https://creighton-primo.hosted.exlibrisgroup.com/primo-explore/search?tab=default_tab&amp;search_scope=EVERYTHING&amp;vid=01CRU&amp;lang=en_US&amp;offset=0&amp;query=any,contains,991000283859702656","Catalog Record")</f>
        <v/>
      </c>
      <c r="AV406">
        <f>HYPERLINK("http://www.worldcat.org/oclc/41076378","WorldCat Record")</f>
        <v/>
      </c>
      <c r="AW406" t="inlineStr">
        <is>
          <t>3943681318:eng</t>
        </is>
      </c>
      <c r="AX406" t="inlineStr">
        <is>
          <t>41076378</t>
        </is>
      </c>
      <c r="AY406" t="inlineStr">
        <is>
          <t>991000283859702656</t>
        </is>
      </c>
      <c r="AZ406" t="inlineStr">
        <is>
          <t>991000283859702656</t>
        </is>
      </c>
      <c r="BA406" t="inlineStr">
        <is>
          <t>2262448870002656</t>
        </is>
      </c>
      <c r="BB406" t="inlineStr">
        <is>
          <t>BOOK</t>
        </is>
      </c>
      <c r="BD406" t="inlineStr">
        <is>
          <t>9780721674896</t>
        </is>
      </c>
      <c r="BE406" t="inlineStr">
        <is>
          <t>30001004238269</t>
        </is>
      </c>
      <c r="BF406" t="inlineStr">
        <is>
          <t>893122501</t>
        </is>
      </c>
    </row>
    <row r="407">
      <c r="A407" t="inlineStr">
        <is>
          <t>No</t>
        </is>
      </c>
      <c r="B407" t="inlineStr">
        <is>
          <t>CUHSL</t>
        </is>
      </c>
      <c r="C407" t="inlineStr">
        <is>
          <t>SHELVES</t>
        </is>
      </c>
      <c r="D407" t="inlineStr">
        <is>
          <t>WY 18.2 C7975 1998</t>
        </is>
      </c>
      <c r="E407" t="inlineStr">
        <is>
          <t>0                      WY 0018200C  7975        1998</t>
        </is>
      </c>
      <c r="F407" t="inlineStr">
        <is>
          <t>Core review for critical care nursing / edited by JoAnn Grif Alspach.</t>
        </is>
      </c>
      <c r="H407" t="inlineStr">
        <is>
          <t>No</t>
        </is>
      </c>
      <c r="I407" t="inlineStr">
        <is>
          <t>1</t>
        </is>
      </c>
      <c r="J407" t="inlineStr">
        <is>
          <t>No</t>
        </is>
      </c>
      <c r="K407" t="inlineStr">
        <is>
          <t>Yes</t>
        </is>
      </c>
      <c r="L407" t="inlineStr">
        <is>
          <t>0</t>
        </is>
      </c>
      <c r="N407" t="inlineStr">
        <is>
          <t>Philadelphia : Saunders, c1998.</t>
        </is>
      </c>
      <c r="O407" t="inlineStr">
        <is>
          <t>1998</t>
        </is>
      </c>
      <c r="P407" t="inlineStr">
        <is>
          <t>5th ed.</t>
        </is>
      </c>
      <c r="Q407" t="inlineStr">
        <is>
          <t>eng</t>
        </is>
      </c>
      <c r="R407" t="inlineStr">
        <is>
          <t>pau</t>
        </is>
      </c>
      <c r="T407" t="inlineStr">
        <is>
          <t xml:space="preserve">WY </t>
        </is>
      </c>
      <c r="U407" t="n">
        <v>2</v>
      </c>
      <c r="V407" t="n">
        <v>2</v>
      </c>
      <c r="W407" t="inlineStr">
        <is>
          <t>1999-11-02</t>
        </is>
      </c>
      <c r="X407" t="inlineStr">
        <is>
          <t>1999-11-02</t>
        </is>
      </c>
      <c r="Y407" t="inlineStr">
        <is>
          <t>1999-11-02</t>
        </is>
      </c>
      <c r="Z407" t="inlineStr">
        <is>
          <t>1999-11-02</t>
        </is>
      </c>
      <c r="AA407" t="n">
        <v>101</v>
      </c>
      <c r="AB407" t="n">
        <v>78</v>
      </c>
      <c r="AC407" t="n">
        <v>200</v>
      </c>
      <c r="AD407" t="n">
        <v>1</v>
      </c>
      <c r="AE407" t="n">
        <v>1</v>
      </c>
      <c r="AF407" t="n">
        <v>3</v>
      </c>
      <c r="AG407" t="n">
        <v>4</v>
      </c>
      <c r="AH407" t="n">
        <v>0</v>
      </c>
      <c r="AI407" t="n">
        <v>1</v>
      </c>
      <c r="AJ407" t="n">
        <v>0</v>
      </c>
      <c r="AK407" t="n">
        <v>0</v>
      </c>
      <c r="AL407" t="n">
        <v>3</v>
      </c>
      <c r="AM407" t="n">
        <v>3</v>
      </c>
      <c r="AN407" t="n">
        <v>0</v>
      </c>
      <c r="AO407" t="n">
        <v>0</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HYPERLINK("https://creighton-primo.hosted.exlibrisgroup.com/primo-explore/search?tab=default_tab&amp;search_scope=EVERYTHING&amp;vid=01CRU&amp;lang=en_US&amp;offset=0&amp;query=any,contains,991000598029702656","Catalog Record")</f>
        <v/>
      </c>
      <c r="AV407">
        <f>HYPERLINK("http://www.worldcat.org/oclc/38386695","WorldCat Record")</f>
        <v/>
      </c>
      <c r="AW407" t="inlineStr">
        <is>
          <t>54690155:eng</t>
        </is>
      </c>
      <c r="AX407" t="inlineStr">
        <is>
          <t>38386695</t>
        </is>
      </c>
      <c r="AY407" t="inlineStr">
        <is>
          <t>991000598029702656</t>
        </is>
      </c>
      <c r="AZ407" t="inlineStr">
        <is>
          <t>991000598029702656</t>
        </is>
      </c>
      <c r="BA407" t="inlineStr">
        <is>
          <t>2260032490002656</t>
        </is>
      </c>
      <c r="BB407" t="inlineStr">
        <is>
          <t>BOOK</t>
        </is>
      </c>
      <c r="BD407" t="inlineStr">
        <is>
          <t>9780721652320</t>
        </is>
      </c>
      <c r="BE407" t="inlineStr">
        <is>
          <t>30001004015790</t>
        </is>
      </c>
      <c r="BF407" t="inlineStr">
        <is>
          <t>893550689</t>
        </is>
      </c>
    </row>
    <row r="408">
      <c r="A408" t="inlineStr">
        <is>
          <t>No</t>
        </is>
      </c>
      <c r="B408" t="inlineStr">
        <is>
          <t>CUHSL</t>
        </is>
      </c>
      <c r="C408" t="inlineStr">
        <is>
          <t>SHELVES</t>
        </is>
      </c>
      <c r="D408" t="inlineStr">
        <is>
          <t>WY 18.2 F583w 1997</t>
        </is>
      </c>
      <c r="E408" t="inlineStr">
        <is>
          <t>0                      WY 0018200F  583w        1997</t>
        </is>
      </c>
      <c r="F408" t="inlineStr">
        <is>
          <t>What you need to know about today's workplace : an independent study continuing education module / [text author Lyndia Flanagan]</t>
        </is>
      </c>
      <c r="H408" t="inlineStr">
        <is>
          <t>No</t>
        </is>
      </c>
      <c r="I408" t="inlineStr">
        <is>
          <t>1</t>
        </is>
      </c>
      <c r="J408" t="inlineStr">
        <is>
          <t>No</t>
        </is>
      </c>
      <c r="K408" t="inlineStr">
        <is>
          <t>No</t>
        </is>
      </c>
      <c r="L408" t="inlineStr">
        <is>
          <t>0</t>
        </is>
      </c>
      <c r="M408" t="inlineStr">
        <is>
          <t>Flanagan, Lyndia.</t>
        </is>
      </c>
      <c r="N408" t="inlineStr">
        <is>
          <t>Washington, DC : American Nurses Publishing, c1997.</t>
        </is>
      </c>
      <c r="O408" t="inlineStr">
        <is>
          <t>1997</t>
        </is>
      </c>
      <c r="Q408" t="inlineStr">
        <is>
          <t>eng</t>
        </is>
      </c>
      <c r="R408" t="inlineStr">
        <is>
          <t>dcu</t>
        </is>
      </c>
      <c r="S408" t="inlineStr">
        <is>
          <t>ANA pub. no. COE-1 2M</t>
        </is>
      </c>
      <c r="T408" t="inlineStr">
        <is>
          <t xml:space="preserve">WY </t>
        </is>
      </c>
      <c r="U408" t="n">
        <v>1</v>
      </c>
      <c r="V408" t="n">
        <v>1</v>
      </c>
      <c r="W408" t="inlineStr">
        <is>
          <t>1997-09-10</t>
        </is>
      </c>
      <c r="X408" t="inlineStr">
        <is>
          <t>1997-09-10</t>
        </is>
      </c>
      <c r="Y408" t="inlineStr">
        <is>
          <t>1997-09-10</t>
        </is>
      </c>
      <c r="Z408" t="inlineStr">
        <is>
          <t>1997-09-10</t>
        </is>
      </c>
      <c r="AA408" t="n">
        <v>88</v>
      </c>
      <c r="AB408" t="n">
        <v>85</v>
      </c>
      <c r="AC408" t="n">
        <v>85</v>
      </c>
      <c r="AD408" t="n">
        <v>2</v>
      </c>
      <c r="AE408" t="n">
        <v>2</v>
      </c>
      <c r="AF408" t="n">
        <v>5</v>
      </c>
      <c r="AG408" t="n">
        <v>5</v>
      </c>
      <c r="AH408" t="n">
        <v>0</v>
      </c>
      <c r="AI408" t="n">
        <v>0</v>
      </c>
      <c r="AJ408" t="n">
        <v>1</v>
      </c>
      <c r="AK408" t="n">
        <v>1</v>
      </c>
      <c r="AL408" t="n">
        <v>4</v>
      </c>
      <c r="AM408" t="n">
        <v>4</v>
      </c>
      <c r="AN408" t="n">
        <v>0</v>
      </c>
      <c r="AO408" t="n">
        <v>0</v>
      </c>
      <c r="AP408" t="n">
        <v>0</v>
      </c>
      <c r="AQ408" t="n">
        <v>0</v>
      </c>
      <c r="AR408" t="inlineStr">
        <is>
          <t>No</t>
        </is>
      </c>
      <c r="AS408" t="inlineStr">
        <is>
          <t>No</t>
        </is>
      </c>
      <c r="AU408">
        <f>HYPERLINK("https://creighton-primo.hosted.exlibrisgroup.com/primo-explore/search?tab=default_tab&amp;search_scope=EVERYTHING&amp;vid=01CRU&amp;lang=en_US&amp;offset=0&amp;query=any,contains,991001132869702656","Catalog Record")</f>
        <v/>
      </c>
      <c r="AV408">
        <f>HYPERLINK("http://www.worldcat.org/oclc/37246929","WorldCat Record")</f>
        <v/>
      </c>
      <c r="AW408" t="inlineStr">
        <is>
          <t>1779760567:eng</t>
        </is>
      </c>
      <c r="AX408" t="inlineStr">
        <is>
          <t>37246929</t>
        </is>
      </c>
      <c r="AY408" t="inlineStr">
        <is>
          <t>991001132869702656</t>
        </is>
      </c>
      <c r="AZ408" t="inlineStr">
        <is>
          <t>991001132869702656</t>
        </is>
      </c>
      <c r="BA408" t="inlineStr">
        <is>
          <t>2266790110002656</t>
        </is>
      </c>
      <c r="BB408" t="inlineStr">
        <is>
          <t>BOOK</t>
        </is>
      </c>
      <c r="BE408" t="inlineStr">
        <is>
          <t>30001003625656</t>
        </is>
      </c>
      <c r="BF408" t="inlineStr">
        <is>
          <t>893826475</t>
        </is>
      </c>
    </row>
    <row r="409">
      <c r="A409" t="inlineStr">
        <is>
          <t>No</t>
        </is>
      </c>
      <c r="B409" t="inlineStr">
        <is>
          <t>CUHSL</t>
        </is>
      </c>
      <c r="C409" t="inlineStr">
        <is>
          <t>SHELVES</t>
        </is>
      </c>
      <c r="D409" t="inlineStr">
        <is>
          <t>WY 18.2 F911f 1998</t>
        </is>
      </c>
      <c r="E409" t="inlineStr">
        <is>
          <t>0                      WY 0018200F  911f        1998</t>
        </is>
      </c>
      <c r="F409" t="inlineStr">
        <is>
          <t>Family nursing : theory, research &amp; practice / Marilyn M. Friedman.</t>
        </is>
      </c>
      <c r="H409" t="inlineStr">
        <is>
          <t>No</t>
        </is>
      </c>
      <c r="I409" t="inlineStr">
        <is>
          <t>1</t>
        </is>
      </c>
      <c r="J409" t="inlineStr">
        <is>
          <t>No</t>
        </is>
      </c>
      <c r="K409" t="inlineStr">
        <is>
          <t>Yes</t>
        </is>
      </c>
      <c r="L409" t="inlineStr">
        <is>
          <t>1</t>
        </is>
      </c>
      <c r="M409" t="inlineStr">
        <is>
          <t>Friedman, Marilyn M.</t>
        </is>
      </c>
      <c r="N409" t="inlineStr">
        <is>
          <t>Stamford, Conn. : Appleton &amp; Lange, c1998.</t>
        </is>
      </c>
      <c r="O409" t="inlineStr">
        <is>
          <t>1998</t>
        </is>
      </c>
      <c r="P409" t="inlineStr">
        <is>
          <t>4th ed.</t>
        </is>
      </c>
      <c r="Q409" t="inlineStr">
        <is>
          <t>eng</t>
        </is>
      </c>
      <c r="R409" t="inlineStr">
        <is>
          <t>ctu</t>
        </is>
      </c>
      <c r="T409" t="inlineStr">
        <is>
          <t xml:space="preserve">WY </t>
        </is>
      </c>
      <c r="U409" t="n">
        <v>6</v>
      </c>
      <c r="V409" t="n">
        <v>6</v>
      </c>
      <c r="W409" t="inlineStr">
        <is>
          <t>2000-07-20</t>
        </is>
      </c>
      <c r="X409" t="inlineStr">
        <is>
          <t>2000-07-20</t>
        </is>
      </c>
      <c r="Y409" t="inlineStr">
        <is>
          <t>1997-11-25</t>
        </is>
      </c>
      <c r="Z409" t="inlineStr">
        <is>
          <t>1997-11-25</t>
        </is>
      </c>
      <c r="AA409" t="n">
        <v>398</v>
      </c>
      <c r="AB409" t="n">
        <v>299</v>
      </c>
      <c r="AC409" t="n">
        <v>721</v>
      </c>
      <c r="AD409" t="n">
        <v>2</v>
      </c>
      <c r="AE409" t="n">
        <v>3</v>
      </c>
      <c r="AF409" t="n">
        <v>6</v>
      </c>
      <c r="AG409" t="n">
        <v>25</v>
      </c>
      <c r="AH409" t="n">
        <v>4</v>
      </c>
      <c r="AI409" t="n">
        <v>13</v>
      </c>
      <c r="AJ409" t="n">
        <v>1</v>
      </c>
      <c r="AK409" t="n">
        <v>4</v>
      </c>
      <c r="AL409" t="n">
        <v>2</v>
      </c>
      <c r="AM409" t="n">
        <v>14</v>
      </c>
      <c r="AN409" t="n">
        <v>0</v>
      </c>
      <c r="AO409" t="n">
        <v>1</v>
      </c>
      <c r="AP409" t="n">
        <v>0</v>
      </c>
      <c r="AQ409" t="n">
        <v>0</v>
      </c>
      <c r="AR409" t="inlineStr">
        <is>
          <t>No</t>
        </is>
      </c>
      <c r="AS409" t="inlineStr">
        <is>
          <t>Yes</t>
        </is>
      </c>
      <c r="AT409">
        <f>HYPERLINK("http://catalog.hathitrust.org/Record/003193997","HathiTrust Record")</f>
        <v/>
      </c>
      <c r="AU409">
        <f>HYPERLINK("https://creighton-primo.hosted.exlibrisgroup.com/primo-explore/search?tab=default_tab&amp;search_scope=EVERYTHING&amp;vid=01CRU&amp;lang=en_US&amp;offset=0&amp;query=any,contains,991001277499702656","Catalog Record")</f>
        <v/>
      </c>
      <c r="AV409">
        <f>HYPERLINK("http://www.worldcat.org/oclc/36308123","WorldCat Record")</f>
        <v/>
      </c>
      <c r="AW409" t="inlineStr">
        <is>
          <t>632485:eng</t>
        </is>
      </c>
      <c r="AX409" t="inlineStr">
        <is>
          <t>36308123</t>
        </is>
      </c>
      <c r="AY409" t="inlineStr">
        <is>
          <t>991001277499702656</t>
        </is>
      </c>
      <c r="AZ409" t="inlineStr">
        <is>
          <t>991001277499702656</t>
        </is>
      </c>
      <c r="BA409" t="inlineStr">
        <is>
          <t>2271264470002656</t>
        </is>
      </c>
      <c r="BB409" t="inlineStr">
        <is>
          <t>BOOK</t>
        </is>
      </c>
      <c r="BD409" t="inlineStr">
        <is>
          <t>9780838525258</t>
        </is>
      </c>
      <c r="BE409" t="inlineStr">
        <is>
          <t>30001003700087</t>
        </is>
      </c>
      <c r="BF409" t="inlineStr">
        <is>
          <t>893826610</t>
        </is>
      </c>
    </row>
    <row r="410">
      <c r="A410" t="inlineStr">
        <is>
          <t>No</t>
        </is>
      </c>
      <c r="B410" t="inlineStr">
        <is>
          <t>CUHSL</t>
        </is>
      </c>
      <c r="C410" t="inlineStr">
        <is>
          <t>SHELVES</t>
        </is>
      </c>
      <c r="D410" t="inlineStr">
        <is>
          <t>WY 18.2 F911f 2003</t>
        </is>
      </c>
      <c r="E410" t="inlineStr">
        <is>
          <t>0                      WY 0018200F  911f        2003</t>
        </is>
      </c>
      <c r="F410" t="inlineStr">
        <is>
          <t>Family nursing : research, theory &amp; practice / Marilyn M. Friedman, Vicky R. Bowden, Elaine G. Jones.</t>
        </is>
      </c>
      <c r="H410" t="inlineStr">
        <is>
          <t>No</t>
        </is>
      </c>
      <c r="I410" t="inlineStr">
        <is>
          <t>2</t>
        </is>
      </c>
      <c r="J410" t="inlineStr">
        <is>
          <t>No</t>
        </is>
      </c>
      <c r="K410" t="inlineStr">
        <is>
          <t>Yes</t>
        </is>
      </c>
      <c r="L410" t="inlineStr">
        <is>
          <t>1</t>
        </is>
      </c>
      <c r="M410" t="inlineStr">
        <is>
          <t>Friedman, Marilyn M.</t>
        </is>
      </c>
      <c r="N410" t="inlineStr">
        <is>
          <t>Upper Saddle River, N.J. : Prentice Hall, c2003.</t>
        </is>
      </c>
      <c r="O410" t="inlineStr">
        <is>
          <t>2003</t>
        </is>
      </c>
      <c r="P410" t="inlineStr">
        <is>
          <t>5th ed.</t>
        </is>
      </c>
      <c r="Q410" t="inlineStr">
        <is>
          <t>eng</t>
        </is>
      </c>
      <c r="R410" t="inlineStr">
        <is>
          <t>nju</t>
        </is>
      </c>
      <c r="T410" t="inlineStr">
        <is>
          <t xml:space="preserve">WY </t>
        </is>
      </c>
      <c r="U410" t="n">
        <v>0</v>
      </c>
      <c r="V410" t="n">
        <v>0</v>
      </c>
      <c r="W410" t="inlineStr">
        <is>
          <t>2003-06-26</t>
        </is>
      </c>
      <c r="X410" t="inlineStr">
        <is>
          <t>2003-06-26</t>
        </is>
      </c>
      <c r="Y410" t="inlineStr">
        <is>
          <t>2003-06-26</t>
        </is>
      </c>
      <c r="Z410" t="inlineStr">
        <is>
          <t>2003-06-26</t>
        </is>
      </c>
      <c r="AA410" t="n">
        <v>541</v>
      </c>
      <c r="AB410" t="n">
        <v>407</v>
      </c>
      <c r="AC410" t="n">
        <v>721</v>
      </c>
      <c r="AD410" t="n">
        <v>1</v>
      </c>
      <c r="AE410" t="n">
        <v>3</v>
      </c>
      <c r="AF410" t="n">
        <v>21</v>
      </c>
      <c r="AG410" t="n">
        <v>25</v>
      </c>
      <c r="AH410" t="n">
        <v>11</v>
      </c>
      <c r="AI410" t="n">
        <v>13</v>
      </c>
      <c r="AJ410" t="n">
        <v>3</v>
      </c>
      <c r="AK410" t="n">
        <v>4</v>
      </c>
      <c r="AL410" t="n">
        <v>13</v>
      </c>
      <c r="AM410" t="n">
        <v>14</v>
      </c>
      <c r="AN410" t="n">
        <v>1</v>
      </c>
      <c r="AO410" t="n">
        <v>1</v>
      </c>
      <c r="AP410" t="n">
        <v>0</v>
      </c>
      <c r="AQ410" t="n">
        <v>0</v>
      </c>
      <c r="AR410" t="inlineStr">
        <is>
          <t>No</t>
        </is>
      </c>
      <c r="AS410" t="inlineStr">
        <is>
          <t>Yes</t>
        </is>
      </c>
      <c r="AT410">
        <f>HYPERLINK("http://catalog.hathitrust.org/Record/004277316","HathiTrust Record")</f>
        <v/>
      </c>
      <c r="AU410">
        <f>HYPERLINK("https://creighton-primo.hosted.exlibrisgroup.com/primo-explore/search?tab=default_tab&amp;search_scope=EVERYTHING&amp;vid=01CRU&amp;lang=en_US&amp;offset=0&amp;query=any,contains,991001721629702656","Catalog Record")</f>
        <v/>
      </c>
      <c r="AV410">
        <f>HYPERLINK("http://www.worldcat.org/oclc/49322510","WorldCat Record")</f>
        <v/>
      </c>
      <c r="AW410" t="inlineStr">
        <is>
          <t>632485:eng</t>
        </is>
      </c>
      <c r="AX410" t="inlineStr">
        <is>
          <t>49322510</t>
        </is>
      </c>
      <c r="AY410" t="inlineStr">
        <is>
          <t>991001721629702656</t>
        </is>
      </c>
      <c r="AZ410" t="inlineStr">
        <is>
          <t>991001721629702656</t>
        </is>
      </c>
      <c r="BA410" t="inlineStr">
        <is>
          <t>2259243830002656</t>
        </is>
      </c>
      <c r="BB410" t="inlineStr">
        <is>
          <t>BOOK</t>
        </is>
      </c>
      <c r="BD410" t="inlineStr">
        <is>
          <t>9780130608246</t>
        </is>
      </c>
      <c r="BE410" t="inlineStr">
        <is>
          <t>30001004501625</t>
        </is>
      </c>
      <c r="BF410" t="inlineStr">
        <is>
          <t>893358933</t>
        </is>
      </c>
    </row>
    <row r="411">
      <c r="A411" t="inlineStr">
        <is>
          <t>No</t>
        </is>
      </c>
      <c r="B411" t="inlineStr">
        <is>
          <t>CUHSL</t>
        </is>
      </c>
      <c r="C411" t="inlineStr">
        <is>
          <t>SHELVES</t>
        </is>
      </c>
      <c r="D411" t="inlineStr">
        <is>
          <t>WY18.2 N5765 2001</t>
        </is>
      </c>
      <c r="E411" t="inlineStr">
        <is>
          <t>0                      WY 0018200N  5765        2001</t>
        </is>
      </c>
      <c r="F411" t="inlineStr">
        <is>
          <t>NGNA core curriculum for gerontological nursing / Ann Schmidt Luggen, Sue E. Meiner.</t>
        </is>
      </c>
      <c r="H411" t="inlineStr">
        <is>
          <t>No</t>
        </is>
      </c>
      <c r="I411" t="inlineStr">
        <is>
          <t>1</t>
        </is>
      </c>
      <c r="J411" t="inlineStr">
        <is>
          <t>No</t>
        </is>
      </c>
      <c r="K411" t="inlineStr">
        <is>
          <t>No</t>
        </is>
      </c>
      <c r="L411" t="inlineStr">
        <is>
          <t>0</t>
        </is>
      </c>
      <c r="M411" t="inlineStr">
        <is>
          <t>Luggen, Ann Schmidt.</t>
        </is>
      </c>
      <c r="N411" t="inlineStr">
        <is>
          <t>St. Louis : Mosby, c2001.</t>
        </is>
      </c>
      <c r="O411" t="inlineStr">
        <is>
          <t>2001</t>
        </is>
      </c>
      <c r="P411" t="inlineStr">
        <is>
          <t>2nd ed.</t>
        </is>
      </c>
      <c r="Q411" t="inlineStr">
        <is>
          <t>eng</t>
        </is>
      </c>
      <c r="R411" t="inlineStr">
        <is>
          <t>mou</t>
        </is>
      </c>
      <c r="T411" t="inlineStr">
        <is>
          <t xml:space="preserve">WY </t>
        </is>
      </c>
      <c r="U411" t="n">
        <v>2</v>
      </c>
      <c r="V411" t="n">
        <v>2</v>
      </c>
      <c r="W411" t="inlineStr">
        <is>
          <t>2002-12-10</t>
        </is>
      </c>
      <c r="X411" t="inlineStr">
        <is>
          <t>2002-12-10</t>
        </is>
      </c>
      <c r="Y411" t="inlineStr">
        <is>
          <t>2002-06-28</t>
        </is>
      </c>
      <c r="Z411" t="inlineStr">
        <is>
          <t>2002-06-28</t>
        </is>
      </c>
      <c r="AA411" t="n">
        <v>185</v>
      </c>
      <c r="AB411" t="n">
        <v>156</v>
      </c>
      <c r="AC411" t="n">
        <v>295</v>
      </c>
      <c r="AD411" t="n">
        <v>1</v>
      </c>
      <c r="AE411" t="n">
        <v>1</v>
      </c>
      <c r="AF411" t="n">
        <v>8</v>
      </c>
      <c r="AG411" t="n">
        <v>10</v>
      </c>
      <c r="AH411" t="n">
        <v>2</v>
      </c>
      <c r="AI411" t="n">
        <v>3</v>
      </c>
      <c r="AJ411" t="n">
        <v>1</v>
      </c>
      <c r="AK411" t="n">
        <v>2</v>
      </c>
      <c r="AL411" t="n">
        <v>7</v>
      </c>
      <c r="AM411" t="n">
        <v>7</v>
      </c>
      <c r="AN411" t="n">
        <v>0</v>
      </c>
      <c r="AO411" t="n">
        <v>0</v>
      </c>
      <c r="AP411" t="n">
        <v>0</v>
      </c>
      <c r="AQ411" t="n">
        <v>0</v>
      </c>
      <c r="AR411" t="inlineStr">
        <is>
          <t>No</t>
        </is>
      </c>
      <c r="AS411" t="inlineStr">
        <is>
          <t>Yes</t>
        </is>
      </c>
      <c r="AT411">
        <f>HYPERLINK("http://catalog.hathitrust.org/Record/004116025","HathiTrust Record")</f>
        <v/>
      </c>
      <c r="AU411">
        <f>HYPERLINK("https://creighton-primo.hosted.exlibrisgroup.com/primo-explore/search?tab=default_tab&amp;search_scope=EVERYTHING&amp;vid=01CRU&amp;lang=en_US&amp;offset=0&amp;query=any,contains,991000319739702656","Catalog Record")</f>
        <v/>
      </c>
      <c r="AV411">
        <f>HYPERLINK("http://www.worldcat.org/oclc/44779689","WorldCat Record")</f>
        <v/>
      </c>
      <c r="AW411" t="inlineStr">
        <is>
          <t>39457531:eng</t>
        </is>
      </c>
      <c r="AX411" t="inlineStr">
        <is>
          <t>44779689</t>
        </is>
      </c>
      <c r="AY411" t="inlineStr">
        <is>
          <t>991000319739702656</t>
        </is>
      </c>
      <c r="AZ411" t="inlineStr">
        <is>
          <t>991000319739702656</t>
        </is>
      </c>
      <c r="BA411" t="inlineStr">
        <is>
          <t>2260726320002656</t>
        </is>
      </c>
      <c r="BB411" t="inlineStr">
        <is>
          <t>BOOK</t>
        </is>
      </c>
      <c r="BD411" t="inlineStr">
        <is>
          <t>9780323010986</t>
        </is>
      </c>
      <c r="BE411" t="inlineStr">
        <is>
          <t>30001004239986</t>
        </is>
      </c>
      <c r="BF411" t="inlineStr">
        <is>
          <t>893269350</t>
        </is>
      </c>
    </row>
    <row r="412">
      <c r="A412" t="inlineStr">
        <is>
          <t>No</t>
        </is>
      </c>
      <c r="B412" t="inlineStr">
        <is>
          <t>CUHSL</t>
        </is>
      </c>
      <c r="C412" t="inlineStr">
        <is>
          <t>SHELVES</t>
        </is>
      </c>
      <c r="D412" t="inlineStr">
        <is>
          <t>WY 18.2 N9753 2000</t>
        </is>
      </c>
      <c r="E412" t="inlineStr">
        <is>
          <t>0                      WY 0018200N  9753        2000</t>
        </is>
      </c>
      <c r="F412" t="inlineStr">
        <is>
          <t>Nursing diagnosis : application to clinical practice / [edited by] Lynda Juall Carpenito.</t>
        </is>
      </c>
      <c r="H412" t="inlineStr">
        <is>
          <t>No</t>
        </is>
      </c>
      <c r="I412" t="inlineStr">
        <is>
          <t>1</t>
        </is>
      </c>
      <c r="J412" t="inlineStr">
        <is>
          <t>No</t>
        </is>
      </c>
      <c r="K412" t="inlineStr">
        <is>
          <t>Yes</t>
        </is>
      </c>
      <c r="L412" t="inlineStr">
        <is>
          <t>0</t>
        </is>
      </c>
      <c r="N412" t="inlineStr">
        <is>
          <t>Philadelphia : Lippincott, c2000.</t>
        </is>
      </c>
      <c r="O412" t="inlineStr">
        <is>
          <t>2000</t>
        </is>
      </c>
      <c r="P412" t="inlineStr">
        <is>
          <t>8th ed.</t>
        </is>
      </c>
      <c r="Q412" t="inlineStr">
        <is>
          <t>eng</t>
        </is>
      </c>
      <c r="R412" t="inlineStr">
        <is>
          <t>pau</t>
        </is>
      </c>
      <c r="T412" t="inlineStr">
        <is>
          <t xml:space="preserve">WY </t>
        </is>
      </c>
      <c r="U412" t="n">
        <v>9</v>
      </c>
      <c r="V412" t="n">
        <v>9</v>
      </c>
      <c r="W412" t="inlineStr">
        <is>
          <t>2010-06-02</t>
        </is>
      </c>
      <c r="X412" t="inlineStr">
        <is>
          <t>2010-06-02</t>
        </is>
      </c>
      <c r="Y412" t="inlineStr">
        <is>
          <t>2000-04-13</t>
        </is>
      </c>
      <c r="Z412" t="inlineStr">
        <is>
          <t>2000-04-13</t>
        </is>
      </c>
      <c r="AA412" t="n">
        <v>303</v>
      </c>
      <c r="AB412" t="n">
        <v>233</v>
      </c>
      <c r="AC412" t="n">
        <v>1521</v>
      </c>
      <c r="AD412" t="n">
        <v>2</v>
      </c>
      <c r="AE412" t="n">
        <v>12</v>
      </c>
      <c r="AF412" t="n">
        <v>4</v>
      </c>
      <c r="AG412" t="n">
        <v>44</v>
      </c>
      <c r="AH412" t="n">
        <v>2</v>
      </c>
      <c r="AI412" t="n">
        <v>18</v>
      </c>
      <c r="AJ412" t="n">
        <v>1</v>
      </c>
      <c r="AK412" t="n">
        <v>8</v>
      </c>
      <c r="AL412" t="n">
        <v>2</v>
      </c>
      <c r="AM412" t="n">
        <v>17</v>
      </c>
      <c r="AN412" t="n">
        <v>0</v>
      </c>
      <c r="AO412" t="n">
        <v>9</v>
      </c>
      <c r="AP412" t="n">
        <v>0</v>
      </c>
      <c r="AQ412" t="n">
        <v>0</v>
      </c>
      <c r="AR412" t="inlineStr">
        <is>
          <t>No</t>
        </is>
      </c>
      <c r="AS412" t="inlineStr">
        <is>
          <t>Yes</t>
        </is>
      </c>
      <c r="AT412">
        <f>HYPERLINK("http://catalog.hathitrust.org/Record/004068952","HathiTrust Record")</f>
        <v/>
      </c>
      <c r="AU412">
        <f>HYPERLINK("https://creighton-primo.hosted.exlibrisgroup.com/primo-explore/search?tab=default_tab&amp;search_scope=EVERYTHING&amp;vid=01CRU&amp;lang=en_US&amp;offset=0&amp;query=any,contains,991001443149702656","Catalog Record")</f>
        <v/>
      </c>
      <c r="AV412">
        <f>HYPERLINK("http://www.worldcat.org/oclc/41606498","WorldCat Record")</f>
        <v/>
      </c>
      <c r="AW412" t="inlineStr">
        <is>
          <t>1077208984:eng</t>
        </is>
      </c>
      <c r="AX412" t="inlineStr">
        <is>
          <t>41606498</t>
        </is>
      </c>
      <c r="AY412" t="inlineStr">
        <is>
          <t>991001443149702656</t>
        </is>
      </c>
      <c r="AZ412" t="inlineStr">
        <is>
          <t>991001443149702656</t>
        </is>
      </c>
      <c r="BA412" t="inlineStr">
        <is>
          <t>2255684970002656</t>
        </is>
      </c>
      <c r="BB412" t="inlineStr">
        <is>
          <t>BOOK</t>
        </is>
      </c>
      <c r="BD412" t="inlineStr">
        <is>
          <t>9780781719704</t>
        </is>
      </c>
      <c r="BE412" t="inlineStr">
        <is>
          <t>30001003883842</t>
        </is>
      </c>
      <c r="BF412" t="inlineStr">
        <is>
          <t>893451210</t>
        </is>
      </c>
    </row>
    <row r="413">
      <c r="A413" t="inlineStr">
        <is>
          <t>No</t>
        </is>
      </c>
      <c r="B413" t="inlineStr">
        <is>
          <t>CUHSL</t>
        </is>
      </c>
      <c r="C413" t="inlineStr">
        <is>
          <t>SHELVES</t>
        </is>
      </c>
      <c r="D413" t="inlineStr">
        <is>
          <t>WY18.2 N9753 2002</t>
        </is>
      </c>
      <c r="E413" t="inlineStr">
        <is>
          <t>0                      WY 0018200N  9753        2002</t>
        </is>
      </c>
      <c r="F413" t="inlineStr">
        <is>
          <t>Nursing diagnosis : application to clinical practice / [edited by] Lynda Juall Carpenito.</t>
        </is>
      </c>
      <c r="H413" t="inlineStr">
        <is>
          <t>No</t>
        </is>
      </c>
      <c r="I413" t="inlineStr">
        <is>
          <t>1</t>
        </is>
      </c>
      <c r="J413" t="inlineStr">
        <is>
          <t>No</t>
        </is>
      </c>
      <c r="K413" t="inlineStr">
        <is>
          <t>Yes</t>
        </is>
      </c>
      <c r="L413" t="inlineStr">
        <is>
          <t>0</t>
        </is>
      </c>
      <c r="N413" t="inlineStr">
        <is>
          <t>Philadelphia : Lippincott, c2002.</t>
        </is>
      </c>
      <c r="O413" t="inlineStr">
        <is>
          <t>2002</t>
        </is>
      </c>
      <c r="P413" t="inlineStr">
        <is>
          <t>9th ed.</t>
        </is>
      </c>
      <c r="Q413" t="inlineStr">
        <is>
          <t>eng</t>
        </is>
      </c>
      <c r="R413" t="inlineStr">
        <is>
          <t>pau</t>
        </is>
      </c>
      <c r="T413" t="inlineStr">
        <is>
          <t xml:space="preserve">WY </t>
        </is>
      </c>
      <c r="U413" t="n">
        <v>10</v>
      </c>
      <c r="V413" t="n">
        <v>10</v>
      </c>
      <c r="W413" t="inlineStr">
        <is>
          <t>2004-08-30</t>
        </is>
      </c>
      <c r="X413" t="inlineStr">
        <is>
          <t>2004-08-30</t>
        </is>
      </c>
      <c r="Y413" t="inlineStr">
        <is>
          <t>2002-01-11</t>
        </is>
      </c>
      <c r="Z413" t="inlineStr">
        <is>
          <t>2002-01-11</t>
        </is>
      </c>
      <c r="AA413" t="n">
        <v>298</v>
      </c>
      <c r="AB413" t="n">
        <v>229</v>
      </c>
      <c r="AC413" t="n">
        <v>1521</v>
      </c>
      <c r="AD413" t="n">
        <v>2</v>
      </c>
      <c r="AE413" t="n">
        <v>12</v>
      </c>
      <c r="AF413" t="n">
        <v>8</v>
      </c>
      <c r="AG413" t="n">
        <v>44</v>
      </c>
      <c r="AH413" t="n">
        <v>4</v>
      </c>
      <c r="AI413" t="n">
        <v>18</v>
      </c>
      <c r="AJ413" t="n">
        <v>1</v>
      </c>
      <c r="AK413" t="n">
        <v>8</v>
      </c>
      <c r="AL413" t="n">
        <v>3</v>
      </c>
      <c r="AM413" t="n">
        <v>17</v>
      </c>
      <c r="AN413" t="n">
        <v>1</v>
      </c>
      <c r="AO413" t="n">
        <v>9</v>
      </c>
      <c r="AP413" t="n">
        <v>0</v>
      </c>
      <c r="AQ413" t="n">
        <v>0</v>
      </c>
      <c r="AR413" t="inlineStr">
        <is>
          <t>No</t>
        </is>
      </c>
      <c r="AS413" t="inlineStr">
        <is>
          <t>Yes</t>
        </is>
      </c>
      <c r="AT413">
        <f>HYPERLINK("http://catalog.hathitrust.org/Record/003573823","HathiTrust Record")</f>
        <v/>
      </c>
      <c r="AU413">
        <f>HYPERLINK("https://creighton-primo.hosted.exlibrisgroup.com/primo-explore/search?tab=default_tab&amp;search_scope=EVERYTHING&amp;vid=01CRU&amp;lang=en_US&amp;offset=0&amp;query=any,contains,991000302329702656","Catalog Record")</f>
        <v/>
      </c>
      <c r="AV413">
        <f>HYPERLINK("http://www.worldcat.org/oclc/46970637","WorldCat Record")</f>
        <v/>
      </c>
      <c r="AW413" t="inlineStr">
        <is>
          <t>1077208984:eng</t>
        </is>
      </c>
      <c r="AX413" t="inlineStr">
        <is>
          <t>46970637</t>
        </is>
      </c>
      <c r="AY413" t="inlineStr">
        <is>
          <t>991000302329702656</t>
        </is>
      </c>
      <c r="AZ413" t="inlineStr">
        <is>
          <t>991000302329702656</t>
        </is>
      </c>
      <c r="BA413" t="inlineStr">
        <is>
          <t>2257038200002656</t>
        </is>
      </c>
      <c r="BB413" t="inlineStr">
        <is>
          <t>BOOK</t>
        </is>
      </c>
      <c r="BD413" t="inlineStr">
        <is>
          <t>9780781733199</t>
        </is>
      </c>
      <c r="BE413" t="inlineStr">
        <is>
          <t>30001004236347</t>
        </is>
      </c>
      <c r="BF413" t="inlineStr">
        <is>
          <t>893122727</t>
        </is>
      </c>
    </row>
    <row r="414">
      <c r="A414" t="inlineStr">
        <is>
          <t>No</t>
        </is>
      </c>
      <c r="B414" t="inlineStr">
        <is>
          <t>CUHSL</t>
        </is>
      </c>
      <c r="C414" t="inlineStr">
        <is>
          <t>SHELVES</t>
        </is>
      </c>
      <c r="D414" t="inlineStr">
        <is>
          <t>WY18.2 P3714 2000</t>
        </is>
      </c>
      <c r="E414" t="inlineStr">
        <is>
          <t>0                      WY 0018200P  3714        2000</t>
        </is>
      </c>
      <c r="F414" t="inlineStr">
        <is>
          <t>Pediatric nursing / [edited by] Mary E. Muscari.</t>
        </is>
      </c>
      <c r="H414" t="inlineStr">
        <is>
          <t>No</t>
        </is>
      </c>
      <c r="I414" t="inlineStr">
        <is>
          <t>1</t>
        </is>
      </c>
      <c r="J414" t="inlineStr">
        <is>
          <t>No</t>
        </is>
      </c>
      <c r="K414" t="inlineStr">
        <is>
          <t>No</t>
        </is>
      </c>
      <c r="L414" t="inlineStr">
        <is>
          <t>0</t>
        </is>
      </c>
      <c r="N414" t="inlineStr">
        <is>
          <t>Philadelphia : Lippincott, c2000.</t>
        </is>
      </c>
      <c r="O414" t="inlineStr">
        <is>
          <t>2000</t>
        </is>
      </c>
      <c r="P414" t="inlineStr">
        <is>
          <t>3rd ed.</t>
        </is>
      </c>
      <c r="Q414" t="inlineStr">
        <is>
          <t>eng</t>
        </is>
      </c>
      <c r="R414" t="inlineStr">
        <is>
          <t>pau</t>
        </is>
      </c>
      <c r="S414" t="inlineStr">
        <is>
          <t>Lippincott's review series</t>
        </is>
      </c>
      <c r="T414" t="inlineStr">
        <is>
          <t xml:space="preserve">WY </t>
        </is>
      </c>
      <c r="U414" t="n">
        <v>5</v>
      </c>
      <c r="V414" t="n">
        <v>5</v>
      </c>
      <c r="W414" t="inlineStr">
        <is>
          <t>2010-03-20</t>
        </is>
      </c>
      <c r="X414" t="inlineStr">
        <is>
          <t>2010-03-20</t>
        </is>
      </c>
      <c r="Y414" t="inlineStr">
        <is>
          <t>2002-06-27</t>
        </is>
      </c>
      <c r="Z414" t="inlineStr">
        <is>
          <t>2002-06-27</t>
        </is>
      </c>
      <c r="AA414" t="n">
        <v>91</v>
      </c>
      <c r="AB414" t="n">
        <v>62</v>
      </c>
      <c r="AC414" t="n">
        <v>251</v>
      </c>
      <c r="AD414" t="n">
        <v>1</v>
      </c>
      <c r="AE414" t="n">
        <v>1</v>
      </c>
      <c r="AF414" t="n">
        <v>3</v>
      </c>
      <c r="AG414" t="n">
        <v>11</v>
      </c>
      <c r="AH414" t="n">
        <v>1</v>
      </c>
      <c r="AI414" t="n">
        <v>3</v>
      </c>
      <c r="AJ414" t="n">
        <v>0</v>
      </c>
      <c r="AK414" t="n">
        <v>3</v>
      </c>
      <c r="AL414" t="n">
        <v>2</v>
      </c>
      <c r="AM414" t="n">
        <v>7</v>
      </c>
      <c r="AN414" t="n">
        <v>0</v>
      </c>
      <c r="AO414" t="n">
        <v>0</v>
      </c>
      <c r="AP414" t="n">
        <v>0</v>
      </c>
      <c r="AQ414" t="n">
        <v>0</v>
      </c>
      <c r="AR414" t="inlineStr">
        <is>
          <t>No</t>
        </is>
      </c>
      <c r="AS414" t="inlineStr">
        <is>
          <t>No</t>
        </is>
      </c>
      <c r="AU414">
        <f>HYPERLINK("https://creighton-primo.hosted.exlibrisgroup.com/primo-explore/search?tab=default_tab&amp;search_scope=EVERYTHING&amp;vid=01CRU&amp;lang=en_US&amp;offset=0&amp;query=any,contains,991001705769702656","Catalog Record")</f>
        <v/>
      </c>
      <c r="AV414">
        <f>HYPERLINK("http://www.worldcat.org/oclc/43905924","WorldCat Record")</f>
        <v/>
      </c>
      <c r="AW414" t="inlineStr">
        <is>
          <t>1057210:eng</t>
        </is>
      </c>
      <c r="AX414" t="inlineStr">
        <is>
          <t>43905924</t>
        </is>
      </c>
      <c r="AY414" t="inlineStr">
        <is>
          <t>991001705769702656</t>
        </is>
      </c>
      <c r="AZ414" t="inlineStr">
        <is>
          <t>991001705769702656</t>
        </is>
      </c>
      <c r="BA414" t="inlineStr">
        <is>
          <t>2266959260002656</t>
        </is>
      </c>
      <c r="BB414" t="inlineStr">
        <is>
          <t>BOOK</t>
        </is>
      </c>
      <c r="BD414" t="inlineStr">
        <is>
          <t>9780781721875</t>
        </is>
      </c>
      <c r="BE414" t="inlineStr">
        <is>
          <t>30001004239655</t>
        </is>
      </c>
      <c r="BF414" t="inlineStr">
        <is>
          <t>893649351</t>
        </is>
      </c>
    </row>
    <row r="415">
      <c r="A415" t="inlineStr">
        <is>
          <t>No</t>
        </is>
      </c>
      <c r="B415" t="inlineStr">
        <is>
          <t>CUHSL</t>
        </is>
      </c>
      <c r="C415" t="inlineStr">
        <is>
          <t>SHELVES</t>
        </is>
      </c>
      <c r="D415" t="inlineStr">
        <is>
          <t>WY 18.2 R337f 2005</t>
        </is>
      </c>
      <c r="E415" t="inlineStr">
        <is>
          <t>0                      WY 0018200R  337f        2005</t>
        </is>
      </c>
      <c r="F415" t="inlineStr">
        <is>
          <t>Leadershp and management / contributors, Anita W. Finkelman... [et al.] ; editor, Leslie Schaaf Treas.</t>
        </is>
      </c>
      <c r="H415" t="inlineStr">
        <is>
          <t>No</t>
        </is>
      </c>
      <c r="I415" t="inlineStr">
        <is>
          <t>1</t>
        </is>
      </c>
      <c r="J415" t="inlineStr">
        <is>
          <t>No</t>
        </is>
      </c>
      <c r="K415" t="inlineStr">
        <is>
          <t>No</t>
        </is>
      </c>
      <c r="L415" t="inlineStr">
        <is>
          <t>0</t>
        </is>
      </c>
      <c r="N415" t="inlineStr">
        <is>
          <t>Overland Park, KS : Assessment Technologies, c2005</t>
        </is>
      </c>
      <c r="O415" t="inlineStr">
        <is>
          <t>2005</t>
        </is>
      </c>
      <c r="Q415" t="inlineStr">
        <is>
          <t>eng</t>
        </is>
      </c>
      <c r="R415" t="inlineStr">
        <is>
          <t>ksu</t>
        </is>
      </c>
      <c r="S415" t="inlineStr">
        <is>
          <t>Content mastery series</t>
        </is>
      </c>
      <c r="T415" t="inlineStr">
        <is>
          <t xml:space="preserve">WY </t>
        </is>
      </c>
      <c r="U415" t="n">
        <v>1</v>
      </c>
      <c r="V415" t="n">
        <v>1</v>
      </c>
      <c r="W415" t="inlineStr">
        <is>
          <t>2009-06-24</t>
        </is>
      </c>
      <c r="X415" t="inlineStr">
        <is>
          <t>2009-06-24</t>
        </is>
      </c>
      <c r="Y415" t="inlineStr">
        <is>
          <t>2009-06-17</t>
        </is>
      </c>
      <c r="Z415" t="inlineStr">
        <is>
          <t>2009-06-17</t>
        </is>
      </c>
      <c r="AA415" t="n">
        <v>16</v>
      </c>
      <c r="AB415" t="n">
        <v>16</v>
      </c>
      <c r="AC415" t="n">
        <v>16</v>
      </c>
      <c r="AD415" t="n">
        <v>1</v>
      </c>
      <c r="AE415" t="n">
        <v>1</v>
      </c>
      <c r="AF415" t="n">
        <v>1</v>
      </c>
      <c r="AG415" t="n">
        <v>1</v>
      </c>
      <c r="AH415" t="n">
        <v>0</v>
      </c>
      <c r="AI415" t="n">
        <v>0</v>
      </c>
      <c r="AJ415" t="n">
        <v>0</v>
      </c>
      <c r="AK415" t="n">
        <v>0</v>
      </c>
      <c r="AL415" t="n">
        <v>1</v>
      </c>
      <c r="AM415" t="n">
        <v>1</v>
      </c>
      <c r="AN415" t="n">
        <v>0</v>
      </c>
      <c r="AO415" t="n">
        <v>0</v>
      </c>
      <c r="AP415" t="n">
        <v>0</v>
      </c>
      <c r="AQ415" t="n">
        <v>0</v>
      </c>
      <c r="AR415" t="inlineStr">
        <is>
          <t>No</t>
        </is>
      </c>
      <c r="AS415" t="inlineStr">
        <is>
          <t>No</t>
        </is>
      </c>
      <c r="AU415">
        <f>HYPERLINK("https://creighton-primo.hosted.exlibrisgroup.com/primo-explore/search?tab=default_tab&amp;search_scope=EVERYTHING&amp;vid=01CRU&amp;lang=en_US&amp;offset=0&amp;query=any,contains,991001470379702656","Catalog Record")</f>
        <v/>
      </c>
      <c r="AV415">
        <f>HYPERLINK("http://www.worldcat.org/oclc/74281919","WorldCat Record")</f>
        <v/>
      </c>
      <c r="AW415" t="inlineStr">
        <is>
          <t>8911751991:eng</t>
        </is>
      </c>
      <c r="AX415" t="inlineStr">
        <is>
          <t>74281919</t>
        </is>
      </c>
      <c r="AY415" t="inlineStr">
        <is>
          <t>991001470379702656</t>
        </is>
      </c>
      <c r="AZ415" t="inlineStr">
        <is>
          <t>991001470379702656</t>
        </is>
      </c>
      <c r="BA415" t="inlineStr">
        <is>
          <t>2261294340002656</t>
        </is>
      </c>
      <c r="BB415" t="inlineStr">
        <is>
          <t>BOOK</t>
        </is>
      </c>
      <c r="BD415" t="inlineStr">
        <is>
          <t>9781933107226</t>
        </is>
      </c>
      <c r="BE415" t="inlineStr">
        <is>
          <t>30001004917532</t>
        </is>
      </c>
      <c r="BF415" t="inlineStr">
        <is>
          <t>893455834</t>
        </is>
      </c>
    </row>
    <row r="416">
      <c r="A416" t="inlineStr">
        <is>
          <t>No</t>
        </is>
      </c>
      <c r="B416" t="inlineStr">
        <is>
          <t>CUHSL</t>
        </is>
      </c>
      <c r="C416" t="inlineStr">
        <is>
          <t>SHELVES</t>
        </is>
      </c>
      <c r="D416" t="inlineStr">
        <is>
          <t>WY 18.2 R454 2000</t>
        </is>
      </c>
      <c r="E416" t="inlineStr">
        <is>
          <t>0                      WY 0018200R  454         2000</t>
        </is>
      </c>
      <c r="F416" t="inlineStr">
        <is>
          <t>Review guide for LPN/LVN pre-entrance exam / edited by Mary McDonald.</t>
        </is>
      </c>
      <c r="H416" t="inlineStr">
        <is>
          <t>No</t>
        </is>
      </c>
      <c r="I416" t="inlineStr">
        <is>
          <t>1</t>
        </is>
      </c>
      <c r="J416" t="inlineStr">
        <is>
          <t>No</t>
        </is>
      </c>
      <c r="K416" t="inlineStr">
        <is>
          <t>No</t>
        </is>
      </c>
      <c r="L416" t="inlineStr">
        <is>
          <t>0</t>
        </is>
      </c>
      <c r="N416" t="inlineStr">
        <is>
          <t>Sudbury, Mass. : Jones and Bartlett Publishers, c2000.</t>
        </is>
      </c>
      <c r="O416" t="inlineStr">
        <is>
          <t>2000</t>
        </is>
      </c>
      <c r="Q416" t="inlineStr">
        <is>
          <t>eng</t>
        </is>
      </c>
      <c r="R416" t="inlineStr">
        <is>
          <t>mau</t>
        </is>
      </c>
      <c r="S416" t="inlineStr">
        <is>
          <t>NLN Pub. No. 1061-X</t>
        </is>
      </c>
      <c r="T416" t="inlineStr">
        <is>
          <t xml:space="preserve">WY </t>
        </is>
      </c>
      <c r="U416" t="n">
        <v>4</v>
      </c>
      <c r="V416" t="n">
        <v>4</v>
      </c>
      <c r="W416" t="inlineStr">
        <is>
          <t>2009-02-10</t>
        </is>
      </c>
      <c r="X416" t="inlineStr">
        <is>
          <t>2009-02-10</t>
        </is>
      </c>
      <c r="Y416" t="inlineStr">
        <is>
          <t>2002-03-04</t>
        </is>
      </c>
      <c r="Z416" t="inlineStr">
        <is>
          <t>2002-03-04</t>
        </is>
      </c>
      <c r="AA416" t="n">
        <v>195</v>
      </c>
      <c r="AB416" t="n">
        <v>187</v>
      </c>
      <c r="AC416" t="n">
        <v>189</v>
      </c>
      <c r="AD416" t="n">
        <v>1</v>
      </c>
      <c r="AE416" t="n">
        <v>1</v>
      </c>
      <c r="AF416" t="n">
        <v>3</v>
      </c>
      <c r="AG416" t="n">
        <v>3</v>
      </c>
      <c r="AH416" t="n">
        <v>1</v>
      </c>
      <c r="AI416" t="n">
        <v>1</v>
      </c>
      <c r="AJ416" t="n">
        <v>2</v>
      </c>
      <c r="AK416" t="n">
        <v>2</v>
      </c>
      <c r="AL416" t="n">
        <v>1</v>
      </c>
      <c r="AM416" t="n">
        <v>1</v>
      </c>
      <c r="AN416" t="n">
        <v>0</v>
      </c>
      <c r="AO416" t="n">
        <v>0</v>
      </c>
      <c r="AP416" t="n">
        <v>0</v>
      </c>
      <c r="AQ416" t="n">
        <v>0</v>
      </c>
      <c r="AR416" t="inlineStr">
        <is>
          <t>No</t>
        </is>
      </c>
      <c r="AS416" t="inlineStr">
        <is>
          <t>No</t>
        </is>
      </c>
      <c r="AU416">
        <f>HYPERLINK("https://creighton-primo.hosted.exlibrisgroup.com/primo-explore/search?tab=default_tab&amp;search_scope=EVERYTHING&amp;vid=01CRU&amp;lang=en_US&amp;offset=0&amp;query=any,contains,991000306499702656","Catalog Record")</f>
        <v/>
      </c>
      <c r="AV416">
        <f>HYPERLINK("http://www.worldcat.org/oclc/42365926","WorldCat Record")</f>
        <v/>
      </c>
      <c r="AW416" t="inlineStr">
        <is>
          <t>3858179843:eng</t>
        </is>
      </c>
      <c r="AX416" t="inlineStr">
        <is>
          <t>42365926</t>
        </is>
      </c>
      <c r="AY416" t="inlineStr">
        <is>
          <t>991000306499702656</t>
        </is>
      </c>
      <c r="AZ416" t="inlineStr">
        <is>
          <t>991000306499702656</t>
        </is>
      </c>
      <c r="BA416" t="inlineStr">
        <is>
          <t>2269558560002656</t>
        </is>
      </c>
      <c r="BB416" t="inlineStr">
        <is>
          <t>BOOK</t>
        </is>
      </c>
      <c r="BD416" t="inlineStr">
        <is>
          <t>9780763710613</t>
        </is>
      </c>
      <c r="BE416" t="inlineStr">
        <is>
          <t>30001003778638</t>
        </is>
      </c>
      <c r="BF416" t="inlineStr">
        <is>
          <t>893728239</t>
        </is>
      </c>
    </row>
    <row r="417">
      <c r="A417" t="inlineStr">
        <is>
          <t>No</t>
        </is>
      </c>
      <c r="B417" t="inlineStr">
        <is>
          <t>CUHSL</t>
        </is>
      </c>
      <c r="C417" t="inlineStr">
        <is>
          <t>SHELVES</t>
        </is>
      </c>
      <c r="D417" t="inlineStr">
        <is>
          <t>WY 18.2 R659c 1998</t>
        </is>
      </c>
      <c r="E417" t="inlineStr">
        <is>
          <t>0                      WY 0018200R  659c        1998</t>
        </is>
      </c>
      <c r="F417" t="inlineStr">
        <is>
          <t>Clinical decision making for nurse practitioners : a case study approach / Denise L. Robinson.</t>
        </is>
      </c>
      <c r="H417" t="inlineStr">
        <is>
          <t>No</t>
        </is>
      </c>
      <c r="I417" t="inlineStr">
        <is>
          <t>1</t>
        </is>
      </c>
      <c r="J417" t="inlineStr">
        <is>
          <t>No</t>
        </is>
      </c>
      <c r="K417" t="inlineStr">
        <is>
          <t>No</t>
        </is>
      </c>
      <c r="L417" t="inlineStr">
        <is>
          <t>0</t>
        </is>
      </c>
      <c r="M417" t="inlineStr">
        <is>
          <t>Robinson, Denise L.</t>
        </is>
      </c>
      <c r="N417" t="inlineStr">
        <is>
          <t>Philadelphia : Lippincott, c1998.</t>
        </is>
      </c>
      <c r="O417" t="inlineStr">
        <is>
          <t>1998</t>
        </is>
      </c>
      <c r="Q417" t="inlineStr">
        <is>
          <t>eng</t>
        </is>
      </c>
      <c r="R417" t="inlineStr">
        <is>
          <t>pau</t>
        </is>
      </c>
      <c r="T417" t="inlineStr">
        <is>
          <t xml:space="preserve">WY </t>
        </is>
      </c>
      <c r="U417" t="n">
        <v>4</v>
      </c>
      <c r="V417" t="n">
        <v>4</v>
      </c>
      <c r="W417" t="inlineStr">
        <is>
          <t>2009-11-19</t>
        </is>
      </c>
      <c r="X417" t="inlineStr">
        <is>
          <t>2009-11-19</t>
        </is>
      </c>
      <c r="Y417" t="inlineStr">
        <is>
          <t>1999-01-19</t>
        </is>
      </c>
      <c r="Z417" t="inlineStr">
        <is>
          <t>1999-01-19</t>
        </is>
      </c>
      <c r="AA417" t="n">
        <v>190</v>
      </c>
      <c r="AB417" t="n">
        <v>132</v>
      </c>
      <c r="AC417" t="n">
        <v>137</v>
      </c>
      <c r="AD417" t="n">
        <v>1</v>
      </c>
      <c r="AE417" t="n">
        <v>1</v>
      </c>
      <c r="AF417" t="n">
        <v>4</v>
      </c>
      <c r="AG417" t="n">
        <v>4</v>
      </c>
      <c r="AH417" t="n">
        <v>0</v>
      </c>
      <c r="AI417" t="n">
        <v>0</v>
      </c>
      <c r="AJ417" t="n">
        <v>1</v>
      </c>
      <c r="AK417" t="n">
        <v>1</v>
      </c>
      <c r="AL417" t="n">
        <v>3</v>
      </c>
      <c r="AM417" t="n">
        <v>3</v>
      </c>
      <c r="AN417" t="n">
        <v>0</v>
      </c>
      <c r="AO417" t="n">
        <v>0</v>
      </c>
      <c r="AP417" t="n">
        <v>0</v>
      </c>
      <c r="AQ417" t="n">
        <v>0</v>
      </c>
      <c r="AR417" t="inlineStr">
        <is>
          <t>No</t>
        </is>
      </c>
      <c r="AS417" t="inlineStr">
        <is>
          <t>No</t>
        </is>
      </c>
      <c r="AU417">
        <f>HYPERLINK("https://creighton-primo.hosted.exlibrisgroup.com/primo-explore/search?tab=default_tab&amp;search_scope=EVERYTHING&amp;vid=01CRU&amp;lang=en_US&amp;offset=0&amp;query=any,contains,991001530859702656","Catalog Record")</f>
        <v/>
      </c>
      <c r="AV417">
        <f>HYPERLINK("http://www.worldcat.org/oclc/36923331","WorldCat Record")</f>
        <v/>
      </c>
      <c r="AW417" t="inlineStr">
        <is>
          <t>2288246190:eng</t>
        </is>
      </c>
      <c r="AX417" t="inlineStr">
        <is>
          <t>36923331</t>
        </is>
      </c>
      <c r="AY417" t="inlineStr">
        <is>
          <t>991001530859702656</t>
        </is>
      </c>
      <c r="AZ417" t="inlineStr">
        <is>
          <t>991001530859702656</t>
        </is>
      </c>
      <c r="BA417" t="inlineStr">
        <is>
          <t>2271833370002656</t>
        </is>
      </c>
      <c r="BB417" t="inlineStr">
        <is>
          <t>BOOK</t>
        </is>
      </c>
      <c r="BD417" t="inlineStr">
        <is>
          <t>9780397554591</t>
        </is>
      </c>
      <c r="BE417" t="inlineStr">
        <is>
          <t>30001003961432</t>
        </is>
      </c>
      <c r="BF417" t="inlineStr">
        <is>
          <t>893826840</t>
        </is>
      </c>
    </row>
    <row r="418">
      <c r="A418" t="inlineStr">
        <is>
          <t>No</t>
        </is>
      </c>
      <c r="B418" t="inlineStr">
        <is>
          <t>CUHSL</t>
        </is>
      </c>
      <c r="C418" t="inlineStr">
        <is>
          <t>SHELVES</t>
        </is>
      </c>
      <c r="D418" t="inlineStr">
        <is>
          <t>WY 18.2 S257 2002</t>
        </is>
      </c>
      <c r="E418" t="inlineStr">
        <is>
          <t>0                      WY 0018200S  257         2002</t>
        </is>
      </c>
      <c r="F418" t="inlineStr">
        <is>
          <t>Saunders comprehensive review for NCLEX-RN / [edited by] Linda Anne Silvestri.</t>
        </is>
      </c>
      <c r="H418" t="inlineStr">
        <is>
          <t>No</t>
        </is>
      </c>
      <c r="I418" t="inlineStr">
        <is>
          <t>1</t>
        </is>
      </c>
      <c r="J418" t="inlineStr">
        <is>
          <t>No</t>
        </is>
      </c>
      <c r="K418" t="inlineStr">
        <is>
          <t>No</t>
        </is>
      </c>
      <c r="L418" t="inlineStr">
        <is>
          <t>0</t>
        </is>
      </c>
      <c r="N418" t="inlineStr">
        <is>
          <t>Philadelphia : W.B. Saunders, c2002.</t>
        </is>
      </c>
      <c r="O418" t="inlineStr">
        <is>
          <t>2002</t>
        </is>
      </c>
      <c r="P418" t="inlineStr">
        <is>
          <t>2nd ed.</t>
        </is>
      </c>
      <c r="Q418" t="inlineStr">
        <is>
          <t>eng</t>
        </is>
      </c>
      <c r="R418" t="inlineStr">
        <is>
          <t>pau</t>
        </is>
      </c>
      <c r="T418" t="inlineStr">
        <is>
          <t xml:space="preserve">WY </t>
        </is>
      </c>
      <c r="U418" t="n">
        <v>1</v>
      </c>
      <c r="V418" t="n">
        <v>1</v>
      </c>
      <c r="W418" t="inlineStr">
        <is>
          <t>2010-01-08</t>
        </is>
      </c>
      <c r="X418" t="inlineStr">
        <is>
          <t>2010-01-08</t>
        </is>
      </c>
      <c r="Y418" t="inlineStr">
        <is>
          <t>2010-01-08</t>
        </is>
      </c>
      <c r="Z418" t="inlineStr">
        <is>
          <t>2010-01-08</t>
        </is>
      </c>
      <c r="AA418" t="n">
        <v>199</v>
      </c>
      <c r="AB418" t="n">
        <v>181</v>
      </c>
      <c r="AC418" t="n">
        <v>392</v>
      </c>
      <c r="AD418" t="n">
        <v>1</v>
      </c>
      <c r="AE418" t="n">
        <v>2</v>
      </c>
      <c r="AF418" t="n">
        <v>4</v>
      </c>
      <c r="AG418" t="n">
        <v>4</v>
      </c>
      <c r="AH418" t="n">
        <v>2</v>
      </c>
      <c r="AI418" t="n">
        <v>2</v>
      </c>
      <c r="AJ418" t="n">
        <v>0</v>
      </c>
      <c r="AK418" t="n">
        <v>0</v>
      </c>
      <c r="AL418" t="n">
        <v>3</v>
      </c>
      <c r="AM418" t="n">
        <v>3</v>
      </c>
      <c r="AN418" t="n">
        <v>0</v>
      </c>
      <c r="AO418" t="n">
        <v>0</v>
      </c>
      <c r="AP418" t="n">
        <v>0</v>
      </c>
      <c r="AQ418" t="n">
        <v>0</v>
      </c>
      <c r="AR418" t="inlineStr">
        <is>
          <t>No</t>
        </is>
      </c>
      <c r="AS418" t="inlineStr">
        <is>
          <t>Yes</t>
        </is>
      </c>
      <c r="AT418">
        <f>HYPERLINK("http://catalog.hathitrust.org/Record/003570183","HathiTrust Record")</f>
        <v/>
      </c>
      <c r="AU418">
        <f>HYPERLINK("https://creighton-primo.hosted.exlibrisgroup.com/primo-explore/search?tab=default_tab&amp;search_scope=EVERYTHING&amp;vid=01CRU&amp;lang=en_US&amp;offset=0&amp;query=any,contains,991001555209702656","Catalog Record")</f>
        <v/>
      </c>
      <c r="AV418">
        <f>HYPERLINK("http://www.worldcat.org/oclc/47997965","WorldCat Record")</f>
        <v/>
      </c>
      <c r="AW418" t="inlineStr">
        <is>
          <t>3768860051:eng</t>
        </is>
      </c>
      <c r="AX418" t="inlineStr">
        <is>
          <t>47997965</t>
        </is>
      </c>
      <c r="AY418" t="inlineStr">
        <is>
          <t>991001555209702656</t>
        </is>
      </c>
      <c r="AZ418" t="inlineStr">
        <is>
          <t>991001555209702656</t>
        </is>
      </c>
      <c r="BA418" t="inlineStr">
        <is>
          <t>2271610660002656</t>
        </is>
      </c>
      <c r="BB418" t="inlineStr">
        <is>
          <t>BOOK</t>
        </is>
      </c>
      <c r="BD418" t="inlineStr">
        <is>
          <t>9780721692357</t>
        </is>
      </c>
      <c r="BE418" t="inlineStr">
        <is>
          <t>30001005366648</t>
        </is>
      </c>
      <c r="BF418" t="inlineStr">
        <is>
          <t>893652078</t>
        </is>
      </c>
    </row>
    <row r="419">
      <c r="A419" t="inlineStr">
        <is>
          <t>No</t>
        </is>
      </c>
      <c r="B419" t="inlineStr">
        <is>
          <t>CUHSL</t>
        </is>
      </c>
      <c r="C419" t="inlineStr">
        <is>
          <t>SHELVES</t>
        </is>
      </c>
      <c r="D419" t="inlineStr">
        <is>
          <t>WY 18.2 S587sa 1999</t>
        </is>
      </c>
      <c r="E419" t="inlineStr">
        <is>
          <t>0                      WY 0018200S  587sa       1999</t>
        </is>
      </c>
      <c r="F419" t="inlineStr">
        <is>
          <t>Saunders Q&amp;A review for NCLEX-RN / Linda Anne Silvestri.</t>
        </is>
      </c>
      <c r="H419" t="inlineStr">
        <is>
          <t>No</t>
        </is>
      </c>
      <c r="I419" t="inlineStr">
        <is>
          <t>1</t>
        </is>
      </c>
      <c r="J419" t="inlineStr">
        <is>
          <t>No</t>
        </is>
      </c>
      <c r="K419" t="inlineStr">
        <is>
          <t>Yes</t>
        </is>
      </c>
      <c r="L419" t="inlineStr">
        <is>
          <t>0</t>
        </is>
      </c>
      <c r="M419" t="inlineStr">
        <is>
          <t>Silvestri, Linda Anne.</t>
        </is>
      </c>
      <c r="N419" t="inlineStr">
        <is>
          <t>Philadelphia : Saunders, c1999.</t>
        </is>
      </c>
      <c r="O419" t="inlineStr">
        <is>
          <t>1999</t>
        </is>
      </c>
      <c r="Q419" t="inlineStr">
        <is>
          <t>eng</t>
        </is>
      </c>
      <c r="R419" t="inlineStr">
        <is>
          <t>pau</t>
        </is>
      </c>
      <c r="T419" t="inlineStr">
        <is>
          <t xml:space="preserve">WY </t>
        </is>
      </c>
      <c r="U419" t="n">
        <v>13</v>
      </c>
      <c r="V419" t="n">
        <v>13</v>
      </c>
      <c r="W419" t="inlineStr">
        <is>
          <t>2003-04-23</t>
        </is>
      </c>
      <c r="X419" t="inlineStr">
        <is>
          <t>2003-04-23</t>
        </is>
      </c>
      <c r="Y419" t="inlineStr">
        <is>
          <t>1999-10-21</t>
        </is>
      </c>
      <c r="Z419" t="inlineStr">
        <is>
          <t>1999-10-21</t>
        </is>
      </c>
      <c r="AA419" t="n">
        <v>80</v>
      </c>
      <c r="AB419" t="n">
        <v>73</v>
      </c>
      <c r="AC419" t="n">
        <v>227</v>
      </c>
      <c r="AD419" t="n">
        <v>2</v>
      </c>
      <c r="AE419" t="n">
        <v>4</v>
      </c>
      <c r="AF419" t="n">
        <v>2</v>
      </c>
      <c r="AG419" t="n">
        <v>5</v>
      </c>
      <c r="AH419" t="n">
        <v>0</v>
      </c>
      <c r="AI419" t="n">
        <v>1</v>
      </c>
      <c r="AJ419" t="n">
        <v>0</v>
      </c>
      <c r="AK419" t="n">
        <v>0</v>
      </c>
      <c r="AL419" t="n">
        <v>2</v>
      </c>
      <c r="AM419" t="n">
        <v>2</v>
      </c>
      <c r="AN419" t="n">
        <v>0</v>
      </c>
      <c r="AO419" t="n">
        <v>2</v>
      </c>
      <c r="AP419" t="n">
        <v>0</v>
      </c>
      <c r="AQ419" t="n">
        <v>0</v>
      </c>
      <c r="AR419" t="inlineStr">
        <is>
          <t>No</t>
        </is>
      </c>
      <c r="AS419" t="inlineStr">
        <is>
          <t>No</t>
        </is>
      </c>
      <c r="AU419">
        <f>HYPERLINK("https://creighton-primo.hosted.exlibrisgroup.com/primo-explore/search?tab=default_tab&amp;search_scope=EVERYTHING&amp;vid=01CRU&amp;lang=en_US&amp;offset=0&amp;query=any,contains,991001764159702656","Catalog Record")</f>
        <v/>
      </c>
      <c r="AV419">
        <f>HYPERLINK("http://www.worldcat.org/oclc/38562311","WorldCat Record")</f>
        <v/>
      </c>
      <c r="AW419" t="inlineStr">
        <is>
          <t>3863845101:eng</t>
        </is>
      </c>
      <c r="AX419" t="inlineStr">
        <is>
          <t>38562311</t>
        </is>
      </c>
      <c r="AY419" t="inlineStr">
        <is>
          <t>991001764159702656</t>
        </is>
      </c>
      <c r="AZ419" t="inlineStr">
        <is>
          <t>991001764159702656</t>
        </is>
      </c>
      <c r="BA419" t="inlineStr">
        <is>
          <t>2265760260002656</t>
        </is>
      </c>
      <c r="BB419" t="inlineStr">
        <is>
          <t>BOOK</t>
        </is>
      </c>
      <c r="BD419" t="inlineStr">
        <is>
          <t>9780721677934</t>
        </is>
      </c>
      <c r="BE419" t="inlineStr">
        <is>
          <t>30001004080190</t>
        </is>
      </c>
      <c r="BF419" t="inlineStr">
        <is>
          <t>893832581</t>
        </is>
      </c>
    </row>
    <row r="420">
      <c r="A420" t="inlineStr">
        <is>
          <t>No</t>
        </is>
      </c>
      <c r="B420" t="inlineStr">
        <is>
          <t>CUHSL</t>
        </is>
      </c>
      <c r="C420" t="inlineStr">
        <is>
          <t>SHELVES</t>
        </is>
      </c>
      <c r="D420" t="inlineStr">
        <is>
          <t>WY18.2 S587sa 2002</t>
        </is>
      </c>
      <c r="E420" t="inlineStr">
        <is>
          <t>0                      WY 0018200S  587sa       2002</t>
        </is>
      </c>
      <c r="F420" t="inlineStr">
        <is>
          <t>Saunders Q &amp; A review for NCLEX-RN / Linda Anne Silvestri.</t>
        </is>
      </c>
      <c r="H420" t="inlineStr">
        <is>
          <t>No</t>
        </is>
      </c>
      <c r="I420" t="inlineStr">
        <is>
          <t>1</t>
        </is>
      </c>
      <c r="J420" t="inlineStr">
        <is>
          <t>No</t>
        </is>
      </c>
      <c r="K420" t="inlineStr">
        <is>
          <t>Yes</t>
        </is>
      </c>
      <c r="L420" t="inlineStr">
        <is>
          <t>0</t>
        </is>
      </c>
      <c r="M420" t="inlineStr">
        <is>
          <t>Silvestri, Linda Anne.</t>
        </is>
      </c>
      <c r="N420" t="inlineStr">
        <is>
          <t>Philadelphia : W.B. Saunders, c2002.</t>
        </is>
      </c>
      <c r="O420" t="inlineStr">
        <is>
          <t>2002</t>
        </is>
      </c>
      <c r="P420" t="inlineStr">
        <is>
          <t>2nd ed.</t>
        </is>
      </c>
      <c r="Q420" t="inlineStr">
        <is>
          <t>eng</t>
        </is>
      </c>
      <c r="R420" t="inlineStr">
        <is>
          <t>pau</t>
        </is>
      </c>
      <c r="T420" t="inlineStr">
        <is>
          <t xml:space="preserve">WY </t>
        </is>
      </c>
      <c r="U420" t="n">
        <v>15</v>
      </c>
      <c r="V420" t="n">
        <v>15</v>
      </c>
      <c r="W420" t="inlineStr">
        <is>
          <t>2008-12-11</t>
        </is>
      </c>
      <c r="X420" t="inlineStr">
        <is>
          <t>2008-12-11</t>
        </is>
      </c>
      <c r="Y420" t="inlineStr">
        <is>
          <t>2002-04-16</t>
        </is>
      </c>
      <c r="Z420" t="inlineStr">
        <is>
          <t>2002-04-16</t>
        </is>
      </c>
      <c r="AA420" t="n">
        <v>103</v>
      </c>
      <c r="AB420" t="n">
        <v>92</v>
      </c>
      <c r="AC420" t="n">
        <v>227</v>
      </c>
      <c r="AD420" t="n">
        <v>1</v>
      </c>
      <c r="AE420" t="n">
        <v>4</v>
      </c>
      <c r="AF420" t="n">
        <v>1</v>
      </c>
      <c r="AG420" t="n">
        <v>5</v>
      </c>
      <c r="AH420" t="n">
        <v>1</v>
      </c>
      <c r="AI420" t="n">
        <v>1</v>
      </c>
      <c r="AJ420" t="n">
        <v>0</v>
      </c>
      <c r="AK420" t="n">
        <v>0</v>
      </c>
      <c r="AL420" t="n">
        <v>0</v>
      </c>
      <c r="AM420" t="n">
        <v>2</v>
      </c>
      <c r="AN420" t="n">
        <v>0</v>
      </c>
      <c r="AO420" t="n">
        <v>2</v>
      </c>
      <c r="AP420" t="n">
        <v>0</v>
      </c>
      <c r="AQ420" t="n">
        <v>0</v>
      </c>
      <c r="AR420" t="inlineStr">
        <is>
          <t>No</t>
        </is>
      </c>
      <c r="AS420" t="inlineStr">
        <is>
          <t>No</t>
        </is>
      </c>
      <c r="AU420">
        <f>HYPERLINK("https://creighton-primo.hosted.exlibrisgroup.com/primo-explore/search?tab=default_tab&amp;search_scope=EVERYTHING&amp;vid=01CRU&amp;lang=en_US&amp;offset=0&amp;query=any,contains,991000307859702656","Catalog Record")</f>
        <v/>
      </c>
      <c r="AV420">
        <f>HYPERLINK("http://www.worldcat.org/oclc/48503649","WorldCat Record")</f>
        <v/>
      </c>
      <c r="AW420" t="inlineStr">
        <is>
          <t>3863845101:eng</t>
        </is>
      </c>
      <c r="AX420" t="inlineStr">
        <is>
          <t>48503649</t>
        </is>
      </c>
      <c r="AY420" t="inlineStr">
        <is>
          <t>991000307859702656</t>
        </is>
      </c>
      <c r="AZ420" t="inlineStr">
        <is>
          <t>991000307859702656</t>
        </is>
      </c>
      <c r="BA420" t="inlineStr">
        <is>
          <t>2270318650002656</t>
        </is>
      </c>
      <c r="BB420" t="inlineStr">
        <is>
          <t>BOOK</t>
        </is>
      </c>
      <c r="BD420" t="inlineStr">
        <is>
          <t>9780721692388</t>
        </is>
      </c>
      <c r="BE420" t="inlineStr">
        <is>
          <t>30001004237261</t>
        </is>
      </c>
      <c r="BF420" t="inlineStr">
        <is>
          <t>893537007</t>
        </is>
      </c>
    </row>
    <row r="421">
      <c r="A421" t="inlineStr">
        <is>
          <t>No</t>
        </is>
      </c>
      <c r="B421" t="inlineStr">
        <is>
          <t>CUHSL</t>
        </is>
      </c>
      <c r="C421" t="inlineStr">
        <is>
          <t>SHELVES</t>
        </is>
      </c>
      <c r="D421" t="inlineStr">
        <is>
          <t>WY 18.2 S659sa 2001</t>
        </is>
      </c>
      <c r="E421" t="inlineStr">
        <is>
          <t>0                      WY 0018200S  659sa       2001</t>
        </is>
      </c>
      <c r="F421" t="inlineStr">
        <is>
          <t>Sandra Smith's review for NCLEX-PN / Sandra F. Smith.</t>
        </is>
      </c>
      <c r="H421" t="inlineStr">
        <is>
          <t>No</t>
        </is>
      </c>
      <c r="I421" t="inlineStr">
        <is>
          <t>1</t>
        </is>
      </c>
      <c r="J421" t="inlineStr">
        <is>
          <t>No</t>
        </is>
      </c>
      <c r="K421" t="inlineStr">
        <is>
          <t>Yes</t>
        </is>
      </c>
      <c r="L421" t="inlineStr">
        <is>
          <t>0</t>
        </is>
      </c>
      <c r="M421" t="inlineStr">
        <is>
          <t>Smith, Sandra Fucci.</t>
        </is>
      </c>
      <c r="N421" t="inlineStr">
        <is>
          <t>Upper Saddle River, N.J. : Prentice Hall, c2001.</t>
        </is>
      </c>
      <c r="O421" t="inlineStr">
        <is>
          <t>2001</t>
        </is>
      </c>
      <c r="P421" t="inlineStr">
        <is>
          <t>7th ed.</t>
        </is>
      </c>
      <c r="Q421" t="inlineStr">
        <is>
          <t>eng</t>
        </is>
      </c>
      <c r="R421" t="inlineStr">
        <is>
          <t>nju</t>
        </is>
      </c>
      <c r="T421" t="inlineStr">
        <is>
          <t xml:space="preserve">WY </t>
        </is>
      </c>
      <c r="U421" t="n">
        <v>18</v>
      </c>
      <c r="V421" t="n">
        <v>18</v>
      </c>
      <c r="W421" t="inlineStr">
        <is>
          <t>2007-01-03</t>
        </is>
      </c>
      <c r="X421" t="inlineStr">
        <is>
          <t>2007-01-03</t>
        </is>
      </c>
      <c r="Y421" t="inlineStr">
        <is>
          <t>2002-10-18</t>
        </is>
      </c>
      <c r="Z421" t="inlineStr">
        <is>
          <t>2002-10-18</t>
        </is>
      </c>
      <c r="AA421" t="n">
        <v>63</v>
      </c>
      <c r="AB421" t="n">
        <v>57</v>
      </c>
      <c r="AC421" t="n">
        <v>615</v>
      </c>
      <c r="AD421" t="n">
        <v>1</v>
      </c>
      <c r="AE421" t="n">
        <v>2</v>
      </c>
      <c r="AF421" t="n">
        <v>1</v>
      </c>
      <c r="AG421" t="n">
        <v>20</v>
      </c>
      <c r="AH421" t="n">
        <v>0</v>
      </c>
      <c r="AI421" t="n">
        <v>9</v>
      </c>
      <c r="AJ421" t="n">
        <v>0</v>
      </c>
      <c r="AK421" t="n">
        <v>5</v>
      </c>
      <c r="AL421" t="n">
        <v>1</v>
      </c>
      <c r="AM421" t="n">
        <v>8</v>
      </c>
      <c r="AN421" t="n">
        <v>0</v>
      </c>
      <c r="AO421" t="n">
        <v>1</v>
      </c>
      <c r="AP421" t="n">
        <v>0</v>
      </c>
      <c r="AQ421" t="n">
        <v>1</v>
      </c>
      <c r="AR421" t="inlineStr">
        <is>
          <t>No</t>
        </is>
      </c>
      <c r="AS421" t="inlineStr">
        <is>
          <t>No</t>
        </is>
      </c>
      <c r="AU421">
        <f>HYPERLINK("https://creighton-primo.hosted.exlibrisgroup.com/primo-explore/search?tab=default_tab&amp;search_scope=EVERYTHING&amp;vid=01CRU&amp;lang=en_US&amp;offset=0&amp;query=any,contains,991000331179702656","Catalog Record")</f>
        <v/>
      </c>
      <c r="AV421">
        <f>HYPERLINK("http://www.worldcat.org/oclc/61747619","WorldCat Record")</f>
        <v/>
      </c>
      <c r="AW421" t="inlineStr">
        <is>
          <t>13001148:eng</t>
        </is>
      </c>
      <c r="AX421" t="inlineStr">
        <is>
          <t>61747619</t>
        </is>
      </c>
      <c r="AY421" t="inlineStr">
        <is>
          <t>991000331179702656</t>
        </is>
      </c>
      <c r="AZ421" t="inlineStr">
        <is>
          <t>991000331179702656</t>
        </is>
      </c>
      <c r="BA421" t="inlineStr">
        <is>
          <t>2262116910002656</t>
        </is>
      </c>
      <c r="BB421" t="inlineStr">
        <is>
          <t>BOOK</t>
        </is>
      </c>
      <c r="BD421" t="inlineStr">
        <is>
          <t>9780130286734</t>
        </is>
      </c>
      <c r="BE421" t="inlineStr">
        <is>
          <t>30001004498897</t>
        </is>
      </c>
      <c r="BF421" t="inlineStr">
        <is>
          <t>893375474</t>
        </is>
      </c>
    </row>
    <row r="422">
      <c r="A422" t="inlineStr">
        <is>
          <t>No</t>
        </is>
      </c>
      <c r="B422" t="inlineStr">
        <is>
          <t>CUHSL</t>
        </is>
      </c>
      <c r="C422" t="inlineStr">
        <is>
          <t>SHELVES</t>
        </is>
      </c>
      <c r="D422" t="inlineStr">
        <is>
          <t>WY 18.2 S771e 1997</t>
        </is>
      </c>
      <c r="E422" t="inlineStr">
        <is>
          <t>0                      WY 0018200S  771e        1997</t>
        </is>
      </c>
      <c r="F422" t="inlineStr">
        <is>
          <t>Essentials of perioperative nursing / Cynthia Spry.</t>
        </is>
      </c>
      <c r="H422" t="inlineStr">
        <is>
          <t>No</t>
        </is>
      </c>
      <c r="I422" t="inlineStr">
        <is>
          <t>1</t>
        </is>
      </c>
      <c r="J422" t="inlineStr">
        <is>
          <t>No</t>
        </is>
      </c>
      <c r="K422" t="inlineStr">
        <is>
          <t>Yes</t>
        </is>
      </c>
      <c r="L422" t="inlineStr">
        <is>
          <t>0</t>
        </is>
      </c>
      <c r="M422" t="inlineStr">
        <is>
          <t>Spry, Cynthia.</t>
        </is>
      </c>
      <c r="N422" t="inlineStr">
        <is>
          <t>Gaithersburg, Md. : Aspen Publishers, c1997.</t>
        </is>
      </c>
      <c r="O422" t="inlineStr">
        <is>
          <t>1997</t>
        </is>
      </c>
      <c r="P422" t="inlineStr">
        <is>
          <t>2nd ed.</t>
        </is>
      </c>
      <c r="Q422" t="inlineStr">
        <is>
          <t>eng</t>
        </is>
      </c>
      <c r="R422" t="inlineStr">
        <is>
          <t>mdu</t>
        </is>
      </c>
      <c r="T422" t="inlineStr">
        <is>
          <t xml:space="preserve">WY </t>
        </is>
      </c>
      <c r="U422" t="n">
        <v>1</v>
      </c>
      <c r="V422" t="n">
        <v>1</v>
      </c>
      <c r="W422" t="inlineStr">
        <is>
          <t>1999-04-13</t>
        </is>
      </c>
      <c r="X422" t="inlineStr">
        <is>
          <t>1999-04-13</t>
        </is>
      </c>
      <c r="Y422" t="inlineStr">
        <is>
          <t>1999-04-13</t>
        </is>
      </c>
      <c r="Z422" t="inlineStr">
        <is>
          <t>1999-04-13</t>
        </is>
      </c>
      <c r="AA422" t="n">
        <v>183</v>
      </c>
      <c r="AB422" t="n">
        <v>143</v>
      </c>
      <c r="AC422" t="n">
        <v>458</v>
      </c>
      <c r="AD422" t="n">
        <v>1</v>
      </c>
      <c r="AE422" t="n">
        <v>3</v>
      </c>
      <c r="AF422" t="n">
        <v>4</v>
      </c>
      <c r="AG422" t="n">
        <v>15</v>
      </c>
      <c r="AH422" t="n">
        <v>2</v>
      </c>
      <c r="AI422" t="n">
        <v>5</v>
      </c>
      <c r="AJ422" t="n">
        <v>1</v>
      </c>
      <c r="AK422" t="n">
        <v>4</v>
      </c>
      <c r="AL422" t="n">
        <v>2</v>
      </c>
      <c r="AM422" t="n">
        <v>7</v>
      </c>
      <c r="AN422" t="n">
        <v>0</v>
      </c>
      <c r="AO422" t="n">
        <v>2</v>
      </c>
      <c r="AP422" t="n">
        <v>0</v>
      </c>
      <c r="AQ422" t="n">
        <v>0</v>
      </c>
      <c r="AR422" t="inlineStr">
        <is>
          <t>No</t>
        </is>
      </c>
      <c r="AS422" t="inlineStr">
        <is>
          <t>Yes</t>
        </is>
      </c>
      <c r="AT422">
        <f>HYPERLINK("http://catalog.hathitrust.org/Record/003979610","HathiTrust Record")</f>
        <v/>
      </c>
      <c r="AU422">
        <f>HYPERLINK("https://creighton-primo.hosted.exlibrisgroup.com/primo-explore/search?tab=default_tab&amp;search_scope=EVERYTHING&amp;vid=01CRU&amp;lang=en_US&amp;offset=0&amp;query=any,contains,991001573039702656","Catalog Record")</f>
        <v/>
      </c>
      <c r="AV422">
        <f>HYPERLINK("http://www.worldcat.org/oclc/34724473","WorldCat Record")</f>
        <v/>
      </c>
      <c r="AW422" t="inlineStr">
        <is>
          <t>758418:eng</t>
        </is>
      </c>
      <c r="AX422" t="inlineStr">
        <is>
          <t>34724473</t>
        </is>
      </c>
      <c r="AY422" t="inlineStr">
        <is>
          <t>991001573039702656</t>
        </is>
      </c>
      <c r="AZ422" t="inlineStr">
        <is>
          <t>991001573039702656</t>
        </is>
      </c>
      <c r="BA422" t="inlineStr">
        <is>
          <t>2258320150002656</t>
        </is>
      </c>
      <c r="BB422" t="inlineStr">
        <is>
          <t>BOOK</t>
        </is>
      </c>
      <c r="BD422" t="inlineStr">
        <is>
          <t>9780834205819</t>
        </is>
      </c>
      <c r="BE422" t="inlineStr">
        <is>
          <t>30001004071249</t>
        </is>
      </c>
      <c r="BF422" t="inlineStr">
        <is>
          <t>893168277</t>
        </is>
      </c>
    </row>
    <row r="423">
      <c r="A423" t="inlineStr">
        <is>
          <t>No</t>
        </is>
      </c>
      <c r="B423" t="inlineStr">
        <is>
          <t>CUHSL</t>
        </is>
      </c>
      <c r="C423" t="inlineStr">
        <is>
          <t>SHELVES</t>
        </is>
      </c>
      <c r="D423" t="inlineStr">
        <is>
          <t>WY18.2 S916m 2001</t>
        </is>
      </c>
      <c r="E423" t="inlineStr">
        <is>
          <t>0                      WY 0018200S  916m        2001</t>
        </is>
      </c>
      <c r="F423" t="inlineStr">
        <is>
          <t>Maternal-newborn nursing / Barbara R. Stright.</t>
        </is>
      </c>
      <c r="H423" t="inlineStr">
        <is>
          <t>No</t>
        </is>
      </c>
      <c r="I423" t="inlineStr">
        <is>
          <t>1</t>
        </is>
      </c>
      <c r="J423" t="inlineStr">
        <is>
          <t>No</t>
        </is>
      </c>
      <c r="K423" t="inlineStr">
        <is>
          <t>No</t>
        </is>
      </c>
      <c r="L423" t="inlineStr">
        <is>
          <t>0</t>
        </is>
      </c>
      <c r="M423" t="inlineStr">
        <is>
          <t>Stright, Barbara R.</t>
        </is>
      </c>
      <c r="N423" t="inlineStr">
        <is>
          <t>Philadelphia : Lippincott Williams &amp; Wilkins, c2001.</t>
        </is>
      </c>
      <c r="O423" t="inlineStr">
        <is>
          <t>2001</t>
        </is>
      </c>
      <c r="P423" t="inlineStr">
        <is>
          <t>3rd ed.</t>
        </is>
      </c>
      <c r="Q423" t="inlineStr">
        <is>
          <t>eng</t>
        </is>
      </c>
      <c r="R423" t="inlineStr">
        <is>
          <t>pau</t>
        </is>
      </c>
      <c r="S423" t="inlineStr">
        <is>
          <t>Lippincott's review series</t>
        </is>
      </c>
      <c r="T423" t="inlineStr">
        <is>
          <t xml:space="preserve">WY </t>
        </is>
      </c>
      <c r="U423" t="n">
        <v>4</v>
      </c>
      <c r="V423" t="n">
        <v>4</v>
      </c>
      <c r="W423" t="inlineStr">
        <is>
          <t>2009-02-24</t>
        </is>
      </c>
      <c r="X423" t="inlineStr">
        <is>
          <t>2009-02-24</t>
        </is>
      </c>
      <c r="Y423" t="inlineStr">
        <is>
          <t>2002-06-18</t>
        </is>
      </c>
      <c r="Z423" t="inlineStr">
        <is>
          <t>2002-06-18</t>
        </is>
      </c>
      <c r="AA423" t="n">
        <v>109</v>
      </c>
      <c r="AB423" t="n">
        <v>81</v>
      </c>
      <c r="AC423" t="n">
        <v>257</v>
      </c>
      <c r="AD423" t="n">
        <v>2</v>
      </c>
      <c r="AE423" t="n">
        <v>2</v>
      </c>
      <c r="AF423" t="n">
        <v>5</v>
      </c>
      <c r="AG423" t="n">
        <v>8</v>
      </c>
      <c r="AH423" t="n">
        <v>1</v>
      </c>
      <c r="AI423" t="n">
        <v>3</v>
      </c>
      <c r="AJ423" t="n">
        <v>0</v>
      </c>
      <c r="AK423" t="n">
        <v>0</v>
      </c>
      <c r="AL423" t="n">
        <v>3</v>
      </c>
      <c r="AM423" t="n">
        <v>5</v>
      </c>
      <c r="AN423" t="n">
        <v>1</v>
      </c>
      <c r="AO423" t="n">
        <v>1</v>
      </c>
      <c r="AP423" t="n">
        <v>0</v>
      </c>
      <c r="AQ423" t="n">
        <v>0</v>
      </c>
      <c r="AR423" t="inlineStr">
        <is>
          <t>No</t>
        </is>
      </c>
      <c r="AS423" t="inlineStr">
        <is>
          <t>Yes</t>
        </is>
      </c>
      <c r="AT423">
        <f>HYPERLINK("http://catalog.hathitrust.org/Record/010518153","HathiTrust Record")</f>
        <v/>
      </c>
      <c r="AU423">
        <f>HYPERLINK("https://creighton-primo.hosted.exlibrisgroup.com/primo-explore/search?tab=default_tab&amp;search_scope=EVERYTHING&amp;vid=01CRU&amp;lang=en_US&amp;offset=0&amp;query=any,contains,991000316629702656","Catalog Record")</f>
        <v/>
      </c>
      <c r="AV423">
        <f>HYPERLINK("http://www.worldcat.org/oclc/43791009","WorldCat Record")</f>
        <v/>
      </c>
      <c r="AW423" t="inlineStr">
        <is>
          <t>1074051:eng</t>
        </is>
      </c>
      <c r="AX423" t="inlineStr">
        <is>
          <t>43791009</t>
        </is>
      </c>
      <c r="AY423" t="inlineStr">
        <is>
          <t>991000316629702656</t>
        </is>
      </c>
      <c r="AZ423" t="inlineStr">
        <is>
          <t>991000316629702656</t>
        </is>
      </c>
      <c r="BA423" t="inlineStr">
        <is>
          <t>2263334550002656</t>
        </is>
      </c>
      <c r="BB423" t="inlineStr">
        <is>
          <t>BOOK</t>
        </is>
      </c>
      <c r="BD423" t="inlineStr">
        <is>
          <t>9780781722384</t>
        </is>
      </c>
      <c r="BE423" t="inlineStr">
        <is>
          <t>30001004239200</t>
        </is>
      </c>
      <c r="BF423" t="inlineStr">
        <is>
          <t>893109400</t>
        </is>
      </c>
    </row>
    <row r="424">
      <c r="A424" t="inlineStr">
        <is>
          <t>No</t>
        </is>
      </c>
      <c r="B424" t="inlineStr">
        <is>
          <t>CUHSL</t>
        </is>
      </c>
      <c r="C424" t="inlineStr">
        <is>
          <t>SHELVES</t>
        </is>
      </c>
      <c r="D424" t="inlineStr">
        <is>
          <t>WY 18.2 U67c 1994</t>
        </is>
      </c>
      <c r="E424" t="inlineStr">
        <is>
          <t>0                      WY 0018200U  67c         1994</t>
        </is>
      </c>
      <c r="F424" t="inlineStr">
        <is>
          <t>Clinical guidelines in family practice / Constance R. Uphold, Mary Virginia Graham.</t>
        </is>
      </c>
      <c r="H424" t="inlineStr">
        <is>
          <t>No</t>
        </is>
      </c>
      <c r="I424" t="inlineStr">
        <is>
          <t>1</t>
        </is>
      </c>
      <c r="J424" t="inlineStr">
        <is>
          <t>No</t>
        </is>
      </c>
      <c r="K424" t="inlineStr">
        <is>
          <t>Yes</t>
        </is>
      </c>
      <c r="L424" t="inlineStr">
        <is>
          <t>0</t>
        </is>
      </c>
      <c r="M424" t="inlineStr">
        <is>
          <t>Uphold, Constance R.</t>
        </is>
      </c>
      <c r="N424" t="inlineStr">
        <is>
          <t>Gainesville, Fla. : Barmarrae Books, c1994.</t>
        </is>
      </c>
      <c r="O424" t="inlineStr">
        <is>
          <t>1994</t>
        </is>
      </c>
      <c r="P424" t="inlineStr">
        <is>
          <t>2nd ed.</t>
        </is>
      </c>
      <c r="Q424" t="inlineStr">
        <is>
          <t>eng</t>
        </is>
      </c>
      <c r="R424" t="inlineStr">
        <is>
          <t>flu</t>
        </is>
      </c>
      <c r="T424" t="inlineStr">
        <is>
          <t xml:space="preserve">WY </t>
        </is>
      </c>
      <c r="U424" t="n">
        <v>16</v>
      </c>
      <c r="V424" t="n">
        <v>16</v>
      </c>
      <c r="W424" t="inlineStr">
        <is>
          <t>1999-11-29</t>
        </is>
      </c>
      <c r="X424" t="inlineStr">
        <is>
          <t>1999-11-29</t>
        </is>
      </c>
      <c r="Y424" t="inlineStr">
        <is>
          <t>1995-07-21</t>
        </is>
      </c>
      <c r="Z424" t="inlineStr">
        <is>
          <t>1995-07-21</t>
        </is>
      </c>
      <c r="AA424" t="n">
        <v>42</v>
      </c>
      <c r="AB424" t="n">
        <v>39</v>
      </c>
      <c r="AC424" t="n">
        <v>180</v>
      </c>
      <c r="AD424" t="n">
        <v>1</v>
      </c>
      <c r="AE424" t="n">
        <v>1</v>
      </c>
      <c r="AF424" t="n">
        <v>1</v>
      </c>
      <c r="AG424" t="n">
        <v>12</v>
      </c>
      <c r="AH424" t="n">
        <v>1</v>
      </c>
      <c r="AI424" t="n">
        <v>5</v>
      </c>
      <c r="AJ424" t="n">
        <v>0</v>
      </c>
      <c r="AK424" t="n">
        <v>3</v>
      </c>
      <c r="AL424" t="n">
        <v>0</v>
      </c>
      <c r="AM424" t="n">
        <v>7</v>
      </c>
      <c r="AN424" t="n">
        <v>0</v>
      </c>
      <c r="AO424" t="n">
        <v>0</v>
      </c>
      <c r="AP424" t="n">
        <v>0</v>
      </c>
      <c r="AQ424" t="n">
        <v>0</v>
      </c>
      <c r="AR424" t="inlineStr">
        <is>
          <t>No</t>
        </is>
      </c>
      <c r="AS424" t="inlineStr">
        <is>
          <t>Yes</t>
        </is>
      </c>
      <c r="AT424">
        <f>HYPERLINK("http://catalog.hathitrust.org/Record/003155584","HathiTrust Record")</f>
        <v/>
      </c>
      <c r="AU424">
        <f>HYPERLINK("https://creighton-primo.hosted.exlibrisgroup.com/primo-explore/search?tab=default_tab&amp;search_scope=EVERYTHING&amp;vid=01CRU&amp;lang=en_US&amp;offset=0&amp;query=any,contains,991001403069702656","Catalog Record")</f>
        <v/>
      </c>
      <c r="AV424">
        <f>HYPERLINK("http://www.worldcat.org/oclc/30693456","WorldCat Record")</f>
        <v/>
      </c>
      <c r="AW424" t="inlineStr">
        <is>
          <t>9098693:eng</t>
        </is>
      </c>
      <c r="AX424" t="inlineStr">
        <is>
          <t>30693456</t>
        </is>
      </c>
      <c r="AY424" t="inlineStr">
        <is>
          <t>991001403069702656</t>
        </is>
      </c>
      <c r="AZ424" t="inlineStr">
        <is>
          <t>991001403069702656</t>
        </is>
      </c>
      <c r="BA424" t="inlineStr">
        <is>
          <t>2268834010002656</t>
        </is>
      </c>
      <c r="BB424" t="inlineStr">
        <is>
          <t>BOOK</t>
        </is>
      </c>
      <c r="BE424" t="inlineStr">
        <is>
          <t>30001003148998</t>
        </is>
      </c>
      <c r="BF424" t="inlineStr">
        <is>
          <t>893557932</t>
        </is>
      </c>
    </row>
    <row r="425">
      <c r="A425" t="inlineStr">
        <is>
          <t>No</t>
        </is>
      </c>
      <c r="B425" t="inlineStr">
        <is>
          <t>CUHSL</t>
        </is>
      </c>
      <c r="C425" t="inlineStr">
        <is>
          <t>SHELVES</t>
        </is>
      </c>
      <c r="D425" t="inlineStr">
        <is>
          <t>WY18.2 W776c 2001</t>
        </is>
      </c>
      <c r="E425" t="inlineStr">
        <is>
          <t>0                      WY 0018200W  776c        2001</t>
        </is>
      </c>
      <c r="F425" t="inlineStr">
        <is>
          <t>Critical thinking in medical-surgical settings : a case study approach / Maryl L. Winningham and Barbara A. Preusser.</t>
        </is>
      </c>
      <c r="H425" t="inlineStr">
        <is>
          <t>No</t>
        </is>
      </c>
      <c r="I425" t="inlineStr">
        <is>
          <t>1</t>
        </is>
      </c>
      <c r="J425" t="inlineStr">
        <is>
          <t>No</t>
        </is>
      </c>
      <c r="K425" t="inlineStr">
        <is>
          <t>Yes</t>
        </is>
      </c>
      <c r="L425" t="inlineStr">
        <is>
          <t>0</t>
        </is>
      </c>
      <c r="M425" t="inlineStr">
        <is>
          <t>Winningham, Maryl Lynne, 1947-2001.</t>
        </is>
      </c>
      <c r="N425" t="inlineStr">
        <is>
          <t>St. Louis : Mosby, c2001.</t>
        </is>
      </c>
      <c r="O425" t="inlineStr">
        <is>
          <t>2001</t>
        </is>
      </c>
      <c r="P425" t="inlineStr">
        <is>
          <t>2nd ed.</t>
        </is>
      </c>
      <c r="Q425" t="inlineStr">
        <is>
          <t>eng</t>
        </is>
      </c>
      <c r="R425" t="inlineStr">
        <is>
          <t>mou</t>
        </is>
      </c>
      <c r="T425" t="inlineStr">
        <is>
          <t xml:space="preserve">WY </t>
        </is>
      </c>
      <c r="U425" t="n">
        <v>2</v>
      </c>
      <c r="V425" t="n">
        <v>2</v>
      </c>
      <c r="W425" t="inlineStr">
        <is>
          <t>2005-03-19</t>
        </is>
      </c>
      <c r="X425" t="inlineStr">
        <is>
          <t>2005-03-19</t>
        </is>
      </c>
      <c r="Y425" t="inlineStr">
        <is>
          <t>2001-12-12</t>
        </is>
      </c>
      <c r="Z425" t="inlineStr">
        <is>
          <t>2001-12-12</t>
        </is>
      </c>
      <c r="AA425" t="n">
        <v>311</v>
      </c>
      <c r="AB425" t="n">
        <v>233</v>
      </c>
      <c r="AC425" t="n">
        <v>296</v>
      </c>
      <c r="AD425" t="n">
        <v>1</v>
      </c>
      <c r="AE425" t="n">
        <v>1</v>
      </c>
      <c r="AF425" t="n">
        <v>8</v>
      </c>
      <c r="AG425" t="n">
        <v>9</v>
      </c>
      <c r="AH425" t="n">
        <v>4</v>
      </c>
      <c r="AI425" t="n">
        <v>4</v>
      </c>
      <c r="AJ425" t="n">
        <v>2</v>
      </c>
      <c r="AK425" t="n">
        <v>2</v>
      </c>
      <c r="AL425" t="n">
        <v>5</v>
      </c>
      <c r="AM425" t="n">
        <v>6</v>
      </c>
      <c r="AN425" t="n">
        <v>0</v>
      </c>
      <c r="AO425" t="n">
        <v>0</v>
      </c>
      <c r="AP425" t="n">
        <v>0</v>
      </c>
      <c r="AQ425" t="n">
        <v>0</v>
      </c>
      <c r="AR425" t="inlineStr">
        <is>
          <t>No</t>
        </is>
      </c>
      <c r="AS425" t="inlineStr">
        <is>
          <t>Yes</t>
        </is>
      </c>
      <c r="AT425">
        <f>HYPERLINK("http://catalog.hathitrust.org/Record/004577332","HathiTrust Record")</f>
        <v/>
      </c>
      <c r="AU425">
        <f>HYPERLINK("https://creighton-primo.hosted.exlibrisgroup.com/primo-explore/search?tab=default_tab&amp;search_scope=EVERYTHING&amp;vid=01CRU&amp;lang=en_US&amp;offset=0&amp;query=any,contains,991001710369702656","Catalog Record")</f>
        <v/>
      </c>
      <c r="AV425">
        <f>HYPERLINK("http://www.worldcat.org/oclc/43187266","WorldCat Record")</f>
        <v/>
      </c>
      <c r="AW425" t="inlineStr">
        <is>
          <t>436405742:eng</t>
        </is>
      </c>
      <c r="AX425" t="inlineStr">
        <is>
          <t>43187266</t>
        </is>
      </c>
      <c r="AY425" t="inlineStr">
        <is>
          <t>991001710369702656</t>
        </is>
      </c>
      <c r="AZ425" t="inlineStr">
        <is>
          <t>991001710369702656</t>
        </is>
      </c>
      <c r="BA425" t="inlineStr">
        <is>
          <t>2271800030002656</t>
        </is>
      </c>
      <c r="BB425" t="inlineStr">
        <is>
          <t>BOOK</t>
        </is>
      </c>
      <c r="BD425" t="inlineStr">
        <is>
          <t>9780323011549</t>
        </is>
      </c>
      <c r="BE425" t="inlineStr">
        <is>
          <t>30001004560258</t>
        </is>
      </c>
      <c r="BF425" t="inlineStr">
        <is>
          <t>893649372</t>
        </is>
      </c>
    </row>
    <row r="426">
      <c r="A426" t="inlineStr">
        <is>
          <t>No</t>
        </is>
      </c>
      <c r="B426" t="inlineStr">
        <is>
          <t>CUHSL</t>
        </is>
      </c>
      <c r="C426" t="inlineStr">
        <is>
          <t>SHELVES</t>
        </is>
      </c>
      <c r="D426" t="inlineStr">
        <is>
          <t>WY 18.3 C245d 1978</t>
        </is>
      </c>
      <c r="E426" t="inlineStr">
        <is>
          <t>0                      WY 0018300C  245d        1978</t>
        </is>
      </c>
      <c r="F426" t="inlineStr">
        <is>
          <t>The development of a system for evaluation / Anna T. Capobianco.</t>
        </is>
      </c>
      <c r="H426" t="inlineStr">
        <is>
          <t>No</t>
        </is>
      </c>
      <c r="I426" t="inlineStr">
        <is>
          <t>1</t>
        </is>
      </c>
      <c r="J426" t="inlineStr">
        <is>
          <t>No</t>
        </is>
      </c>
      <c r="K426" t="inlineStr">
        <is>
          <t>No</t>
        </is>
      </c>
      <c r="L426" t="inlineStr">
        <is>
          <t>0</t>
        </is>
      </c>
      <c r="M426" t="inlineStr">
        <is>
          <t>Capobianco, Anna T.</t>
        </is>
      </c>
      <c r="N426" t="inlineStr">
        <is>
          <t>New York : National League for Nursing, c1979.</t>
        </is>
      </c>
      <c r="O426" t="inlineStr">
        <is>
          <t>1978</t>
        </is>
      </c>
      <c r="Q426" t="inlineStr">
        <is>
          <t>eng</t>
        </is>
      </c>
      <c r="R426" t="inlineStr">
        <is>
          <t>nyu</t>
        </is>
      </c>
      <c r="S426" t="inlineStr">
        <is>
          <t>NLN pub. no. 23-1775</t>
        </is>
      </c>
      <c r="T426" t="inlineStr">
        <is>
          <t xml:space="preserve">WY </t>
        </is>
      </c>
      <c r="U426" t="n">
        <v>3</v>
      </c>
      <c r="V426" t="n">
        <v>3</v>
      </c>
      <c r="W426" t="inlineStr">
        <is>
          <t>1990-06-25</t>
        </is>
      </c>
      <c r="X426" t="inlineStr">
        <is>
          <t>1990-06-25</t>
        </is>
      </c>
      <c r="Y426" t="inlineStr">
        <is>
          <t>1987-11-04</t>
        </is>
      </c>
      <c r="Z426" t="inlineStr">
        <is>
          <t>1987-11-04</t>
        </is>
      </c>
      <c r="AA426" t="n">
        <v>106</v>
      </c>
      <c r="AB426" t="n">
        <v>85</v>
      </c>
      <c r="AC426" t="n">
        <v>85</v>
      </c>
      <c r="AD426" t="n">
        <v>1</v>
      </c>
      <c r="AE426" t="n">
        <v>1</v>
      </c>
      <c r="AF426" t="n">
        <v>2</v>
      </c>
      <c r="AG426" t="n">
        <v>2</v>
      </c>
      <c r="AH426" t="n">
        <v>0</v>
      </c>
      <c r="AI426" t="n">
        <v>0</v>
      </c>
      <c r="AJ426" t="n">
        <v>0</v>
      </c>
      <c r="AK426" t="n">
        <v>0</v>
      </c>
      <c r="AL426" t="n">
        <v>2</v>
      </c>
      <c r="AM426" t="n">
        <v>2</v>
      </c>
      <c r="AN426" t="n">
        <v>0</v>
      </c>
      <c r="AO426" t="n">
        <v>0</v>
      </c>
      <c r="AP426" t="n">
        <v>0</v>
      </c>
      <c r="AQ426" t="n">
        <v>0</v>
      </c>
      <c r="AR426" t="inlineStr">
        <is>
          <t>No</t>
        </is>
      </c>
      <c r="AS426" t="inlineStr">
        <is>
          <t>No</t>
        </is>
      </c>
      <c r="AU426">
        <f>HYPERLINK("https://creighton-primo.hosted.exlibrisgroup.com/primo-explore/search?tab=default_tab&amp;search_scope=EVERYTHING&amp;vid=01CRU&amp;lang=en_US&amp;offset=0&amp;query=any,contains,991001388669702656","Catalog Record")</f>
        <v/>
      </c>
      <c r="AV426">
        <f>HYPERLINK("http://www.worldcat.org/oclc/5076848","WorldCat Record")</f>
        <v/>
      </c>
      <c r="AW426" t="inlineStr">
        <is>
          <t>15209071:eng</t>
        </is>
      </c>
      <c r="AX426" t="inlineStr">
        <is>
          <t>5076848</t>
        </is>
      </c>
      <c r="AY426" t="inlineStr">
        <is>
          <t>991001388669702656</t>
        </is>
      </c>
      <c r="AZ426" t="inlineStr">
        <is>
          <t>991001388669702656</t>
        </is>
      </c>
      <c r="BA426" t="inlineStr">
        <is>
          <t>2264196880002656</t>
        </is>
      </c>
      <c r="BB426" t="inlineStr">
        <is>
          <t>BOOK</t>
        </is>
      </c>
      <c r="BE426" t="inlineStr">
        <is>
          <t>30001000464372</t>
        </is>
      </c>
      <c r="BF426" t="inlineStr">
        <is>
          <t>893364048</t>
        </is>
      </c>
    </row>
    <row r="427">
      <c r="A427" t="inlineStr">
        <is>
          <t>No</t>
        </is>
      </c>
      <c r="B427" t="inlineStr">
        <is>
          <t>CUHSL</t>
        </is>
      </c>
      <c r="C427" t="inlineStr">
        <is>
          <t>SHELVES</t>
        </is>
      </c>
      <c r="D427" t="inlineStr">
        <is>
          <t>WY 18.3 C486 1978</t>
        </is>
      </c>
      <c r="E427" t="inlineStr">
        <is>
          <t>0                      WY 0018300C  486         1978</t>
        </is>
      </c>
      <c r="F427" t="inlineStr">
        <is>
          <t>Charting a course for future action for diploma programs in nursing : papers presented at the 1978 annual meeting of the Council of Diploma Programs, held in New York during 1978.</t>
        </is>
      </c>
      <c r="H427" t="inlineStr">
        <is>
          <t>No</t>
        </is>
      </c>
      <c r="I427" t="inlineStr">
        <is>
          <t>1</t>
        </is>
      </c>
      <c r="J427" t="inlineStr">
        <is>
          <t>No</t>
        </is>
      </c>
      <c r="K427" t="inlineStr">
        <is>
          <t>No</t>
        </is>
      </c>
      <c r="L427" t="inlineStr">
        <is>
          <t>0</t>
        </is>
      </c>
      <c r="N427" t="inlineStr">
        <is>
          <t>New York : National League for Nursing, c1978.</t>
        </is>
      </c>
      <c r="O427" t="inlineStr">
        <is>
          <t>1978</t>
        </is>
      </c>
      <c r="Q427" t="inlineStr">
        <is>
          <t>eng</t>
        </is>
      </c>
      <c r="R427" t="inlineStr">
        <is>
          <t>nyu</t>
        </is>
      </c>
      <c r="S427" t="inlineStr">
        <is>
          <t>NLN pub. no. 16-1741</t>
        </is>
      </c>
      <c r="T427" t="inlineStr">
        <is>
          <t xml:space="preserve">WY </t>
        </is>
      </c>
      <c r="U427" t="n">
        <v>1</v>
      </c>
      <c r="V427" t="n">
        <v>1</v>
      </c>
      <c r="W427" t="inlineStr">
        <is>
          <t>1990-08-29</t>
        </is>
      </c>
      <c r="X427" t="inlineStr">
        <is>
          <t>1990-08-29</t>
        </is>
      </c>
      <c r="Y427" t="inlineStr">
        <is>
          <t>1990-08-28</t>
        </is>
      </c>
      <c r="Z427" t="inlineStr">
        <is>
          <t>1990-08-28</t>
        </is>
      </c>
      <c r="AA427" t="n">
        <v>9</v>
      </c>
      <c r="AB427" t="n">
        <v>9</v>
      </c>
      <c r="AC427" t="n">
        <v>78</v>
      </c>
      <c r="AD427" t="n">
        <v>1</v>
      </c>
      <c r="AE427" t="n">
        <v>1</v>
      </c>
      <c r="AF427" t="n">
        <v>0</v>
      </c>
      <c r="AG427" t="n">
        <v>2</v>
      </c>
      <c r="AH427" t="n">
        <v>0</v>
      </c>
      <c r="AI427" t="n">
        <v>0</v>
      </c>
      <c r="AJ427" t="n">
        <v>0</v>
      </c>
      <c r="AK427" t="n">
        <v>0</v>
      </c>
      <c r="AL427" t="n">
        <v>0</v>
      </c>
      <c r="AM427" t="n">
        <v>2</v>
      </c>
      <c r="AN427" t="n">
        <v>0</v>
      </c>
      <c r="AO427" t="n">
        <v>0</v>
      </c>
      <c r="AP427" t="n">
        <v>0</v>
      </c>
      <c r="AQ427" t="n">
        <v>0</v>
      </c>
      <c r="AR427" t="inlineStr">
        <is>
          <t>No</t>
        </is>
      </c>
      <c r="AS427" t="inlineStr">
        <is>
          <t>No</t>
        </is>
      </c>
      <c r="AU427">
        <f>HYPERLINK("https://creighton-primo.hosted.exlibrisgroup.com/primo-explore/search?tab=default_tab&amp;search_scope=EVERYTHING&amp;vid=01CRU&amp;lang=en_US&amp;offset=0&amp;query=any,contains,991001376469702656","Catalog Record")</f>
        <v/>
      </c>
      <c r="AV427">
        <f>HYPERLINK("http://www.worldcat.org/oclc/14386447","WorldCat Record")</f>
        <v/>
      </c>
      <c r="AW427" t="inlineStr">
        <is>
          <t>25423571:eng</t>
        </is>
      </c>
      <c r="AX427" t="inlineStr">
        <is>
          <t>14386447</t>
        </is>
      </c>
      <c r="AY427" t="inlineStr">
        <is>
          <t>991001376469702656</t>
        </is>
      </c>
      <c r="AZ427" t="inlineStr">
        <is>
          <t>991001376469702656</t>
        </is>
      </c>
      <c r="BA427" t="inlineStr">
        <is>
          <t>2265047490002656</t>
        </is>
      </c>
      <c r="BB427" t="inlineStr">
        <is>
          <t>BOOK</t>
        </is>
      </c>
      <c r="BE427" t="inlineStr">
        <is>
          <t>30001000462327</t>
        </is>
      </c>
      <c r="BF427" t="inlineStr">
        <is>
          <t>893134504</t>
        </is>
      </c>
    </row>
    <row r="428">
      <c r="A428" t="inlineStr">
        <is>
          <t>No</t>
        </is>
      </c>
      <c r="B428" t="inlineStr">
        <is>
          <t>CUHSL</t>
        </is>
      </c>
      <c r="C428" t="inlineStr">
        <is>
          <t>SHELVES</t>
        </is>
      </c>
      <c r="D428" t="inlineStr">
        <is>
          <t>WY 18.3 C755 1978</t>
        </is>
      </c>
      <c r="E428" t="inlineStr">
        <is>
          <t>0                      WY 0018300C  755         1978</t>
        </is>
      </c>
      <c r="F428" t="inlineStr">
        <is>
          <t>Considerations in clinical evaluation : instructors, students, legal issues, data.</t>
        </is>
      </c>
      <c r="H428" t="inlineStr">
        <is>
          <t>No</t>
        </is>
      </c>
      <c r="I428" t="inlineStr">
        <is>
          <t>1</t>
        </is>
      </c>
      <c r="J428" t="inlineStr">
        <is>
          <t>No</t>
        </is>
      </c>
      <c r="K428" t="inlineStr">
        <is>
          <t>No</t>
        </is>
      </c>
      <c r="L428" t="inlineStr">
        <is>
          <t>0</t>
        </is>
      </c>
      <c r="N428" t="inlineStr">
        <is>
          <t>New York : National League for Nursing, c1979.</t>
        </is>
      </c>
      <c r="O428" t="inlineStr">
        <is>
          <t>1978</t>
        </is>
      </c>
      <c r="Q428" t="inlineStr">
        <is>
          <t>eng</t>
        </is>
      </c>
      <c r="R428" t="inlineStr">
        <is>
          <t>xxu</t>
        </is>
      </c>
      <c r="S428" t="inlineStr">
        <is>
          <t>NLN pub. no. 16-1764</t>
        </is>
      </c>
      <c r="T428" t="inlineStr">
        <is>
          <t xml:space="preserve">WY </t>
        </is>
      </c>
      <c r="U428" t="n">
        <v>1</v>
      </c>
      <c r="V428" t="n">
        <v>1</v>
      </c>
      <c r="W428" t="inlineStr">
        <is>
          <t>1990-06-12</t>
        </is>
      </c>
      <c r="X428" t="inlineStr">
        <is>
          <t>1990-06-12</t>
        </is>
      </c>
      <c r="Y428" t="inlineStr">
        <is>
          <t>1987-11-02</t>
        </is>
      </c>
      <c r="Z428" t="inlineStr">
        <is>
          <t>1987-11-02</t>
        </is>
      </c>
      <c r="AA428" t="n">
        <v>97</v>
      </c>
      <c r="AB428" t="n">
        <v>84</v>
      </c>
      <c r="AC428" t="n">
        <v>86</v>
      </c>
      <c r="AD428" t="n">
        <v>1</v>
      </c>
      <c r="AE428" t="n">
        <v>1</v>
      </c>
      <c r="AF428" t="n">
        <v>2</v>
      </c>
      <c r="AG428" t="n">
        <v>2</v>
      </c>
      <c r="AH428" t="n">
        <v>0</v>
      </c>
      <c r="AI428" t="n">
        <v>0</v>
      </c>
      <c r="AJ428" t="n">
        <v>0</v>
      </c>
      <c r="AK428" t="n">
        <v>0</v>
      </c>
      <c r="AL428" t="n">
        <v>2</v>
      </c>
      <c r="AM428" t="n">
        <v>2</v>
      </c>
      <c r="AN428" t="n">
        <v>0</v>
      </c>
      <c r="AO428" t="n">
        <v>0</v>
      </c>
      <c r="AP428" t="n">
        <v>0</v>
      </c>
      <c r="AQ428" t="n">
        <v>0</v>
      </c>
      <c r="AR428" t="inlineStr">
        <is>
          <t>No</t>
        </is>
      </c>
      <c r="AS428" t="inlineStr">
        <is>
          <t>Yes</t>
        </is>
      </c>
      <c r="AT428">
        <f>HYPERLINK("http://catalog.hathitrust.org/Record/000297348","HathiTrust Record")</f>
        <v/>
      </c>
      <c r="AU428">
        <f>HYPERLINK("https://creighton-primo.hosted.exlibrisgroup.com/primo-explore/search?tab=default_tab&amp;search_scope=EVERYTHING&amp;vid=01CRU&amp;lang=en_US&amp;offset=0&amp;query=any,contains,991001376739702656","Catalog Record")</f>
        <v/>
      </c>
      <c r="AV428">
        <f>HYPERLINK("http://www.worldcat.org/oclc/4760500","WorldCat Record")</f>
        <v/>
      </c>
      <c r="AW428" t="inlineStr">
        <is>
          <t>14985972:eng</t>
        </is>
      </c>
      <c r="AX428" t="inlineStr">
        <is>
          <t>4760500</t>
        </is>
      </c>
      <c r="AY428" t="inlineStr">
        <is>
          <t>991001376739702656</t>
        </is>
      </c>
      <c r="AZ428" t="inlineStr">
        <is>
          <t>991001376739702656</t>
        </is>
      </c>
      <c r="BA428" t="inlineStr">
        <is>
          <t>2266054010002656</t>
        </is>
      </c>
      <c r="BB428" t="inlineStr">
        <is>
          <t>BOOK</t>
        </is>
      </c>
      <c r="BE428" t="inlineStr">
        <is>
          <t>30001000462350</t>
        </is>
      </c>
      <c r="BF428" t="inlineStr">
        <is>
          <t>893274058</t>
        </is>
      </c>
    </row>
    <row r="429">
      <c r="A429" t="inlineStr">
        <is>
          <t>No</t>
        </is>
      </c>
      <c r="B429" t="inlineStr">
        <is>
          <t>CUHSL</t>
        </is>
      </c>
      <c r="C429" t="inlineStr">
        <is>
          <t>SHELVES</t>
        </is>
      </c>
      <c r="D429" t="inlineStr">
        <is>
          <t>WY 18.3 D489 1979</t>
        </is>
      </c>
      <c r="E429" t="inlineStr">
        <is>
          <t>0                      WY 0018300D  489         1979</t>
        </is>
      </c>
      <c r="F429" t="inlineStr">
        <is>
          <t>Developing tests to evaluate student achievement in baccalaureate nursing programs.</t>
        </is>
      </c>
      <c r="H429" t="inlineStr">
        <is>
          <t>No</t>
        </is>
      </c>
      <c r="I429" t="inlineStr">
        <is>
          <t>1</t>
        </is>
      </c>
      <c r="J429" t="inlineStr">
        <is>
          <t>No</t>
        </is>
      </c>
      <c r="K429" t="inlineStr">
        <is>
          <t>No</t>
        </is>
      </c>
      <c r="L429" t="inlineStr">
        <is>
          <t>0</t>
        </is>
      </c>
      <c r="N429" t="inlineStr">
        <is>
          <t>New York : National League for Nursing, c1979.</t>
        </is>
      </c>
      <c r="O429" t="inlineStr">
        <is>
          <t>1979</t>
        </is>
      </c>
      <c r="Q429" t="inlineStr">
        <is>
          <t>eng</t>
        </is>
      </c>
      <c r="R429" t="inlineStr">
        <is>
          <t xml:space="preserve">xx </t>
        </is>
      </c>
      <c r="S429" t="inlineStr">
        <is>
          <t>NLN pub. no. 15-1761</t>
        </is>
      </c>
      <c r="T429" t="inlineStr">
        <is>
          <t xml:space="preserve">WY </t>
        </is>
      </c>
      <c r="U429" t="n">
        <v>1</v>
      </c>
      <c r="V429" t="n">
        <v>1</v>
      </c>
      <c r="W429" t="inlineStr">
        <is>
          <t>1990-06-12</t>
        </is>
      </c>
      <c r="X429" t="inlineStr">
        <is>
          <t>1990-06-12</t>
        </is>
      </c>
      <c r="Y429" t="inlineStr">
        <is>
          <t>1987-10-29</t>
        </is>
      </c>
      <c r="Z429" t="inlineStr">
        <is>
          <t>1987-10-29</t>
        </is>
      </c>
      <c r="AA429" t="n">
        <v>106</v>
      </c>
      <c r="AB429" t="n">
        <v>90</v>
      </c>
      <c r="AC429" t="n">
        <v>90</v>
      </c>
      <c r="AD429" t="n">
        <v>1</v>
      </c>
      <c r="AE429" t="n">
        <v>1</v>
      </c>
      <c r="AF429" t="n">
        <v>4</v>
      </c>
      <c r="AG429" t="n">
        <v>4</v>
      </c>
      <c r="AH429" t="n">
        <v>1</v>
      </c>
      <c r="AI429" t="n">
        <v>1</v>
      </c>
      <c r="AJ429" t="n">
        <v>0</v>
      </c>
      <c r="AK429" t="n">
        <v>0</v>
      </c>
      <c r="AL429" t="n">
        <v>3</v>
      </c>
      <c r="AM429" t="n">
        <v>3</v>
      </c>
      <c r="AN429" t="n">
        <v>0</v>
      </c>
      <c r="AO429" t="n">
        <v>0</v>
      </c>
      <c r="AP429" t="n">
        <v>0</v>
      </c>
      <c r="AQ429" t="n">
        <v>0</v>
      </c>
      <c r="AR429" t="inlineStr">
        <is>
          <t>No</t>
        </is>
      </c>
      <c r="AS429" t="inlineStr">
        <is>
          <t>No</t>
        </is>
      </c>
      <c r="AU429">
        <f>HYPERLINK("https://creighton-primo.hosted.exlibrisgroup.com/primo-explore/search?tab=default_tab&amp;search_scope=EVERYTHING&amp;vid=01CRU&amp;lang=en_US&amp;offset=0&amp;query=any,contains,991001371239702656","Catalog Record")</f>
        <v/>
      </c>
      <c r="AV429">
        <f>HYPERLINK("http://www.worldcat.org/oclc/5676102","WorldCat Record")</f>
        <v/>
      </c>
      <c r="AW429" t="inlineStr">
        <is>
          <t>4152968145:eng</t>
        </is>
      </c>
      <c r="AX429" t="inlineStr">
        <is>
          <t>5676102</t>
        </is>
      </c>
      <c r="AY429" t="inlineStr">
        <is>
          <t>991001371239702656</t>
        </is>
      </c>
      <c r="AZ429" t="inlineStr">
        <is>
          <t>991001371239702656</t>
        </is>
      </c>
      <c r="BA429" t="inlineStr">
        <is>
          <t>2271802660002656</t>
        </is>
      </c>
      <c r="BB429" t="inlineStr">
        <is>
          <t>BOOK</t>
        </is>
      </c>
      <c r="BE429" t="inlineStr">
        <is>
          <t>30001000461832</t>
        </is>
      </c>
      <c r="BF429" t="inlineStr">
        <is>
          <t>893832126</t>
        </is>
      </c>
    </row>
    <row r="430">
      <c r="A430" t="inlineStr">
        <is>
          <t>No</t>
        </is>
      </c>
      <c r="B430" t="inlineStr">
        <is>
          <t>CUHSL</t>
        </is>
      </c>
      <c r="C430" t="inlineStr">
        <is>
          <t>SHELVES</t>
        </is>
      </c>
      <c r="D430" t="inlineStr">
        <is>
          <t>WY 18.3 D4895 1977</t>
        </is>
      </c>
      <c r="E430" t="inlineStr">
        <is>
          <t>0                      WY 0018300D  4895        1977</t>
        </is>
      </c>
      <c r="F430" t="inlineStr">
        <is>
          <t>Development of competencies in associate degree nursing : a nursing service perspective.</t>
        </is>
      </c>
      <c r="H430" t="inlineStr">
        <is>
          <t>No</t>
        </is>
      </c>
      <c r="I430" t="inlineStr">
        <is>
          <t>1</t>
        </is>
      </c>
      <c r="J430" t="inlineStr">
        <is>
          <t>No</t>
        </is>
      </c>
      <c r="K430" t="inlineStr">
        <is>
          <t>No</t>
        </is>
      </c>
      <c r="L430" t="inlineStr">
        <is>
          <t>0</t>
        </is>
      </c>
      <c r="N430" t="inlineStr">
        <is>
          <t>New York : National League for Nursing, c1978.</t>
        </is>
      </c>
      <c r="O430" t="inlineStr">
        <is>
          <t>1977</t>
        </is>
      </c>
      <c r="Q430" t="inlineStr">
        <is>
          <t>eng</t>
        </is>
      </c>
      <c r="R430" t="inlineStr">
        <is>
          <t>nyu</t>
        </is>
      </c>
      <c r="S430" t="inlineStr">
        <is>
          <t>NLN pub. no. 23-1713</t>
        </is>
      </c>
      <c r="T430" t="inlineStr">
        <is>
          <t xml:space="preserve">WY </t>
        </is>
      </c>
      <c r="U430" t="n">
        <v>1</v>
      </c>
      <c r="V430" t="n">
        <v>1</v>
      </c>
      <c r="W430" t="inlineStr">
        <is>
          <t>1990-08-13</t>
        </is>
      </c>
      <c r="X430" t="inlineStr">
        <is>
          <t>1990-08-13</t>
        </is>
      </c>
      <c r="Y430" t="inlineStr">
        <is>
          <t>1987-11-05</t>
        </is>
      </c>
      <c r="Z430" t="inlineStr">
        <is>
          <t>1987-11-05</t>
        </is>
      </c>
      <c r="AA430" t="n">
        <v>64</v>
      </c>
      <c r="AB430" t="n">
        <v>57</v>
      </c>
      <c r="AC430" t="n">
        <v>57</v>
      </c>
      <c r="AD430" t="n">
        <v>2</v>
      </c>
      <c r="AE430" t="n">
        <v>2</v>
      </c>
      <c r="AF430" t="n">
        <v>2</v>
      </c>
      <c r="AG430" t="n">
        <v>2</v>
      </c>
      <c r="AH430" t="n">
        <v>0</v>
      </c>
      <c r="AI430" t="n">
        <v>0</v>
      </c>
      <c r="AJ430" t="n">
        <v>0</v>
      </c>
      <c r="AK430" t="n">
        <v>0</v>
      </c>
      <c r="AL430" t="n">
        <v>2</v>
      </c>
      <c r="AM430" t="n">
        <v>2</v>
      </c>
      <c r="AN430" t="n">
        <v>0</v>
      </c>
      <c r="AO430" t="n">
        <v>0</v>
      </c>
      <c r="AP430" t="n">
        <v>0</v>
      </c>
      <c r="AQ430" t="n">
        <v>0</v>
      </c>
      <c r="AR430" t="inlineStr">
        <is>
          <t>No</t>
        </is>
      </c>
      <c r="AS430" t="inlineStr">
        <is>
          <t>No</t>
        </is>
      </c>
      <c r="AU430">
        <f>HYPERLINK("https://creighton-primo.hosted.exlibrisgroup.com/primo-explore/search?tab=default_tab&amp;search_scope=EVERYTHING&amp;vid=01CRU&amp;lang=en_US&amp;offset=0&amp;query=any,contains,991001388329702656","Catalog Record")</f>
        <v/>
      </c>
      <c r="AV430">
        <f>HYPERLINK("http://www.worldcat.org/oclc/3776906","WorldCat Record")</f>
        <v/>
      </c>
      <c r="AW430" t="inlineStr">
        <is>
          <t>4516774004:eng</t>
        </is>
      </c>
      <c r="AX430" t="inlineStr">
        <is>
          <t>3776906</t>
        </is>
      </c>
      <c r="AY430" t="inlineStr">
        <is>
          <t>991001388329702656</t>
        </is>
      </c>
      <c r="AZ430" t="inlineStr">
        <is>
          <t>991001388329702656</t>
        </is>
      </c>
      <c r="BA430" t="inlineStr">
        <is>
          <t>2268462830002656</t>
        </is>
      </c>
      <c r="BB430" t="inlineStr">
        <is>
          <t>BOOK</t>
        </is>
      </c>
      <c r="BE430" t="inlineStr">
        <is>
          <t>30001000464299</t>
        </is>
      </c>
      <c r="BF430" t="inlineStr">
        <is>
          <t>893638282</t>
        </is>
      </c>
    </row>
    <row r="431">
      <c r="A431" t="inlineStr">
        <is>
          <t>No</t>
        </is>
      </c>
      <c r="B431" t="inlineStr">
        <is>
          <t>CUHSL</t>
        </is>
      </c>
      <c r="C431" t="inlineStr">
        <is>
          <t>SHELVES</t>
        </is>
      </c>
      <c r="D431" t="inlineStr">
        <is>
          <t>WY 18.3 F232e 1978</t>
        </is>
      </c>
      <c r="E431" t="inlineStr">
        <is>
          <t>0                      WY 0018300F  232e        1978</t>
        </is>
      </c>
      <c r="F431" t="inlineStr">
        <is>
          <t>An evaluative study of an open curriculum/career ladder nursing program / Venner Marie Farley.</t>
        </is>
      </c>
      <c r="H431" t="inlineStr">
        <is>
          <t>No</t>
        </is>
      </c>
      <c r="I431" t="inlineStr">
        <is>
          <t>1</t>
        </is>
      </c>
      <c r="J431" t="inlineStr">
        <is>
          <t>No</t>
        </is>
      </c>
      <c r="K431" t="inlineStr">
        <is>
          <t>No</t>
        </is>
      </c>
      <c r="L431" t="inlineStr">
        <is>
          <t>0</t>
        </is>
      </c>
      <c r="M431" t="inlineStr">
        <is>
          <t>Farley, Venner Marie.</t>
        </is>
      </c>
      <c r="N431" t="inlineStr">
        <is>
          <t>New York : National League for Nursing, c1978.</t>
        </is>
      </c>
      <c r="O431" t="inlineStr">
        <is>
          <t>1978</t>
        </is>
      </c>
      <c r="Q431" t="inlineStr">
        <is>
          <t>eng</t>
        </is>
      </c>
      <c r="R431" t="inlineStr">
        <is>
          <t>nyu</t>
        </is>
      </c>
      <c r="S431" t="inlineStr">
        <is>
          <t>League exchange ; no. 118</t>
        </is>
      </c>
      <c r="T431" t="inlineStr">
        <is>
          <t xml:space="preserve">WY </t>
        </is>
      </c>
      <c r="U431" t="n">
        <v>1</v>
      </c>
      <c r="V431" t="n">
        <v>1</v>
      </c>
      <c r="W431" t="inlineStr">
        <is>
          <t>1990-07-03</t>
        </is>
      </c>
      <c r="X431" t="inlineStr">
        <is>
          <t>1990-07-03</t>
        </is>
      </c>
      <c r="Y431" t="inlineStr">
        <is>
          <t>1987-11-03</t>
        </is>
      </c>
      <c r="Z431" t="inlineStr">
        <is>
          <t>1987-11-03</t>
        </is>
      </c>
      <c r="AA431" t="n">
        <v>92</v>
      </c>
      <c r="AB431" t="n">
        <v>85</v>
      </c>
      <c r="AC431" t="n">
        <v>89</v>
      </c>
      <c r="AD431" t="n">
        <v>2</v>
      </c>
      <c r="AE431" t="n">
        <v>2</v>
      </c>
      <c r="AF431" t="n">
        <v>3</v>
      </c>
      <c r="AG431" t="n">
        <v>3</v>
      </c>
      <c r="AH431" t="n">
        <v>0</v>
      </c>
      <c r="AI431" t="n">
        <v>0</v>
      </c>
      <c r="AJ431" t="n">
        <v>1</v>
      </c>
      <c r="AK431" t="n">
        <v>1</v>
      </c>
      <c r="AL431" t="n">
        <v>2</v>
      </c>
      <c r="AM431" t="n">
        <v>2</v>
      </c>
      <c r="AN431" t="n">
        <v>0</v>
      </c>
      <c r="AO431" t="n">
        <v>0</v>
      </c>
      <c r="AP431" t="n">
        <v>0</v>
      </c>
      <c r="AQ431" t="n">
        <v>0</v>
      </c>
      <c r="AR431" t="inlineStr">
        <is>
          <t>No</t>
        </is>
      </c>
      <c r="AS431" t="inlineStr">
        <is>
          <t>Yes</t>
        </is>
      </c>
      <c r="AT431">
        <f>HYPERLINK("http://catalog.hathitrust.org/Record/000178224","HathiTrust Record")</f>
        <v/>
      </c>
      <c r="AU431">
        <f>HYPERLINK("https://creighton-primo.hosted.exlibrisgroup.com/primo-explore/search?tab=default_tab&amp;search_scope=EVERYTHING&amp;vid=01CRU&amp;lang=en_US&amp;offset=0&amp;query=any,contains,991001381209702656","Catalog Record")</f>
        <v/>
      </c>
      <c r="AV431">
        <f>HYPERLINK("http://www.worldcat.org/oclc/4048784","WorldCat Record")</f>
        <v/>
      </c>
      <c r="AW431" t="inlineStr">
        <is>
          <t>9855092:eng</t>
        </is>
      </c>
      <c r="AX431" t="inlineStr">
        <is>
          <t>4048784</t>
        </is>
      </c>
      <c r="AY431" t="inlineStr">
        <is>
          <t>991001381209702656</t>
        </is>
      </c>
      <c r="AZ431" t="inlineStr">
        <is>
          <t>991001381209702656</t>
        </is>
      </c>
      <c r="BA431" t="inlineStr">
        <is>
          <t>2258786100002656</t>
        </is>
      </c>
      <c r="BB431" t="inlineStr">
        <is>
          <t>BOOK</t>
        </is>
      </c>
      <c r="BE431" t="inlineStr">
        <is>
          <t>30001000462798</t>
        </is>
      </c>
      <c r="BF431" t="inlineStr">
        <is>
          <t>893274062</t>
        </is>
      </c>
    </row>
    <row r="432">
      <c r="A432" t="inlineStr">
        <is>
          <t>No</t>
        </is>
      </c>
      <c r="B432" t="inlineStr">
        <is>
          <t>CUHSL</t>
        </is>
      </c>
      <c r="C432" t="inlineStr">
        <is>
          <t>SHELVES</t>
        </is>
      </c>
      <c r="D432" t="inlineStr">
        <is>
          <t>WY 18.3 F917e 1978</t>
        </is>
      </c>
      <c r="E432" t="inlineStr">
        <is>
          <t>0                      WY 0018300F  917e        1978</t>
        </is>
      </c>
      <c r="F432" t="inlineStr">
        <is>
          <t>Evaluating student achievement : principles, trends, and problems / David A. Frisbie.</t>
        </is>
      </c>
      <c r="H432" t="inlineStr">
        <is>
          <t>No</t>
        </is>
      </c>
      <c r="I432" t="inlineStr">
        <is>
          <t>1</t>
        </is>
      </c>
      <c r="J432" t="inlineStr">
        <is>
          <t>No</t>
        </is>
      </c>
      <c r="K432" t="inlineStr">
        <is>
          <t>No</t>
        </is>
      </c>
      <c r="L432" t="inlineStr">
        <is>
          <t>0</t>
        </is>
      </c>
      <c r="M432" t="inlineStr">
        <is>
          <t>Frisbie, David A.</t>
        </is>
      </c>
      <c r="N432" t="inlineStr">
        <is>
          <t>New York : National League for Nursing, c1979.</t>
        </is>
      </c>
      <c r="O432" t="inlineStr">
        <is>
          <t>1978</t>
        </is>
      </c>
      <c r="Q432" t="inlineStr">
        <is>
          <t>eng</t>
        </is>
      </c>
      <c r="R432" t="inlineStr">
        <is>
          <t>nyu</t>
        </is>
      </c>
      <c r="S432" t="inlineStr">
        <is>
          <t>NLN pub. no. 23-1766</t>
        </is>
      </c>
      <c r="T432" t="inlineStr">
        <is>
          <t xml:space="preserve">WY </t>
        </is>
      </c>
      <c r="U432" t="n">
        <v>3</v>
      </c>
      <c r="V432" t="n">
        <v>3</v>
      </c>
      <c r="W432" t="inlineStr">
        <is>
          <t>1990-06-25</t>
        </is>
      </c>
      <c r="X432" t="inlineStr">
        <is>
          <t>1990-06-25</t>
        </is>
      </c>
      <c r="Y432" t="inlineStr">
        <is>
          <t>1987-11-04</t>
        </is>
      </c>
      <c r="Z432" t="inlineStr">
        <is>
          <t>1987-11-04</t>
        </is>
      </c>
      <c r="AA432" t="n">
        <v>99</v>
      </c>
      <c r="AB432" t="n">
        <v>85</v>
      </c>
      <c r="AC432" t="n">
        <v>86</v>
      </c>
      <c r="AD432" t="n">
        <v>1</v>
      </c>
      <c r="AE432" t="n">
        <v>1</v>
      </c>
      <c r="AF432" t="n">
        <v>2</v>
      </c>
      <c r="AG432" t="n">
        <v>2</v>
      </c>
      <c r="AH432" t="n">
        <v>0</v>
      </c>
      <c r="AI432" t="n">
        <v>0</v>
      </c>
      <c r="AJ432" t="n">
        <v>0</v>
      </c>
      <c r="AK432" t="n">
        <v>0</v>
      </c>
      <c r="AL432" t="n">
        <v>2</v>
      </c>
      <c r="AM432" t="n">
        <v>2</v>
      </c>
      <c r="AN432" t="n">
        <v>0</v>
      </c>
      <c r="AO432" t="n">
        <v>0</v>
      </c>
      <c r="AP432" t="n">
        <v>0</v>
      </c>
      <c r="AQ432" t="n">
        <v>0</v>
      </c>
      <c r="AR432" t="inlineStr">
        <is>
          <t>No</t>
        </is>
      </c>
      <c r="AS432" t="inlineStr">
        <is>
          <t>No</t>
        </is>
      </c>
      <c r="AU432">
        <f>HYPERLINK("https://creighton-primo.hosted.exlibrisgroup.com/primo-explore/search?tab=default_tab&amp;search_scope=EVERYTHING&amp;vid=01CRU&amp;lang=en_US&amp;offset=0&amp;query=any,contains,991001388569702656","Catalog Record")</f>
        <v/>
      </c>
      <c r="AV432">
        <f>HYPERLINK("http://www.worldcat.org/oclc/5989640","WorldCat Record")</f>
        <v/>
      </c>
      <c r="AW432" t="inlineStr">
        <is>
          <t>1813001224:eng</t>
        </is>
      </c>
      <c r="AX432" t="inlineStr">
        <is>
          <t>5989640</t>
        </is>
      </c>
      <c r="AY432" t="inlineStr">
        <is>
          <t>991001388569702656</t>
        </is>
      </c>
      <c r="AZ432" t="inlineStr">
        <is>
          <t>991001388569702656</t>
        </is>
      </c>
      <c r="BA432" t="inlineStr">
        <is>
          <t>2268412320002656</t>
        </is>
      </c>
      <c r="BB432" t="inlineStr">
        <is>
          <t>BOOK</t>
        </is>
      </c>
      <c r="BE432" t="inlineStr">
        <is>
          <t>30001000464356</t>
        </is>
      </c>
      <c r="BF432" t="inlineStr">
        <is>
          <t>893268424</t>
        </is>
      </c>
    </row>
    <row r="433">
      <c r="A433" t="inlineStr">
        <is>
          <t>No</t>
        </is>
      </c>
      <c r="B433" t="inlineStr">
        <is>
          <t>CUHSL</t>
        </is>
      </c>
      <c r="C433" t="inlineStr">
        <is>
          <t>SHELVES</t>
        </is>
      </c>
      <c r="D433" t="inlineStr">
        <is>
          <t>WY 18.3 N271p 1979</t>
        </is>
      </c>
      <c r="E433" t="inlineStr">
        <is>
          <t>0                      WY 0018300N  271p        1979</t>
        </is>
      </c>
      <c r="F433" t="inlineStr">
        <is>
          <t>Policies and procedures of accreditation for programs in nursing education : associate degree programs, baccalaureate and higher degree programs, diploma programs, practical nursing programs.</t>
        </is>
      </c>
      <c r="H433" t="inlineStr">
        <is>
          <t>No</t>
        </is>
      </c>
      <c r="I433" t="inlineStr">
        <is>
          <t>1</t>
        </is>
      </c>
      <c r="J433" t="inlineStr">
        <is>
          <t>No</t>
        </is>
      </c>
      <c r="K433" t="inlineStr">
        <is>
          <t>Yes</t>
        </is>
      </c>
      <c r="L433" t="inlineStr">
        <is>
          <t>0</t>
        </is>
      </c>
      <c r="N433" t="inlineStr">
        <is>
          <t>New York : National League for Nursing, c1979.</t>
        </is>
      </c>
      <c r="O433" t="inlineStr">
        <is>
          <t>1979</t>
        </is>
      </c>
      <c r="P433" t="inlineStr">
        <is>
          <t>Third Edition.</t>
        </is>
      </c>
      <c r="Q433" t="inlineStr">
        <is>
          <t>eng</t>
        </is>
      </c>
      <c r="R433" t="inlineStr">
        <is>
          <t>nyu</t>
        </is>
      </c>
      <c r="S433" t="inlineStr">
        <is>
          <t>NLN pub. no. 14-1437</t>
        </is>
      </c>
      <c r="T433" t="inlineStr">
        <is>
          <t xml:space="preserve">WY </t>
        </is>
      </c>
      <c r="U433" t="n">
        <v>2</v>
      </c>
      <c r="V433" t="n">
        <v>2</v>
      </c>
      <c r="W433" t="inlineStr">
        <is>
          <t>1993-11-29</t>
        </is>
      </c>
      <c r="X433" t="inlineStr">
        <is>
          <t>1993-11-29</t>
        </is>
      </c>
      <c r="Y433" t="inlineStr">
        <is>
          <t>1987-10-14</t>
        </is>
      </c>
      <c r="Z433" t="inlineStr">
        <is>
          <t>1987-10-14</t>
        </is>
      </c>
      <c r="AA433" t="n">
        <v>49</v>
      </c>
      <c r="AB433" t="n">
        <v>44</v>
      </c>
      <c r="AC433" t="n">
        <v>223</v>
      </c>
      <c r="AD433" t="n">
        <v>1</v>
      </c>
      <c r="AE433" t="n">
        <v>3</v>
      </c>
      <c r="AF433" t="n">
        <v>3</v>
      </c>
      <c r="AG433" t="n">
        <v>11</v>
      </c>
      <c r="AH433" t="n">
        <v>1</v>
      </c>
      <c r="AI433" t="n">
        <v>2</v>
      </c>
      <c r="AJ433" t="n">
        <v>1</v>
      </c>
      <c r="AK433" t="n">
        <v>2</v>
      </c>
      <c r="AL433" t="n">
        <v>2</v>
      </c>
      <c r="AM433" t="n">
        <v>7</v>
      </c>
      <c r="AN433" t="n">
        <v>0</v>
      </c>
      <c r="AO433" t="n">
        <v>1</v>
      </c>
      <c r="AP433" t="n">
        <v>0</v>
      </c>
      <c r="AQ433" t="n">
        <v>0</v>
      </c>
      <c r="AR433" t="inlineStr">
        <is>
          <t>No</t>
        </is>
      </c>
      <c r="AS433" t="inlineStr">
        <is>
          <t>Yes</t>
        </is>
      </c>
      <c r="AT433">
        <f>HYPERLINK("http://catalog.hathitrust.org/Record/000298072","HathiTrust Record")</f>
        <v/>
      </c>
      <c r="AU433">
        <f>HYPERLINK("https://creighton-primo.hosted.exlibrisgroup.com/primo-explore/search?tab=default_tab&amp;search_scope=EVERYTHING&amp;vid=01CRU&amp;lang=en_US&amp;offset=0&amp;query=any,contains,991001362899702656","Catalog Record")</f>
        <v/>
      </c>
      <c r="AV433">
        <f>HYPERLINK("http://www.worldcat.org/oclc/4790073","WorldCat Record")</f>
        <v/>
      </c>
      <c r="AW433" t="inlineStr">
        <is>
          <t>1475777:eng</t>
        </is>
      </c>
      <c r="AX433" t="inlineStr">
        <is>
          <t>4790073</t>
        </is>
      </c>
      <c r="AY433" t="inlineStr">
        <is>
          <t>991001362899702656</t>
        </is>
      </c>
      <c r="AZ433" t="inlineStr">
        <is>
          <t>991001362899702656</t>
        </is>
      </c>
      <c r="BA433" t="inlineStr">
        <is>
          <t>2255620890002656</t>
        </is>
      </c>
      <c r="BB433" t="inlineStr">
        <is>
          <t>BOOK</t>
        </is>
      </c>
      <c r="BE433" t="inlineStr">
        <is>
          <t>30001000460982</t>
        </is>
      </c>
      <c r="BF433" t="inlineStr">
        <is>
          <t>893826683</t>
        </is>
      </c>
    </row>
    <row r="434">
      <c r="A434" t="inlineStr">
        <is>
          <t>No</t>
        </is>
      </c>
      <c r="B434" t="inlineStr">
        <is>
          <t>CUHSL</t>
        </is>
      </c>
      <c r="C434" t="inlineStr">
        <is>
          <t>SHELVES</t>
        </is>
      </c>
      <c r="D434" t="inlineStr">
        <is>
          <t>WY 18.3 P9636 1978</t>
        </is>
      </c>
      <c r="E434" t="inlineStr">
        <is>
          <t>0                      WY 0018300P  9636        1978</t>
        </is>
      </c>
      <c r="F434" t="inlineStr">
        <is>
          <t>Program evaluation.</t>
        </is>
      </c>
      <c r="H434" t="inlineStr">
        <is>
          <t>No</t>
        </is>
      </c>
      <c r="I434" t="inlineStr">
        <is>
          <t>1</t>
        </is>
      </c>
      <c r="J434" t="inlineStr">
        <is>
          <t>No</t>
        </is>
      </c>
      <c r="K434" t="inlineStr">
        <is>
          <t>No</t>
        </is>
      </c>
      <c r="L434" t="inlineStr">
        <is>
          <t>0</t>
        </is>
      </c>
      <c r="N434" t="inlineStr">
        <is>
          <t>New York : National League for Nursing, c1978.</t>
        </is>
      </c>
      <c r="O434" t="inlineStr">
        <is>
          <t>1978</t>
        </is>
      </c>
      <c r="Q434" t="inlineStr">
        <is>
          <t>eng</t>
        </is>
      </c>
      <c r="R434" t="inlineStr">
        <is>
          <t>nyu</t>
        </is>
      </c>
      <c r="S434" t="inlineStr">
        <is>
          <t>NLN pub. no. 15-1738</t>
        </is>
      </c>
      <c r="T434" t="inlineStr">
        <is>
          <t xml:space="preserve">WY </t>
        </is>
      </c>
      <c r="U434" t="n">
        <v>2</v>
      </c>
      <c r="V434" t="n">
        <v>2</v>
      </c>
      <c r="W434" t="inlineStr">
        <is>
          <t>1993-11-29</t>
        </is>
      </c>
      <c r="X434" t="inlineStr">
        <is>
          <t>1993-11-29</t>
        </is>
      </c>
      <c r="Y434" t="inlineStr">
        <is>
          <t>1987-10-29</t>
        </is>
      </c>
      <c r="Z434" t="inlineStr">
        <is>
          <t>1987-10-29</t>
        </is>
      </c>
      <c r="AA434" t="n">
        <v>104</v>
      </c>
      <c r="AB434" t="n">
        <v>87</v>
      </c>
      <c r="AC434" t="n">
        <v>89</v>
      </c>
      <c r="AD434" t="n">
        <v>1</v>
      </c>
      <c r="AE434" t="n">
        <v>1</v>
      </c>
      <c r="AF434" t="n">
        <v>3</v>
      </c>
      <c r="AG434" t="n">
        <v>3</v>
      </c>
      <c r="AH434" t="n">
        <v>0</v>
      </c>
      <c r="AI434" t="n">
        <v>0</v>
      </c>
      <c r="AJ434" t="n">
        <v>1</v>
      </c>
      <c r="AK434" t="n">
        <v>1</v>
      </c>
      <c r="AL434" t="n">
        <v>2</v>
      </c>
      <c r="AM434" t="n">
        <v>2</v>
      </c>
      <c r="AN434" t="n">
        <v>0</v>
      </c>
      <c r="AO434" t="n">
        <v>0</v>
      </c>
      <c r="AP434" t="n">
        <v>0</v>
      </c>
      <c r="AQ434" t="n">
        <v>0</v>
      </c>
      <c r="AR434" t="inlineStr">
        <is>
          <t>No</t>
        </is>
      </c>
      <c r="AS434" t="inlineStr">
        <is>
          <t>Yes</t>
        </is>
      </c>
      <c r="AT434">
        <f>HYPERLINK("http://catalog.hathitrust.org/Record/000714165","HathiTrust Record")</f>
        <v/>
      </c>
      <c r="AU434">
        <f>HYPERLINK("https://creighton-primo.hosted.exlibrisgroup.com/primo-explore/search?tab=default_tab&amp;search_scope=EVERYTHING&amp;vid=01CRU&amp;lang=en_US&amp;offset=0&amp;query=any,contains,991001370999702656","Catalog Record")</f>
        <v/>
      </c>
      <c r="AV434">
        <f>HYPERLINK("http://www.worldcat.org/oclc/4468344","WorldCat Record")</f>
        <v/>
      </c>
      <c r="AW434" t="inlineStr">
        <is>
          <t>54261059:eng</t>
        </is>
      </c>
      <c r="AX434" t="inlineStr">
        <is>
          <t>4468344</t>
        </is>
      </c>
      <c r="AY434" t="inlineStr">
        <is>
          <t>991001370999702656</t>
        </is>
      </c>
      <c r="AZ434" t="inlineStr">
        <is>
          <t>991001370999702656</t>
        </is>
      </c>
      <c r="BA434" t="inlineStr">
        <is>
          <t>2255649070002656</t>
        </is>
      </c>
      <c r="BB434" t="inlineStr">
        <is>
          <t>BOOK</t>
        </is>
      </c>
      <c r="BE434" t="inlineStr">
        <is>
          <t>30001000461790</t>
        </is>
      </c>
      <c r="BF434" t="inlineStr">
        <is>
          <t>893649143</t>
        </is>
      </c>
    </row>
    <row r="435">
      <c r="A435" t="inlineStr">
        <is>
          <t>No</t>
        </is>
      </c>
      <c r="B435" t="inlineStr">
        <is>
          <t>CUHSL</t>
        </is>
      </c>
      <c r="C435" t="inlineStr">
        <is>
          <t>SHELVES</t>
        </is>
      </c>
      <c r="D435" t="inlineStr">
        <is>
          <t>WY 18.3 T794 1977</t>
        </is>
      </c>
      <c r="E435" t="inlineStr">
        <is>
          <t>0                      WY 0018300T  794         1977</t>
        </is>
      </c>
      <c r="F435" t="inlineStr">
        <is>
          <t>Trends, issues, and implications in student selection.</t>
        </is>
      </c>
      <c r="H435" t="inlineStr">
        <is>
          <t>No</t>
        </is>
      </c>
      <c r="I435" t="inlineStr">
        <is>
          <t>1</t>
        </is>
      </c>
      <c r="J435" t="inlineStr">
        <is>
          <t>No</t>
        </is>
      </c>
      <c r="K435" t="inlineStr">
        <is>
          <t>No</t>
        </is>
      </c>
      <c r="L435" t="inlineStr">
        <is>
          <t>0</t>
        </is>
      </c>
      <c r="N435" t="inlineStr">
        <is>
          <t>New York : National League for Nursing, c1978.</t>
        </is>
      </c>
      <c r="O435" t="inlineStr">
        <is>
          <t>1977</t>
        </is>
      </c>
      <c r="Q435" t="inlineStr">
        <is>
          <t>eng</t>
        </is>
      </c>
      <c r="R435" t="inlineStr">
        <is>
          <t>nyu</t>
        </is>
      </c>
      <c r="S435" t="inlineStr">
        <is>
          <t>NLN pub. no. 23-1704</t>
        </is>
      </c>
      <c r="T435" t="inlineStr">
        <is>
          <t xml:space="preserve">WY </t>
        </is>
      </c>
      <c r="U435" t="n">
        <v>1</v>
      </c>
      <c r="V435" t="n">
        <v>1</v>
      </c>
      <c r="W435" t="inlineStr">
        <is>
          <t>1990-08-03</t>
        </is>
      </c>
      <c r="X435" t="inlineStr">
        <is>
          <t>1990-08-03</t>
        </is>
      </c>
      <c r="Y435" t="inlineStr">
        <is>
          <t>1987-11-05</t>
        </is>
      </c>
      <c r="Z435" t="inlineStr">
        <is>
          <t>1987-11-05</t>
        </is>
      </c>
      <c r="AA435" t="n">
        <v>95</v>
      </c>
      <c r="AB435" t="n">
        <v>82</v>
      </c>
      <c r="AC435" t="n">
        <v>84</v>
      </c>
      <c r="AD435" t="n">
        <v>2</v>
      </c>
      <c r="AE435" t="n">
        <v>2</v>
      </c>
      <c r="AF435" t="n">
        <v>2</v>
      </c>
      <c r="AG435" t="n">
        <v>2</v>
      </c>
      <c r="AH435" t="n">
        <v>0</v>
      </c>
      <c r="AI435" t="n">
        <v>0</v>
      </c>
      <c r="AJ435" t="n">
        <v>0</v>
      </c>
      <c r="AK435" t="n">
        <v>0</v>
      </c>
      <c r="AL435" t="n">
        <v>2</v>
      </c>
      <c r="AM435" t="n">
        <v>2</v>
      </c>
      <c r="AN435" t="n">
        <v>0</v>
      </c>
      <c r="AO435" t="n">
        <v>0</v>
      </c>
      <c r="AP435" t="n">
        <v>0</v>
      </c>
      <c r="AQ435" t="n">
        <v>0</v>
      </c>
      <c r="AR435" t="inlineStr">
        <is>
          <t>No</t>
        </is>
      </c>
      <c r="AS435" t="inlineStr">
        <is>
          <t>Yes</t>
        </is>
      </c>
      <c r="AT435">
        <f>HYPERLINK("http://catalog.hathitrust.org/Record/000688146","HathiTrust Record")</f>
        <v/>
      </c>
      <c r="AU435">
        <f>HYPERLINK("https://creighton-primo.hosted.exlibrisgroup.com/primo-explore/search?tab=default_tab&amp;search_scope=EVERYTHING&amp;vid=01CRU&amp;lang=en_US&amp;offset=0&amp;query=any,contains,991001388239702656","Catalog Record")</f>
        <v/>
      </c>
      <c r="AV435">
        <f>HYPERLINK("http://www.worldcat.org/oclc/4858635","WorldCat Record")</f>
        <v/>
      </c>
      <c r="AW435" t="inlineStr">
        <is>
          <t>14993110:eng</t>
        </is>
      </c>
      <c r="AX435" t="inlineStr">
        <is>
          <t>4858635</t>
        </is>
      </c>
      <c r="AY435" t="inlineStr">
        <is>
          <t>991001388239702656</t>
        </is>
      </c>
      <c r="AZ435" t="inlineStr">
        <is>
          <t>991001388239702656</t>
        </is>
      </c>
      <c r="BA435" t="inlineStr">
        <is>
          <t>2266586670002656</t>
        </is>
      </c>
      <c r="BB435" t="inlineStr">
        <is>
          <t>BOOK</t>
        </is>
      </c>
      <c r="BE435" t="inlineStr">
        <is>
          <t>30001000464273</t>
        </is>
      </c>
      <c r="BF435" t="inlineStr">
        <is>
          <t>893633009</t>
        </is>
      </c>
    </row>
    <row r="436">
      <c r="A436" t="inlineStr">
        <is>
          <t>No</t>
        </is>
      </c>
      <c r="B436" t="inlineStr">
        <is>
          <t>CUHSL</t>
        </is>
      </c>
      <c r="C436" t="inlineStr">
        <is>
          <t>SHELVES</t>
        </is>
      </c>
      <c r="D436" t="inlineStr">
        <is>
          <t>WY 18.5 A462e 1982</t>
        </is>
      </c>
      <c r="E436" t="inlineStr">
        <is>
          <t>0                      WY 0018500A  462e        1982</t>
        </is>
      </c>
      <c r="F436" t="inlineStr">
        <is>
          <t>The education process in critical care nursing / JoAnn "Grif" Alspach.</t>
        </is>
      </c>
      <c r="H436" t="inlineStr">
        <is>
          <t>No</t>
        </is>
      </c>
      <c r="I436" t="inlineStr">
        <is>
          <t>1</t>
        </is>
      </c>
      <c r="J436" t="inlineStr">
        <is>
          <t>No</t>
        </is>
      </c>
      <c r="K436" t="inlineStr">
        <is>
          <t>No</t>
        </is>
      </c>
      <c r="L436" t="inlineStr">
        <is>
          <t>0</t>
        </is>
      </c>
      <c r="M436" t="inlineStr">
        <is>
          <t>Alspach, JoAnn.</t>
        </is>
      </c>
      <c r="N436" t="inlineStr">
        <is>
          <t>St. Louis : Mosby, c1982.</t>
        </is>
      </c>
      <c r="O436" t="inlineStr">
        <is>
          <t>1982</t>
        </is>
      </c>
      <c r="Q436" t="inlineStr">
        <is>
          <t>eng</t>
        </is>
      </c>
      <c r="R436" t="inlineStr">
        <is>
          <t>xxu</t>
        </is>
      </c>
      <c r="T436" t="inlineStr">
        <is>
          <t xml:space="preserve">WY </t>
        </is>
      </c>
      <c r="U436" t="n">
        <v>2</v>
      </c>
      <c r="V436" t="n">
        <v>2</v>
      </c>
      <c r="W436" t="inlineStr">
        <is>
          <t>1992-11-01</t>
        </is>
      </c>
      <c r="X436" t="inlineStr">
        <is>
          <t>1992-11-01</t>
        </is>
      </c>
      <c r="Y436" t="inlineStr">
        <is>
          <t>1987-12-28</t>
        </is>
      </c>
      <c r="Z436" t="inlineStr">
        <is>
          <t>1987-12-28</t>
        </is>
      </c>
      <c r="AA436" t="n">
        <v>182</v>
      </c>
      <c r="AB436" t="n">
        <v>140</v>
      </c>
      <c r="AC436" t="n">
        <v>142</v>
      </c>
      <c r="AD436" t="n">
        <v>1</v>
      </c>
      <c r="AE436" t="n">
        <v>1</v>
      </c>
      <c r="AF436" t="n">
        <v>1</v>
      </c>
      <c r="AG436" t="n">
        <v>1</v>
      </c>
      <c r="AH436" t="n">
        <v>0</v>
      </c>
      <c r="AI436" t="n">
        <v>0</v>
      </c>
      <c r="AJ436" t="n">
        <v>0</v>
      </c>
      <c r="AK436" t="n">
        <v>0</v>
      </c>
      <c r="AL436" t="n">
        <v>1</v>
      </c>
      <c r="AM436" t="n">
        <v>1</v>
      </c>
      <c r="AN436" t="n">
        <v>0</v>
      </c>
      <c r="AO436" t="n">
        <v>0</v>
      </c>
      <c r="AP436" t="n">
        <v>0</v>
      </c>
      <c r="AQ436" t="n">
        <v>0</v>
      </c>
      <c r="AR436" t="inlineStr">
        <is>
          <t>No</t>
        </is>
      </c>
      <c r="AS436" t="inlineStr">
        <is>
          <t>Yes</t>
        </is>
      </c>
      <c r="AT436">
        <f>HYPERLINK("http://catalog.hathitrust.org/Record/000274973","HathiTrust Record")</f>
        <v/>
      </c>
      <c r="AU436">
        <f>HYPERLINK("https://creighton-primo.hosted.exlibrisgroup.com/primo-explore/search?tab=default_tab&amp;search_scope=EVERYTHING&amp;vid=01CRU&amp;lang=en_US&amp;offset=0&amp;query=any,contains,991001046009702656","Catalog Record")</f>
        <v/>
      </c>
      <c r="AV436">
        <f>HYPERLINK("http://www.worldcat.org/oclc/8170295","WorldCat Record")</f>
        <v/>
      </c>
      <c r="AW436" t="inlineStr">
        <is>
          <t>451157:eng</t>
        </is>
      </c>
      <c r="AX436" t="inlineStr">
        <is>
          <t>8170295</t>
        </is>
      </c>
      <c r="AY436" t="inlineStr">
        <is>
          <t>991001046009702656</t>
        </is>
      </c>
      <c r="AZ436" t="inlineStr">
        <is>
          <t>991001046009702656</t>
        </is>
      </c>
      <c r="BA436" t="inlineStr">
        <is>
          <t>2268441180002656</t>
        </is>
      </c>
      <c r="BB436" t="inlineStr">
        <is>
          <t>BOOK</t>
        </is>
      </c>
      <c r="BD436" t="inlineStr">
        <is>
          <t>9780801601415</t>
        </is>
      </c>
      <c r="BE436" t="inlineStr">
        <is>
          <t>30001000244402</t>
        </is>
      </c>
      <c r="BF436" t="inlineStr">
        <is>
          <t>893273627</t>
        </is>
      </c>
    </row>
    <row r="437">
      <c r="A437" t="inlineStr">
        <is>
          <t>No</t>
        </is>
      </c>
      <c r="B437" t="inlineStr">
        <is>
          <t>CUHSL</t>
        </is>
      </c>
      <c r="C437" t="inlineStr">
        <is>
          <t>SHELVES</t>
        </is>
      </c>
      <c r="D437" t="inlineStr">
        <is>
          <t>WY 18.5 A935g 1981</t>
        </is>
      </c>
      <c r="E437" t="inlineStr">
        <is>
          <t>0                      WY 0018500A  935g        1981</t>
        </is>
      </c>
      <c r="F437" t="inlineStr">
        <is>
          <t>Guidelines for the development of continuing education offerings for nurses / Eileen Kay Austin.</t>
        </is>
      </c>
      <c r="H437" t="inlineStr">
        <is>
          <t>No</t>
        </is>
      </c>
      <c r="I437" t="inlineStr">
        <is>
          <t>1</t>
        </is>
      </c>
      <c r="J437" t="inlineStr">
        <is>
          <t>No</t>
        </is>
      </c>
      <c r="K437" t="inlineStr">
        <is>
          <t>No</t>
        </is>
      </c>
      <c r="L437" t="inlineStr">
        <is>
          <t>0</t>
        </is>
      </c>
      <c r="M437" t="inlineStr">
        <is>
          <t>Austin, Eileen Kay, 1947-</t>
        </is>
      </c>
      <c r="N437" t="inlineStr">
        <is>
          <t>New York : Appleton-Century-Crofts, c1981.</t>
        </is>
      </c>
      <c r="O437" t="inlineStr">
        <is>
          <t>1981</t>
        </is>
      </c>
      <c r="Q437" t="inlineStr">
        <is>
          <t>eng</t>
        </is>
      </c>
      <c r="R437" t="inlineStr">
        <is>
          <t>xxu</t>
        </is>
      </c>
      <c r="T437" t="inlineStr">
        <is>
          <t xml:space="preserve">WY </t>
        </is>
      </c>
      <c r="U437" t="n">
        <v>6</v>
      </c>
      <c r="V437" t="n">
        <v>6</v>
      </c>
      <c r="W437" t="inlineStr">
        <is>
          <t>2000-09-19</t>
        </is>
      </c>
      <c r="X437" t="inlineStr">
        <is>
          <t>2000-09-19</t>
        </is>
      </c>
      <c r="Y437" t="inlineStr">
        <is>
          <t>1987-12-28</t>
        </is>
      </c>
      <c r="Z437" t="inlineStr">
        <is>
          <t>1987-12-28</t>
        </is>
      </c>
      <c r="AA437" t="n">
        <v>178</v>
      </c>
      <c r="AB437" t="n">
        <v>145</v>
      </c>
      <c r="AC437" t="n">
        <v>146</v>
      </c>
      <c r="AD437" t="n">
        <v>1</v>
      </c>
      <c r="AE437" t="n">
        <v>1</v>
      </c>
      <c r="AF437" t="n">
        <v>5</v>
      </c>
      <c r="AG437" t="n">
        <v>5</v>
      </c>
      <c r="AH437" t="n">
        <v>0</v>
      </c>
      <c r="AI437" t="n">
        <v>0</v>
      </c>
      <c r="AJ437" t="n">
        <v>1</v>
      </c>
      <c r="AK437" t="n">
        <v>1</v>
      </c>
      <c r="AL437" t="n">
        <v>5</v>
      </c>
      <c r="AM437" t="n">
        <v>5</v>
      </c>
      <c r="AN437" t="n">
        <v>0</v>
      </c>
      <c r="AO437" t="n">
        <v>0</v>
      </c>
      <c r="AP437" t="n">
        <v>0</v>
      </c>
      <c r="AQ437" t="n">
        <v>0</v>
      </c>
      <c r="AR437" t="inlineStr">
        <is>
          <t>No</t>
        </is>
      </c>
      <c r="AS437" t="inlineStr">
        <is>
          <t>Yes</t>
        </is>
      </c>
      <c r="AT437">
        <f>HYPERLINK("http://catalog.hathitrust.org/Record/000270287","HathiTrust Record")</f>
        <v/>
      </c>
      <c r="AU437">
        <f>HYPERLINK("https://creighton-primo.hosted.exlibrisgroup.com/primo-explore/search?tab=default_tab&amp;search_scope=EVERYTHING&amp;vid=01CRU&amp;lang=en_US&amp;offset=0&amp;query=any,contains,991001045989702656","Catalog Record")</f>
        <v/>
      </c>
      <c r="AV437">
        <f>HYPERLINK("http://www.worldcat.org/oclc/6943129","WorldCat Record")</f>
        <v/>
      </c>
      <c r="AW437" t="inlineStr">
        <is>
          <t>25160164:eng</t>
        </is>
      </c>
      <c r="AX437" t="inlineStr">
        <is>
          <t>6943129</t>
        </is>
      </c>
      <c r="AY437" t="inlineStr">
        <is>
          <t>991001045989702656</t>
        </is>
      </c>
      <c r="AZ437" t="inlineStr">
        <is>
          <t>991001045989702656</t>
        </is>
      </c>
      <c r="BA437" t="inlineStr">
        <is>
          <t>2269242900002656</t>
        </is>
      </c>
      <c r="BB437" t="inlineStr">
        <is>
          <t>BOOK</t>
        </is>
      </c>
      <c r="BD437" t="inlineStr">
        <is>
          <t>9780838535240</t>
        </is>
      </c>
      <c r="BE437" t="inlineStr">
        <is>
          <t>30001000244410</t>
        </is>
      </c>
      <c r="BF437" t="inlineStr">
        <is>
          <t>893363700</t>
        </is>
      </c>
    </row>
    <row r="438">
      <c r="A438" t="inlineStr">
        <is>
          <t>No</t>
        </is>
      </c>
      <c r="B438" t="inlineStr">
        <is>
          <t>CUHSL</t>
        </is>
      </c>
      <c r="C438" t="inlineStr">
        <is>
          <t>SHELVES</t>
        </is>
      </c>
      <c r="D438" t="inlineStr">
        <is>
          <t>WY 18.5 C641 1998</t>
        </is>
      </c>
      <c r="E438" t="inlineStr">
        <is>
          <t>0                      WY 0018500C  641         1998</t>
        </is>
      </c>
      <c r="F438" t="inlineStr">
        <is>
          <t>Clinical &amp; nursing staff development : current competence, future focus / [edited by] Karen J. Kelly-Thomas.</t>
        </is>
      </c>
      <c r="H438" t="inlineStr">
        <is>
          <t>No</t>
        </is>
      </c>
      <c r="I438" t="inlineStr">
        <is>
          <t>1</t>
        </is>
      </c>
      <c r="J438" t="inlineStr">
        <is>
          <t>No</t>
        </is>
      </c>
      <c r="K438" t="inlineStr">
        <is>
          <t>No</t>
        </is>
      </c>
      <c r="L438" t="inlineStr">
        <is>
          <t>0</t>
        </is>
      </c>
      <c r="N438" t="inlineStr">
        <is>
          <t>Philadelphia : Lippincott, c1998.</t>
        </is>
      </c>
      <c r="O438" t="inlineStr">
        <is>
          <t>1998</t>
        </is>
      </c>
      <c r="P438" t="inlineStr">
        <is>
          <t>2nd ed.</t>
        </is>
      </c>
      <c r="Q438" t="inlineStr">
        <is>
          <t>eng</t>
        </is>
      </c>
      <c r="R438" t="inlineStr">
        <is>
          <t>pau</t>
        </is>
      </c>
      <c r="T438" t="inlineStr">
        <is>
          <t xml:space="preserve">WY </t>
        </is>
      </c>
      <c r="U438" t="n">
        <v>4</v>
      </c>
      <c r="V438" t="n">
        <v>4</v>
      </c>
      <c r="W438" t="inlineStr">
        <is>
          <t>2000-09-19</t>
        </is>
      </c>
      <c r="X438" t="inlineStr">
        <is>
          <t>2000-09-19</t>
        </is>
      </c>
      <c r="Y438" t="inlineStr">
        <is>
          <t>1999-11-05</t>
        </is>
      </c>
      <c r="Z438" t="inlineStr">
        <is>
          <t>1999-11-05</t>
        </is>
      </c>
      <c r="AA438" t="n">
        <v>277</v>
      </c>
      <c r="AB438" t="n">
        <v>217</v>
      </c>
      <c r="AC438" t="n">
        <v>218</v>
      </c>
      <c r="AD438" t="n">
        <v>1</v>
      </c>
      <c r="AE438" t="n">
        <v>1</v>
      </c>
      <c r="AF438" t="n">
        <v>7</v>
      </c>
      <c r="AG438" t="n">
        <v>7</v>
      </c>
      <c r="AH438" t="n">
        <v>3</v>
      </c>
      <c r="AI438" t="n">
        <v>3</v>
      </c>
      <c r="AJ438" t="n">
        <v>1</v>
      </c>
      <c r="AK438" t="n">
        <v>1</v>
      </c>
      <c r="AL438" t="n">
        <v>4</v>
      </c>
      <c r="AM438" t="n">
        <v>4</v>
      </c>
      <c r="AN438" t="n">
        <v>0</v>
      </c>
      <c r="AO438" t="n">
        <v>0</v>
      </c>
      <c r="AP438" t="n">
        <v>0</v>
      </c>
      <c r="AQ438" t="n">
        <v>0</v>
      </c>
      <c r="AR438" t="inlineStr">
        <is>
          <t>No</t>
        </is>
      </c>
      <c r="AS438" t="inlineStr">
        <is>
          <t>No</t>
        </is>
      </c>
      <c r="AU438">
        <f>HYPERLINK("https://creighton-primo.hosted.exlibrisgroup.com/primo-explore/search?tab=default_tab&amp;search_scope=EVERYTHING&amp;vid=01CRU&amp;lang=en_US&amp;offset=0&amp;query=any,contains,991001571719702656","Catalog Record")</f>
        <v/>
      </c>
      <c r="AV438">
        <f>HYPERLINK("http://www.worldcat.org/oclc/38239358","WorldCat Record")</f>
        <v/>
      </c>
      <c r="AW438" t="inlineStr">
        <is>
          <t>3858019535:eng</t>
        </is>
      </c>
      <c r="AX438" t="inlineStr">
        <is>
          <t>38239358</t>
        </is>
      </c>
      <c r="AY438" t="inlineStr">
        <is>
          <t>991001571719702656</t>
        </is>
      </c>
      <c r="AZ438" t="inlineStr">
        <is>
          <t>991001571719702656</t>
        </is>
      </c>
      <c r="BA438" t="inlineStr">
        <is>
          <t>2255313200002656</t>
        </is>
      </c>
      <c r="BB438" t="inlineStr">
        <is>
          <t>BOOK</t>
        </is>
      </c>
      <c r="BD438" t="inlineStr">
        <is>
          <t>9780397554164</t>
        </is>
      </c>
      <c r="BE438" t="inlineStr">
        <is>
          <t>30001004080331</t>
        </is>
      </c>
      <c r="BF438" t="inlineStr">
        <is>
          <t>893274303</t>
        </is>
      </c>
    </row>
    <row r="439">
      <c r="A439" t="inlineStr">
        <is>
          <t>No</t>
        </is>
      </c>
      <c r="B439" t="inlineStr">
        <is>
          <t>CUHSL</t>
        </is>
      </c>
      <c r="C439" t="inlineStr">
        <is>
          <t>SHELVES</t>
        </is>
      </c>
      <c r="D439" t="inlineStr">
        <is>
          <t>WY 18.5 C778p 1983</t>
        </is>
      </c>
      <c r="E439" t="inlineStr">
        <is>
          <t>0                      WY 0018500C  778p        1983</t>
        </is>
      </c>
      <c r="F439" t="inlineStr">
        <is>
          <t>The practice of continuing education in nursing / Signe Skott Cooper.</t>
        </is>
      </c>
      <c r="H439" t="inlineStr">
        <is>
          <t>No</t>
        </is>
      </c>
      <c r="I439" t="inlineStr">
        <is>
          <t>1</t>
        </is>
      </c>
      <c r="J439" t="inlineStr">
        <is>
          <t>No</t>
        </is>
      </c>
      <c r="K439" t="inlineStr">
        <is>
          <t>No</t>
        </is>
      </c>
      <c r="L439" t="inlineStr">
        <is>
          <t>0</t>
        </is>
      </c>
      <c r="M439" t="inlineStr">
        <is>
          <t>Cooper, Signe Skott.</t>
        </is>
      </c>
      <c r="N439" t="inlineStr">
        <is>
          <t>Rockville, Md. : Aspen Systems Corp., c1983.</t>
        </is>
      </c>
      <c r="O439" t="inlineStr">
        <is>
          <t>1983</t>
        </is>
      </c>
      <c r="Q439" t="inlineStr">
        <is>
          <t>eng</t>
        </is>
      </c>
      <c r="R439" t="inlineStr">
        <is>
          <t>xxu</t>
        </is>
      </c>
      <c r="T439" t="inlineStr">
        <is>
          <t xml:space="preserve">WY </t>
        </is>
      </c>
      <c r="U439" t="n">
        <v>9</v>
      </c>
      <c r="V439" t="n">
        <v>9</v>
      </c>
      <c r="W439" t="inlineStr">
        <is>
          <t>1994-02-24</t>
        </is>
      </c>
      <c r="X439" t="inlineStr">
        <is>
          <t>1994-02-24</t>
        </is>
      </c>
      <c r="Y439" t="inlineStr">
        <is>
          <t>1987-12-28</t>
        </is>
      </c>
      <c r="Z439" t="inlineStr">
        <is>
          <t>1987-12-28</t>
        </is>
      </c>
      <c r="AA439" t="n">
        <v>204</v>
      </c>
      <c r="AB439" t="n">
        <v>172</v>
      </c>
      <c r="AC439" t="n">
        <v>174</v>
      </c>
      <c r="AD439" t="n">
        <v>1</v>
      </c>
      <c r="AE439" t="n">
        <v>1</v>
      </c>
      <c r="AF439" t="n">
        <v>4</v>
      </c>
      <c r="AG439" t="n">
        <v>4</v>
      </c>
      <c r="AH439" t="n">
        <v>1</v>
      </c>
      <c r="AI439" t="n">
        <v>1</v>
      </c>
      <c r="AJ439" t="n">
        <v>1</v>
      </c>
      <c r="AK439" t="n">
        <v>1</v>
      </c>
      <c r="AL439" t="n">
        <v>2</v>
      </c>
      <c r="AM439" t="n">
        <v>2</v>
      </c>
      <c r="AN439" t="n">
        <v>0</v>
      </c>
      <c r="AO439" t="n">
        <v>0</v>
      </c>
      <c r="AP439" t="n">
        <v>0</v>
      </c>
      <c r="AQ439" t="n">
        <v>0</v>
      </c>
      <c r="AR439" t="inlineStr">
        <is>
          <t>No</t>
        </is>
      </c>
      <c r="AS439" t="inlineStr">
        <is>
          <t>Yes</t>
        </is>
      </c>
      <c r="AT439">
        <f>HYPERLINK("http://catalog.hathitrust.org/Record/004413157","HathiTrust Record")</f>
        <v/>
      </c>
      <c r="AU439">
        <f>HYPERLINK("https://creighton-primo.hosted.exlibrisgroup.com/primo-explore/search?tab=default_tab&amp;search_scope=EVERYTHING&amp;vid=01CRU&amp;lang=en_US&amp;offset=0&amp;query=any,contains,991001046049702656","Catalog Record")</f>
        <v/>
      </c>
      <c r="AV439">
        <f>HYPERLINK("http://www.worldcat.org/oclc/8708887","WorldCat Record")</f>
        <v/>
      </c>
      <c r="AW439" t="inlineStr">
        <is>
          <t>20501709:eng</t>
        </is>
      </c>
      <c r="AX439" t="inlineStr">
        <is>
          <t>8708887</t>
        </is>
      </c>
      <c r="AY439" t="inlineStr">
        <is>
          <t>991001046049702656</t>
        </is>
      </c>
      <c r="AZ439" t="inlineStr">
        <is>
          <t>991001046049702656</t>
        </is>
      </c>
      <c r="BA439" t="inlineStr">
        <is>
          <t>2272444540002656</t>
        </is>
      </c>
      <c r="BB439" t="inlineStr">
        <is>
          <t>BOOK</t>
        </is>
      </c>
      <c r="BD439" t="inlineStr">
        <is>
          <t>9780894436642</t>
        </is>
      </c>
      <c r="BE439" t="inlineStr">
        <is>
          <t>30001000244436</t>
        </is>
      </c>
      <c r="BF439" t="inlineStr">
        <is>
          <t>893648850</t>
        </is>
      </c>
    </row>
    <row r="440">
      <c r="A440" t="inlineStr">
        <is>
          <t>No</t>
        </is>
      </c>
      <c r="B440" t="inlineStr">
        <is>
          <t>CUHSL</t>
        </is>
      </c>
      <c r="C440" t="inlineStr">
        <is>
          <t>SHELVES</t>
        </is>
      </c>
      <c r="D440" t="inlineStr">
        <is>
          <t>WY 18.5 D281d 1985</t>
        </is>
      </c>
      <c r="E440" t="inlineStr">
        <is>
          <t>0                      WY 0018500D  281d        1985</t>
        </is>
      </c>
      <c r="F440" t="inlineStr">
        <is>
          <t>Developing professional effectiveness in nursing / Donna Deane, Janis Campbell.</t>
        </is>
      </c>
      <c r="H440" t="inlineStr">
        <is>
          <t>No</t>
        </is>
      </c>
      <c r="I440" t="inlineStr">
        <is>
          <t>1</t>
        </is>
      </c>
      <c r="J440" t="inlineStr">
        <is>
          <t>No</t>
        </is>
      </c>
      <c r="K440" t="inlineStr">
        <is>
          <t>No</t>
        </is>
      </c>
      <c r="L440" t="inlineStr">
        <is>
          <t>0</t>
        </is>
      </c>
      <c r="M440" t="inlineStr">
        <is>
          <t>Deane, Donna.</t>
        </is>
      </c>
      <c r="N440" t="inlineStr">
        <is>
          <t>Reston, Va. : Reston Pub. Co., c1985.</t>
        </is>
      </c>
      <c r="O440" t="inlineStr">
        <is>
          <t>1985</t>
        </is>
      </c>
      <c r="Q440" t="inlineStr">
        <is>
          <t>eng</t>
        </is>
      </c>
      <c r="R440" t="inlineStr">
        <is>
          <t>xxu</t>
        </is>
      </c>
      <c r="T440" t="inlineStr">
        <is>
          <t xml:space="preserve">WY </t>
        </is>
      </c>
      <c r="U440" t="n">
        <v>3</v>
      </c>
      <c r="V440" t="n">
        <v>3</v>
      </c>
      <c r="W440" t="inlineStr">
        <is>
          <t>1994-02-05</t>
        </is>
      </c>
      <c r="X440" t="inlineStr">
        <is>
          <t>1994-02-05</t>
        </is>
      </c>
      <c r="Y440" t="inlineStr">
        <is>
          <t>1987-12-28</t>
        </is>
      </c>
      <c r="Z440" t="inlineStr">
        <is>
          <t>1987-12-28</t>
        </is>
      </c>
      <c r="AA440" t="n">
        <v>160</v>
      </c>
      <c r="AB440" t="n">
        <v>120</v>
      </c>
      <c r="AC440" t="n">
        <v>122</v>
      </c>
      <c r="AD440" t="n">
        <v>1</v>
      </c>
      <c r="AE440" t="n">
        <v>1</v>
      </c>
      <c r="AF440" t="n">
        <v>1</v>
      </c>
      <c r="AG440" t="n">
        <v>1</v>
      </c>
      <c r="AH440" t="n">
        <v>0</v>
      </c>
      <c r="AI440" t="n">
        <v>0</v>
      </c>
      <c r="AJ440" t="n">
        <v>0</v>
      </c>
      <c r="AK440" t="n">
        <v>0</v>
      </c>
      <c r="AL440" t="n">
        <v>1</v>
      </c>
      <c r="AM440" t="n">
        <v>1</v>
      </c>
      <c r="AN440" t="n">
        <v>0</v>
      </c>
      <c r="AO440" t="n">
        <v>0</v>
      </c>
      <c r="AP440" t="n">
        <v>0</v>
      </c>
      <c r="AQ440" t="n">
        <v>0</v>
      </c>
      <c r="AR440" t="inlineStr">
        <is>
          <t>No</t>
        </is>
      </c>
      <c r="AS440" t="inlineStr">
        <is>
          <t>Yes</t>
        </is>
      </c>
      <c r="AT440">
        <f>HYPERLINK("http://catalog.hathitrust.org/Record/000462904","HathiTrust Record")</f>
        <v/>
      </c>
      <c r="AU440">
        <f>HYPERLINK("https://creighton-primo.hosted.exlibrisgroup.com/primo-explore/search?tab=default_tab&amp;search_scope=EVERYTHING&amp;vid=01CRU&amp;lang=en_US&amp;offset=0&amp;query=any,contains,991001046119702656","Catalog Record")</f>
        <v/>
      </c>
      <c r="AV440">
        <f>HYPERLINK("http://www.worldcat.org/oclc/11497325","WorldCat Record")</f>
        <v/>
      </c>
      <c r="AW440" t="inlineStr">
        <is>
          <t>4247345:eng</t>
        </is>
      </c>
      <c r="AX440" t="inlineStr">
        <is>
          <t>11497325</t>
        </is>
      </c>
      <c r="AY440" t="inlineStr">
        <is>
          <t>991001046119702656</t>
        </is>
      </c>
      <c r="AZ440" t="inlineStr">
        <is>
          <t>991001046119702656</t>
        </is>
      </c>
      <c r="BA440" t="inlineStr">
        <is>
          <t>2267822750002656</t>
        </is>
      </c>
      <c r="BB440" t="inlineStr">
        <is>
          <t>BOOK</t>
        </is>
      </c>
      <c r="BD440" t="inlineStr">
        <is>
          <t>9780835913492</t>
        </is>
      </c>
      <c r="BE440" t="inlineStr">
        <is>
          <t>30001000244444</t>
        </is>
      </c>
      <c r="BF440" t="inlineStr">
        <is>
          <t>893363701</t>
        </is>
      </c>
    </row>
    <row r="441">
      <c r="A441" t="inlineStr">
        <is>
          <t>No</t>
        </is>
      </c>
      <c r="B441" t="inlineStr">
        <is>
          <t>CUHSL</t>
        </is>
      </c>
      <c r="C441" t="inlineStr">
        <is>
          <t>SHELVES</t>
        </is>
      </c>
      <c r="D441" t="inlineStr">
        <is>
          <t>WY 18.5 D4888 1981</t>
        </is>
      </c>
      <c r="E441" t="inlineStr">
        <is>
          <t>0                      WY 0018500D  4888        1981</t>
        </is>
      </c>
      <c r="F441" t="inlineStr">
        <is>
          <t>Developing a curriculum for the nursing service administrator role.</t>
        </is>
      </c>
      <c r="H441" t="inlineStr">
        <is>
          <t>No</t>
        </is>
      </c>
      <c r="I441" t="inlineStr">
        <is>
          <t>1</t>
        </is>
      </c>
      <c r="J441" t="inlineStr">
        <is>
          <t>No</t>
        </is>
      </c>
      <c r="K441" t="inlineStr">
        <is>
          <t>No</t>
        </is>
      </c>
      <c r="L441" t="inlineStr">
        <is>
          <t>0</t>
        </is>
      </c>
      <c r="N441" t="inlineStr">
        <is>
          <t>New York : National League for Nursing, c1982.</t>
        </is>
      </c>
      <c r="O441" t="inlineStr">
        <is>
          <t>1982</t>
        </is>
      </c>
      <c r="Q441" t="inlineStr">
        <is>
          <t>eng</t>
        </is>
      </c>
      <c r="R441" t="inlineStr">
        <is>
          <t>xxu</t>
        </is>
      </c>
      <c r="S441" t="inlineStr">
        <is>
          <t>NLN pub. no. 15-1902</t>
        </is>
      </c>
      <c r="T441" t="inlineStr">
        <is>
          <t xml:space="preserve">WY </t>
        </is>
      </c>
      <c r="U441" t="n">
        <v>3</v>
      </c>
      <c r="V441" t="n">
        <v>3</v>
      </c>
      <c r="W441" t="inlineStr">
        <is>
          <t>1992-08-25</t>
        </is>
      </c>
      <c r="X441" t="inlineStr">
        <is>
          <t>1992-08-25</t>
        </is>
      </c>
      <c r="Y441" t="inlineStr">
        <is>
          <t>1987-10-29</t>
        </is>
      </c>
      <c r="Z441" t="inlineStr">
        <is>
          <t>1987-10-29</t>
        </is>
      </c>
      <c r="AA441" t="n">
        <v>88</v>
      </c>
      <c r="AB441" t="n">
        <v>79</v>
      </c>
      <c r="AC441" t="n">
        <v>82</v>
      </c>
      <c r="AD441" t="n">
        <v>1</v>
      </c>
      <c r="AE441" t="n">
        <v>1</v>
      </c>
      <c r="AF441" t="n">
        <v>2</v>
      </c>
      <c r="AG441" t="n">
        <v>2</v>
      </c>
      <c r="AH441" t="n">
        <v>0</v>
      </c>
      <c r="AI441" t="n">
        <v>0</v>
      </c>
      <c r="AJ441" t="n">
        <v>0</v>
      </c>
      <c r="AK441" t="n">
        <v>0</v>
      </c>
      <c r="AL441" t="n">
        <v>2</v>
      </c>
      <c r="AM441" t="n">
        <v>2</v>
      </c>
      <c r="AN441" t="n">
        <v>0</v>
      </c>
      <c r="AO441" t="n">
        <v>0</v>
      </c>
      <c r="AP441" t="n">
        <v>0</v>
      </c>
      <c r="AQ441" t="n">
        <v>0</v>
      </c>
      <c r="AR441" t="inlineStr">
        <is>
          <t>No</t>
        </is>
      </c>
      <c r="AS441" t="inlineStr">
        <is>
          <t>Yes</t>
        </is>
      </c>
      <c r="AT441">
        <f>HYPERLINK("http://catalog.hathitrust.org/Record/002505054","HathiTrust Record")</f>
        <v/>
      </c>
      <c r="AU441">
        <f>HYPERLINK("https://creighton-primo.hosted.exlibrisgroup.com/primo-explore/search?tab=default_tab&amp;search_scope=EVERYTHING&amp;vid=01CRU&amp;lang=en_US&amp;offset=0&amp;query=any,contains,991001373169702656","Catalog Record")</f>
        <v/>
      </c>
      <c r="AV441">
        <f>HYPERLINK("http://www.worldcat.org/oclc/9193915","WorldCat Record")</f>
        <v/>
      </c>
      <c r="AW441" t="inlineStr">
        <is>
          <t>426960567:eng</t>
        </is>
      </c>
      <c r="AX441" t="inlineStr">
        <is>
          <t>9193915</t>
        </is>
      </c>
      <c r="AY441" t="inlineStr">
        <is>
          <t>991001373169702656</t>
        </is>
      </c>
      <c r="AZ441" t="inlineStr">
        <is>
          <t>991001373169702656</t>
        </is>
      </c>
      <c r="BA441" t="inlineStr">
        <is>
          <t>2267937460002656</t>
        </is>
      </c>
      <c r="BB441" t="inlineStr">
        <is>
          <t>BOOK</t>
        </is>
      </c>
      <c r="BE441" t="inlineStr">
        <is>
          <t>30001000461980</t>
        </is>
      </c>
      <c r="BF441" t="inlineStr">
        <is>
          <t>893358516</t>
        </is>
      </c>
    </row>
    <row r="442">
      <c r="A442" t="inlineStr">
        <is>
          <t>No</t>
        </is>
      </c>
      <c r="B442" t="inlineStr">
        <is>
          <t>CUHSL</t>
        </is>
      </c>
      <c r="C442" t="inlineStr">
        <is>
          <t>SHELVES</t>
        </is>
      </c>
      <c r="D442" t="inlineStr">
        <is>
          <t>WY 18.5 D489 1978</t>
        </is>
      </c>
      <c r="E442" t="inlineStr">
        <is>
          <t>0                      WY 0018500D  489         1978</t>
        </is>
      </c>
      <c r="F442" t="inlineStr">
        <is>
          <t>Developing a master's program in nursing.</t>
        </is>
      </c>
      <c r="H442" t="inlineStr">
        <is>
          <t>No</t>
        </is>
      </c>
      <c r="I442" t="inlineStr">
        <is>
          <t>1</t>
        </is>
      </c>
      <c r="J442" t="inlineStr">
        <is>
          <t>No</t>
        </is>
      </c>
      <c r="K442" t="inlineStr">
        <is>
          <t>No</t>
        </is>
      </c>
      <c r="L442" t="inlineStr">
        <is>
          <t>0</t>
        </is>
      </c>
      <c r="N442" t="inlineStr">
        <is>
          <t>New York : National League for Nursing, c1978.</t>
        </is>
      </c>
      <c r="O442" t="inlineStr">
        <is>
          <t>1978</t>
        </is>
      </c>
      <c r="Q442" t="inlineStr">
        <is>
          <t>eng</t>
        </is>
      </c>
      <c r="R442" t="inlineStr">
        <is>
          <t>nyu</t>
        </is>
      </c>
      <c r="S442" t="inlineStr">
        <is>
          <t>NLN pub. no. 15-1747</t>
        </is>
      </c>
      <c r="T442" t="inlineStr">
        <is>
          <t xml:space="preserve">WY </t>
        </is>
      </c>
      <c r="U442" t="n">
        <v>2</v>
      </c>
      <c r="V442" t="n">
        <v>2</v>
      </c>
      <c r="W442" t="inlineStr">
        <is>
          <t>1990-06-12</t>
        </is>
      </c>
      <c r="X442" t="inlineStr">
        <is>
          <t>1990-06-12</t>
        </is>
      </c>
      <c r="Y442" t="inlineStr">
        <is>
          <t>1987-10-29</t>
        </is>
      </c>
      <c r="Z442" t="inlineStr">
        <is>
          <t>1987-10-29</t>
        </is>
      </c>
      <c r="AA442" t="n">
        <v>100</v>
      </c>
      <c r="AB442" t="n">
        <v>83</v>
      </c>
      <c r="AC442" t="n">
        <v>83</v>
      </c>
      <c r="AD442" t="n">
        <v>2</v>
      </c>
      <c r="AE442" t="n">
        <v>2</v>
      </c>
      <c r="AF442" t="n">
        <v>1</v>
      </c>
      <c r="AG442" t="n">
        <v>1</v>
      </c>
      <c r="AH442" t="n">
        <v>0</v>
      </c>
      <c r="AI442" t="n">
        <v>0</v>
      </c>
      <c r="AJ442" t="n">
        <v>0</v>
      </c>
      <c r="AK442" t="n">
        <v>0</v>
      </c>
      <c r="AL442" t="n">
        <v>1</v>
      </c>
      <c r="AM442" t="n">
        <v>1</v>
      </c>
      <c r="AN442" t="n">
        <v>0</v>
      </c>
      <c r="AO442" t="n">
        <v>0</v>
      </c>
      <c r="AP442" t="n">
        <v>0</v>
      </c>
      <c r="AQ442" t="n">
        <v>0</v>
      </c>
      <c r="AR442" t="inlineStr">
        <is>
          <t>No</t>
        </is>
      </c>
      <c r="AS442" t="inlineStr">
        <is>
          <t>No</t>
        </is>
      </c>
      <c r="AU442">
        <f>HYPERLINK("https://creighton-primo.hosted.exlibrisgroup.com/primo-explore/search?tab=default_tab&amp;search_scope=EVERYTHING&amp;vid=01CRU&amp;lang=en_US&amp;offset=0&amp;query=any,contains,991001371039702656","Catalog Record")</f>
        <v/>
      </c>
      <c r="AV442">
        <f>HYPERLINK("http://www.worldcat.org/oclc/5051582","WorldCat Record")</f>
        <v/>
      </c>
      <c r="AW442" t="inlineStr">
        <is>
          <t>2242526540:eng</t>
        </is>
      </c>
      <c r="AX442" t="inlineStr">
        <is>
          <t>5051582</t>
        </is>
      </c>
      <c r="AY442" t="inlineStr">
        <is>
          <t>991001371039702656</t>
        </is>
      </c>
      <c r="AZ442" t="inlineStr">
        <is>
          <t>991001371039702656</t>
        </is>
      </c>
      <c r="BA442" t="inlineStr">
        <is>
          <t>2263907690002656</t>
        </is>
      </c>
      <c r="BB442" t="inlineStr">
        <is>
          <t>BOOK</t>
        </is>
      </c>
      <c r="BE442" t="inlineStr">
        <is>
          <t>30001000461808</t>
        </is>
      </c>
      <c r="BF442" t="inlineStr">
        <is>
          <t>893832125</t>
        </is>
      </c>
    </row>
    <row r="443">
      <c r="A443" t="inlineStr">
        <is>
          <t>No</t>
        </is>
      </c>
      <c r="B443" t="inlineStr">
        <is>
          <t>CUHSL</t>
        </is>
      </c>
      <c r="C443" t="inlineStr">
        <is>
          <t>SHELVES</t>
        </is>
      </c>
      <c r="D443" t="inlineStr">
        <is>
          <t>WY 18.5 D4895 1980</t>
        </is>
      </c>
      <c r="E443" t="inlineStr">
        <is>
          <t>0                      WY 0018500D  4895        1980</t>
        </is>
      </c>
      <c r="F443" t="inlineStr">
        <is>
          <t>Developing the functional role in master's education in nursing.</t>
        </is>
      </c>
      <c r="H443" t="inlineStr">
        <is>
          <t>No</t>
        </is>
      </c>
      <c r="I443" t="inlineStr">
        <is>
          <t>1</t>
        </is>
      </c>
      <c r="J443" t="inlineStr">
        <is>
          <t>No</t>
        </is>
      </c>
      <c r="K443" t="inlineStr">
        <is>
          <t>No</t>
        </is>
      </c>
      <c r="L443" t="inlineStr">
        <is>
          <t>0</t>
        </is>
      </c>
      <c r="N443" t="inlineStr">
        <is>
          <t>New York, N.Y. : National League for Nursing, c1980.</t>
        </is>
      </c>
      <c r="O443" t="inlineStr">
        <is>
          <t>1980</t>
        </is>
      </c>
      <c r="Q443" t="inlineStr">
        <is>
          <t>eng</t>
        </is>
      </c>
      <c r="R443" t="inlineStr">
        <is>
          <t>xxu</t>
        </is>
      </c>
      <c r="S443" t="inlineStr">
        <is>
          <t>NLN pub. no. 15-1840</t>
        </is>
      </c>
      <c r="T443" t="inlineStr">
        <is>
          <t xml:space="preserve">WY </t>
        </is>
      </c>
      <c r="U443" t="n">
        <v>5</v>
      </c>
      <c r="V443" t="n">
        <v>5</v>
      </c>
      <c r="W443" t="inlineStr">
        <is>
          <t>1989-11-27</t>
        </is>
      </c>
      <c r="X443" t="inlineStr">
        <is>
          <t>1989-11-27</t>
        </is>
      </c>
      <c r="Y443" t="inlineStr">
        <is>
          <t>1987-10-29</t>
        </is>
      </c>
      <c r="Z443" t="inlineStr">
        <is>
          <t>1987-10-29</t>
        </is>
      </c>
      <c r="AA443" t="n">
        <v>96</v>
      </c>
      <c r="AB443" t="n">
        <v>80</v>
      </c>
      <c r="AC443" t="n">
        <v>82</v>
      </c>
      <c r="AD443" t="n">
        <v>1</v>
      </c>
      <c r="AE443" t="n">
        <v>1</v>
      </c>
      <c r="AF443" t="n">
        <v>1</v>
      </c>
      <c r="AG443" t="n">
        <v>1</v>
      </c>
      <c r="AH443" t="n">
        <v>0</v>
      </c>
      <c r="AI443" t="n">
        <v>0</v>
      </c>
      <c r="AJ443" t="n">
        <v>0</v>
      </c>
      <c r="AK443" t="n">
        <v>0</v>
      </c>
      <c r="AL443" t="n">
        <v>1</v>
      </c>
      <c r="AM443" t="n">
        <v>1</v>
      </c>
      <c r="AN443" t="n">
        <v>0</v>
      </c>
      <c r="AO443" t="n">
        <v>0</v>
      </c>
      <c r="AP443" t="n">
        <v>0</v>
      </c>
      <c r="AQ443" t="n">
        <v>0</v>
      </c>
      <c r="AR443" t="inlineStr">
        <is>
          <t>No</t>
        </is>
      </c>
      <c r="AS443" t="inlineStr">
        <is>
          <t>Yes</t>
        </is>
      </c>
      <c r="AT443">
        <f>HYPERLINK("http://catalog.hathitrust.org/Record/001547908","HathiTrust Record")</f>
        <v/>
      </c>
      <c r="AU443">
        <f>HYPERLINK("https://creighton-primo.hosted.exlibrisgroup.com/primo-explore/search?tab=default_tab&amp;search_scope=EVERYTHING&amp;vid=01CRU&amp;lang=en_US&amp;offset=0&amp;query=any,contains,991001371749702656","Catalog Record")</f>
        <v/>
      </c>
      <c r="AV443">
        <f>HYPERLINK("http://www.worldcat.org/oclc/7776436","WorldCat Record")</f>
        <v/>
      </c>
      <c r="AW443" t="inlineStr">
        <is>
          <t>29599700:eng</t>
        </is>
      </c>
      <c r="AX443" t="inlineStr">
        <is>
          <t>7776436</t>
        </is>
      </c>
      <c r="AY443" t="inlineStr">
        <is>
          <t>991001371749702656</t>
        </is>
      </c>
      <c r="AZ443" t="inlineStr">
        <is>
          <t>991001371749702656</t>
        </is>
      </c>
      <c r="BA443" t="inlineStr">
        <is>
          <t>2272748440002656</t>
        </is>
      </c>
      <c r="BB443" t="inlineStr">
        <is>
          <t>BOOK</t>
        </is>
      </c>
      <c r="BE443" t="inlineStr">
        <is>
          <t>30001000461915</t>
        </is>
      </c>
      <c r="BF443" t="inlineStr">
        <is>
          <t>893727515</t>
        </is>
      </c>
    </row>
    <row r="444">
      <c r="A444" t="inlineStr">
        <is>
          <t>No</t>
        </is>
      </c>
      <c r="B444" t="inlineStr">
        <is>
          <t>CUHSL</t>
        </is>
      </c>
      <c r="C444" t="inlineStr">
        <is>
          <t>SHELVES</t>
        </is>
      </c>
      <c r="D444" t="inlineStr">
        <is>
          <t>WY 18.5 I34 1977</t>
        </is>
      </c>
      <c r="E444" t="inlineStr">
        <is>
          <t>0                      WY 0018500I  34          1977</t>
        </is>
      </c>
      <c r="F444" t="inlineStr">
        <is>
          <t>Implementation of continuing education in nursing.</t>
        </is>
      </c>
      <c r="H444" t="inlineStr">
        <is>
          <t>No</t>
        </is>
      </c>
      <c r="I444" t="inlineStr">
        <is>
          <t>1</t>
        </is>
      </c>
      <c r="J444" t="inlineStr">
        <is>
          <t>No</t>
        </is>
      </c>
      <c r="K444" t="inlineStr">
        <is>
          <t>No</t>
        </is>
      </c>
      <c r="L444" t="inlineStr">
        <is>
          <t>0</t>
        </is>
      </c>
      <c r="N444" t="inlineStr">
        <is>
          <t>New York : National League for Nursing, c1978.</t>
        </is>
      </c>
      <c r="O444" t="inlineStr">
        <is>
          <t>1977</t>
        </is>
      </c>
      <c r="Q444" t="inlineStr">
        <is>
          <t>eng</t>
        </is>
      </c>
      <c r="R444" t="inlineStr">
        <is>
          <t>nyu</t>
        </is>
      </c>
      <c r="S444" t="inlineStr">
        <is>
          <t>NLN pub. no. 52-1718</t>
        </is>
      </c>
      <c r="T444" t="inlineStr">
        <is>
          <t xml:space="preserve">WY </t>
        </is>
      </c>
      <c r="U444" t="n">
        <v>2</v>
      </c>
      <c r="V444" t="n">
        <v>2</v>
      </c>
      <c r="W444" t="inlineStr">
        <is>
          <t>1990-07-02</t>
        </is>
      </c>
      <c r="X444" t="inlineStr">
        <is>
          <t>1990-07-02</t>
        </is>
      </c>
      <c r="Y444" t="inlineStr">
        <is>
          <t>1987-11-18</t>
        </is>
      </c>
      <c r="Z444" t="inlineStr">
        <is>
          <t>1987-11-18</t>
        </is>
      </c>
      <c r="AA444" t="n">
        <v>96</v>
      </c>
      <c r="AB444" t="n">
        <v>79</v>
      </c>
      <c r="AC444" t="n">
        <v>81</v>
      </c>
      <c r="AD444" t="n">
        <v>2</v>
      </c>
      <c r="AE444" t="n">
        <v>2</v>
      </c>
      <c r="AF444" t="n">
        <v>2</v>
      </c>
      <c r="AG444" t="n">
        <v>2</v>
      </c>
      <c r="AH444" t="n">
        <v>0</v>
      </c>
      <c r="AI444" t="n">
        <v>0</v>
      </c>
      <c r="AJ444" t="n">
        <v>0</v>
      </c>
      <c r="AK444" t="n">
        <v>0</v>
      </c>
      <c r="AL444" t="n">
        <v>2</v>
      </c>
      <c r="AM444" t="n">
        <v>2</v>
      </c>
      <c r="AN444" t="n">
        <v>0</v>
      </c>
      <c r="AO444" t="n">
        <v>0</v>
      </c>
      <c r="AP444" t="n">
        <v>0</v>
      </c>
      <c r="AQ444" t="n">
        <v>0</v>
      </c>
      <c r="AR444" t="inlineStr">
        <is>
          <t>No</t>
        </is>
      </c>
      <c r="AS444" t="inlineStr">
        <is>
          <t>Yes</t>
        </is>
      </c>
      <c r="AT444">
        <f>HYPERLINK("http://catalog.hathitrust.org/Record/000175728","HathiTrust Record")</f>
        <v/>
      </c>
      <c r="AU444">
        <f>HYPERLINK("https://creighton-primo.hosted.exlibrisgroup.com/primo-explore/search?tab=default_tab&amp;search_scope=EVERYTHING&amp;vid=01CRU&amp;lang=en_US&amp;offset=0&amp;query=any,contains,991001516979702656","Catalog Record")</f>
        <v/>
      </c>
      <c r="AV444">
        <f>HYPERLINK("http://www.worldcat.org/oclc/4468330","WorldCat Record")</f>
        <v/>
      </c>
      <c r="AW444" t="inlineStr">
        <is>
          <t>54261046:eng</t>
        </is>
      </c>
      <c r="AX444" t="inlineStr">
        <is>
          <t>4468330</t>
        </is>
      </c>
      <c r="AY444" t="inlineStr">
        <is>
          <t>991001516979702656</t>
        </is>
      </c>
      <c r="AZ444" t="inlineStr">
        <is>
          <t>991001516979702656</t>
        </is>
      </c>
      <c r="BA444" t="inlineStr">
        <is>
          <t>2255647710002656</t>
        </is>
      </c>
      <c r="BB444" t="inlineStr">
        <is>
          <t>BOOK</t>
        </is>
      </c>
      <c r="BE444" t="inlineStr">
        <is>
          <t>30001000600082</t>
        </is>
      </c>
      <c r="BF444" t="inlineStr">
        <is>
          <t>893816489</t>
        </is>
      </c>
    </row>
    <row r="445">
      <c r="A445" t="inlineStr">
        <is>
          <t>No</t>
        </is>
      </c>
      <c r="B445" t="inlineStr">
        <is>
          <t>CUHSL</t>
        </is>
      </c>
      <c r="C445" t="inlineStr">
        <is>
          <t>SHELVES</t>
        </is>
      </c>
      <c r="D445" t="inlineStr">
        <is>
          <t>WY 18.5 I86 1987</t>
        </is>
      </c>
      <c r="E445" t="inlineStr">
        <is>
          <t>0                      WY 0018500I  86          1987</t>
        </is>
      </c>
      <c r="F445" t="inlineStr">
        <is>
          <t>Issues in graduate nursing education / Sylvia E. Hart, editor.</t>
        </is>
      </c>
      <c r="H445" t="inlineStr">
        <is>
          <t>No</t>
        </is>
      </c>
      <c r="I445" t="inlineStr">
        <is>
          <t>1</t>
        </is>
      </c>
      <c r="J445" t="inlineStr">
        <is>
          <t>No</t>
        </is>
      </c>
      <c r="K445" t="inlineStr">
        <is>
          <t>No</t>
        </is>
      </c>
      <c r="L445" t="inlineStr">
        <is>
          <t>0</t>
        </is>
      </c>
      <c r="N445" t="inlineStr">
        <is>
          <t>New York : National League for Nursing, c1987.</t>
        </is>
      </c>
      <c r="O445" t="inlineStr">
        <is>
          <t>1987</t>
        </is>
      </c>
      <c r="Q445" t="inlineStr">
        <is>
          <t>eng</t>
        </is>
      </c>
      <c r="R445" t="inlineStr">
        <is>
          <t>nyu</t>
        </is>
      </c>
      <c r="S445" t="inlineStr">
        <is>
          <t>NLN pub. no. 18-2196</t>
        </is>
      </c>
      <c r="T445" t="inlineStr">
        <is>
          <t xml:space="preserve">WY </t>
        </is>
      </c>
      <c r="U445" t="n">
        <v>12</v>
      </c>
      <c r="V445" t="n">
        <v>12</v>
      </c>
      <c r="W445" t="inlineStr">
        <is>
          <t>1999-07-29</t>
        </is>
      </c>
      <c r="X445" t="inlineStr">
        <is>
          <t>1999-07-29</t>
        </is>
      </c>
      <c r="Y445" t="inlineStr">
        <is>
          <t>1987-12-17</t>
        </is>
      </c>
      <c r="Z445" t="inlineStr">
        <is>
          <t>1987-12-17</t>
        </is>
      </c>
      <c r="AA445" t="n">
        <v>201</v>
      </c>
      <c r="AB445" t="n">
        <v>176</v>
      </c>
      <c r="AC445" t="n">
        <v>178</v>
      </c>
      <c r="AD445" t="n">
        <v>1</v>
      </c>
      <c r="AE445" t="n">
        <v>1</v>
      </c>
      <c r="AF445" t="n">
        <v>7</v>
      </c>
      <c r="AG445" t="n">
        <v>7</v>
      </c>
      <c r="AH445" t="n">
        <v>2</v>
      </c>
      <c r="AI445" t="n">
        <v>2</v>
      </c>
      <c r="AJ445" t="n">
        <v>2</v>
      </c>
      <c r="AK445" t="n">
        <v>2</v>
      </c>
      <c r="AL445" t="n">
        <v>5</v>
      </c>
      <c r="AM445" t="n">
        <v>5</v>
      </c>
      <c r="AN445" t="n">
        <v>0</v>
      </c>
      <c r="AO445" t="n">
        <v>0</v>
      </c>
      <c r="AP445" t="n">
        <v>0</v>
      </c>
      <c r="AQ445" t="n">
        <v>0</v>
      </c>
      <c r="AR445" t="inlineStr">
        <is>
          <t>No</t>
        </is>
      </c>
      <c r="AS445" t="inlineStr">
        <is>
          <t>Yes</t>
        </is>
      </c>
      <c r="AT445">
        <f>HYPERLINK("http://catalog.hathitrust.org/Record/002506709","HathiTrust Record")</f>
        <v/>
      </c>
      <c r="AU445">
        <f>HYPERLINK("https://creighton-primo.hosted.exlibrisgroup.com/primo-explore/search?tab=default_tab&amp;search_scope=EVERYTHING&amp;vid=01CRU&amp;lang=en_US&amp;offset=0&amp;query=any,contains,991001536199702656","Catalog Record")</f>
        <v/>
      </c>
      <c r="AV445">
        <f>HYPERLINK("http://www.worldcat.org/oclc/17205600","WorldCat Record")</f>
        <v/>
      </c>
      <c r="AW445" t="inlineStr">
        <is>
          <t>180907315:eng</t>
        </is>
      </c>
      <c r="AX445" t="inlineStr">
        <is>
          <t>17205600</t>
        </is>
      </c>
      <c r="AY445" t="inlineStr">
        <is>
          <t>991001536199702656</t>
        </is>
      </c>
      <c r="AZ445" t="inlineStr">
        <is>
          <t>991001536199702656</t>
        </is>
      </c>
      <c r="BA445" t="inlineStr">
        <is>
          <t>2261437560002656</t>
        </is>
      </c>
      <c r="BB445" t="inlineStr">
        <is>
          <t>BOOK</t>
        </is>
      </c>
      <c r="BD445" t="inlineStr">
        <is>
          <t>9780887373817</t>
        </is>
      </c>
      <c r="BE445" t="inlineStr">
        <is>
          <t>30001000623050</t>
        </is>
      </c>
      <c r="BF445" t="inlineStr">
        <is>
          <t>893121614</t>
        </is>
      </c>
    </row>
    <row r="446">
      <c r="A446" t="inlineStr">
        <is>
          <t>No</t>
        </is>
      </c>
      <c r="B446" t="inlineStr">
        <is>
          <t>CUHSL</t>
        </is>
      </c>
      <c r="C446" t="inlineStr">
        <is>
          <t>SHELVES</t>
        </is>
      </c>
      <c r="D446" t="inlineStr">
        <is>
          <t>WY 18.5 M2945a 1986</t>
        </is>
      </c>
      <c r="E446" t="inlineStr">
        <is>
          <t>0                      WY 0018500M  2945a       1986</t>
        </is>
      </c>
      <c r="F446" t="inlineStr">
        <is>
          <t>Manual for accreditation as an approver of continuing education in nursing / American Nurses' Association, Board on Accreditation.</t>
        </is>
      </c>
      <c r="H446" t="inlineStr">
        <is>
          <t>No</t>
        </is>
      </c>
      <c r="I446" t="inlineStr">
        <is>
          <t>1</t>
        </is>
      </c>
      <c r="J446" t="inlineStr">
        <is>
          <t>No</t>
        </is>
      </c>
      <c r="K446" t="inlineStr">
        <is>
          <t>No</t>
        </is>
      </c>
      <c r="L446" t="inlineStr">
        <is>
          <t>0</t>
        </is>
      </c>
      <c r="N446" t="inlineStr">
        <is>
          <t>[s.l.] : The Board, 1986.</t>
        </is>
      </c>
      <c r="O446" t="inlineStr">
        <is>
          <t>1986</t>
        </is>
      </c>
      <c r="Q446" t="inlineStr">
        <is>
          <t>eng</t>
        </is>
      </c>
      <c r="R446" t="inlineStr">
        <is>
          <t>xxu</t>
        </is>
      </c>
      <c r="T446" t="inlineStr">
        <is>
          <t xml:space="preserve">WY </t>
        </is>
      </c>
      <c r="U446" t="n">
        <v>4</v>
      </c>
      <c r="V446" t="n">
        <v>4</v>
      </c>
      <c r="W446" t="inlineStr">
        <is>
          <t>1989-02-24</t>
        </is>
      </c>
      <c r="X446" t="inlineStr">
        <is>
          <t>1989-02-24</t>
        </is>
      </c>
      <c r="Y446" t="inlineStr">
        <is>
          <t>1989-02-03</t>
        </is>
      </c>
      <c r="Z446" t="inlineStr">
        <is>
          <t>1989-02-03</t>
        </is>
      </c>
      <c r="AA446" t="n">
        <v>2</v>
      </c>
      <c r="AB446" t="n">
        <v>2</v>
      </c>
      <c r="AC446" t="n">
        <v>2</v>
      </c>
      <c r="AD446" t="n">
        <v>1</v>
      </c>
      <c r="AE446" t="n">
        <v>1</v>
      </c>
      <c r="AF446" t="n">
        <v>0</v>
      </c>
      <c r="AG446" t="n">
        <v>0</v>
      </c>
      <c r="AH446" t="n">
        <v>0</v>
      </c>
      <c r="AI446" t="n">
        <v>0</v>
      </c>
      <c r="AJ446" t="n">
        <v>0</v>
      </c>
      <c r="AK446" t="n">
        <v>0</v>
      </c>
      <c r="AL446" t="n">
        <v>0</v>
      </c>
      <c r="AM446" t="n">
        <v>0</v>
      </c>
      <c r="AN446" t="n">
        <v>0</v>
      </c>
      <c r="AO446" t="n">
        <v>0</v>
      </c>
      <c r="AP446" t="n">
        <v>0</v>
      </c>
      <c r="AQ446" t="n">
        <v>0</v>
      </c>
      <c r="AR446" t="inlineStr">
        <is>
          <t>No</t>
        </is>
      </c>
      <c r="AS446" t="inlineStr">
        <is>
          <t>No</t>
        </is>
      </c>
      <c r="AU446">
        <f>HYPERLINK("https://creighton-primo.hosted.exlibrisgroup.com/primo-explore/search?tab=default_tab&amp;search_scope=EVERYTHING&amp;vid=01CRU&amp;lang=en_US&amp;offset=0&amp;query=any,contains,991001116629702656","Catalog Record")</f>
        <v/>
      </c>
      <c r="AV446">
        <f>HYPERLINK("http://www.worldcat.org/oclc/21155778","WorldCat Record")</f>
        <v/>
      </c>
      <c r="AW446" t="inlineStr">
        <is>
          <t>25519240:eng</t>
        </is>
      </c>
      <c r="AX446" t="inlineStr">
        <is>
          <t>21155778</t>
        </is>
      </c>
      <c r="AY446" t="inlineStr">
        <is>
          <t>991001116629702656</t>
        </is>
      </c>
      <c r="AZ446" t="inlineStr">
        <is>
          <t>991001116629702656</t>
        </is>
      </c>
      <c r="BA446" t="inlineStr">
        <is>
          <t>2266106900002656</t>
        </is>
      </c>
      <c r="BB446" t="inlineStr">
        <is>
          <t>BOOK</t>
        </is>
      </c>
      <c r="BE446" t="inlineStr">
        <is>
          <t>30001001613449</t>
        </is>
      </c>
      <c r="BF446" t="inlineStr">
        <is>
          <t>893651882</t>
        </is>
      </c>
    </row>
    <row r="447">
      <c r="A447" t="inlineStr">
        <is>
          <t>No</t>
        </is>
      </c>
      <c r="B447" t="inlineStr">
        <is>
          <t>CUHSL</t>
        </is>
      </c>
      <c r="C447" t="inlineStr">
        <is>
          <t>SHELVES</t>
        </is>
      </c>
      <c r="D447" t="inlineStr">
        <is>
          <t>WY 18.5 M2945p 1986</t>
        </is>
      </c>
      <c r="E447" t="inlineStr">
        <is>
          <t>0                      WY 0018500M  2945p       1986</t>
        </is>
      </c>
      <c r="F447" t="inlineStr">
        <is>
          <t>Manual for accreditation as a provider of continuing education in nursing / American Nurses' Association, Board on Accreditation.</t>
        </is>
      </c>
      <c r="H447" t="inlineStr">
        <is>
          <t>No</t>
        </is>
      </c>
      <c r="I447" t="inlineStr">
        <is>
          <t>1</t>
        </is>
      </c>
      <c r="J447" t="inlineStr">
        <is>
          <t>No</t>
        </is>
      </c>
      <c r="K447" t="inlineStr">
        <is>
          <t>No</t>
        </is>
      </c>
      <c r="L447" t="inlineStr">
        <is>
          <t>0</t>
        </is>
      </c>
      <c r="N447" t="inlineStr">
        <is>
          <t>[s.l.] : The Board, 1986.</t>
        </is>
      </c>
      <c r="O447" t="inlineStr">
        <is>
          <t>1986</t>
        </is>
      </c>
      <c r="Q447" t="inlineStr">
        <is>
          <t>eng</t>
        </is>
      </c>
      <c r="R447" t="inlineStr">
        <is>
          <t>xxu</t>
        </is>
      </c>
      <c r="T447" t="inlineStr">
        <is>
          <t xml:space="preserve">WY </t>
        </is>
      </c>
      <c r="U447" t="n">
        <v>5</v>
      </c>
      <c r="V447" t="n">
        <v>5</v>
      </c>
      <c r="W447" t="inlineStr">
        <is>
          <t>1991-11-18</t>
        </is>
      </c>
      <c r="X447" t="inlineStr">
        <is>
          <t>1991-11-18</t>
        </is>
      </c>
      <c r="Y447" t="inlineStr">
        <is>
          <t>1989-02-03</t>
        </is>
      </c>
      <c r="Z447" t="inlineStr">
        <is>
          <t>1989-02-03</t>
        </is>
      </c>
      <c r="AA447" t="n">
        <v>2</v>
      </c>
      <c r="AB447" t="n">
        <v>2</v>
      </c>
      <c r="AC447" t="n">
        <v>2</v>
      </c>
      <c r="AD447" t="n">
        <v>1</v>
      </c>
      <c r="AE447" t="n">
        <v>1</v>
      </c>
      <c r="AF447" t="n">
        <v>0</v>
      </c>
      <c r="AG447" t="n">
        <v>0</v>
      </c>
      <c r="AH447" t="n">
        <v>0</v>
      </c>
      <c r="AI447" t="n">
        <v>0</v>
      </c>
      <c r="AJ447" t="n">
        <v>0</v>
      </c>
      <c r="AK447" t="n">
        <v>0</v>
      </c>
      <c r="AL447" t="n">
        <v>0</v>
      </c>
      <c r="AM447" t="n">
        <v>0</v>
      </c>
      <c r="AN447" t="n">
        <v>0</v>
      </c>
      <c r="AO447" t="n">
        <v>0</v>
      </c>
      <c r="AP447" t="n">
        <v>0</v>
      </c>
      <c r="AQ447" t="n">
        <v>0</v>
      </c>
      <c r="AR447" t="inlineStr">
        <is>
          <t>No</t>
        </is>
      </c>
      <c r="AS447" t="inlineStr">
        <is>
          <t>No</t>
        </is>
      </c>
      <c r="AU447">
        <f>HYPERLINK("https://creighton-primo.hosted.exlibrisgroup.com/primo-explore/search?tab=default_tab&amp;search_scope=EVERYTHING&amp;vid=01CRU&amp;lang=en_US&amp;offset=0&amp;query=any,contains,991001116649702656","Catalog Record")</f>
        <v/>
      </c>
      <c r="AV447">
        <f>HYPERLINK("http://www.worldcat.org/oclc/20760789","WorldCat Record")</f>
        <v/>
      </c>
      <c r="AW447" t="inlineStr">
        <is>
          <t>3856230199:eng</t>
        </is>
      </c>
      <c r="AX447" t="inlineStr">
        <is>
          <t>20760789</t>
        </is>
      </c>
      <c r="AY447" t="inlineStr">
        <is>
          <t>991001116649702656</t>
        </is>
      </c>
      <c r="AZ447" t="inlineStr">
        <is>
          <t>991001116649702656</t>
        </is>
      </c>
      <c r="BA447" t="inlineStr">
        <is>
          <t>2260333980002656</t>
        </is>
      </c>
      <c r="BB447" t="inlineStr">
        <is>
          <t>BOOK</t>
        </is>
      </c>
      <c r="BE447" t="inlineStr">
        <is>
          <t>30001001613464</t>
        </is>
      </c>
      <c r="BF447" t="inlineStr">
        <is>
          <t>893273714</t>
        </is>
      </c>
    </row>
    <row r="448">
      <c r="A448" t="inlineStr">
        <is>
          <t>No</t>
        </is>
      </c>
      <c r="B448" t="inlineStr">
        <is>
          <t>CUHSL</t>
        </is>
      </c>
      <c r="C448" t="inlineStr">
        <is>
          <t>SHELVES</t>
        </is>
      </c>
      <c r="D448" t="inlineStr">
        <is>
          <t>WY 18.5 M423c 1964</t>
        </is>
      </c>
      <c r="E448" t="inlineStr">
        <is>
          <t>0                      WY 0018500M  423c        1964</t>
        </is>
      </c>
      <c r="F448" t="inlineStr">
        <is>
          <t>Masters education in nursing : report of a study conducted in spring, 1963 / by Jean Campbell.</t>
        </is>
      </c>
      <c r="H448" t="inlineStr">
        <is>
          <t>No</t>
        </is>
      </c>
      <c r="I448" t="inlineStr">
        <is>
          <t>1</t>
        </is>
      </c>
      <c r="J448" t="inlineStr">
        <is>
          <t>No</t>
        </is>
      </c>
      <c r="K448" t="inlineStr">
        <is>
          <t>No</t>
        </is>
      </c>
      <c r="L448" t="inlineStr">
        <is>
          <t>0</t>
        </is>
      </c>
      <c r="N448" t="inlineStr">
        <is>
          <t>New York : National League for Nursing, 1964.</t>
        </is>
      </c>
      <c r="O448" t="inlineStr">
        <is>
          <t>1964</t>
        </is>
      </c>
      <c r="Q448" t="inlineStr">
        <is>
          <t>eng</t>
        </is>
      </c>
      <c r="R448" t="inlineStr">
        <is>
          <t xml:space="preserve">xx </t>
        </is>
      </c>
      <c r="S448" t="inlineStr">
        <is>
          <t>NLN pub. no. 15-1157</t>
        </is>
      </c>
      <c r="T448" t="inlineStr">
        <is>
          <t xml:space="preserve">WY </t>
        </is>
      </c>
      <c r="U448" t="n">
        <v>2</v>
      </c>
      <c r="V448" t="n">
        <v>2</v>
      </c>
      <c r="W448" t="inlineStr">
        <is>
          <t>1990-04-24</t>
        </is>
      </c>
      <c r="X448" t="inlineStr">
        <is>
          <t>1990-04-24</t>
        </is>
      </c>
      <c r="Y448" t="inlineStr">
        <is>
          <t>1987-10-20</t>
        </is>
      </c>
      <c r="Z448" t="inlineStr">
        <is>
          <t>1987-10-20</t>
        </is>
      </c>
      <c r="AA448" t="n">
        <v>59</v>
      </c>
      <c r="AB448" t="n">
        <v>52</v>
      </c>
      <c r="AC448" t="n">
        <v>54</v>
      </c>
      <c r="AD448" t="n">
        <v>1</v>
      </c>
      <c r="AE448" t="n">
        <v>1</v>
      </c>
      <c r="AF448" t="n">
        <v>2</v>
      </c>
      <c r="AG448" t="n">
        <v>2</v>
      </c>
      <c r="AH448" t="n">
        <v>0</v>
      </c>
      <c r="AI448" t="n">
        <v>0</v>
      </c>
      <c r="AJ448" t="n">
        <v>0</v>
      </c>
      <c r="AK448" t="n">
        <v>0</v>
      </c>
      <c r="AL448" t="n">
        <v>2</v>
      </c>
      <c r="AM448" t="n">
        <v>2</v>
      </c>
      <c r="AN448" t="n">
        <v>0</v>
      </c>
      <c r="AO448" t="n">
        <v>0</v>
      </c>
      <c r="AP448" t="n">
        <v>0</v>
      </c>
      <c r="AQ448" t="n">
        <v>0</v>
      </c>
      <c r="AR448" t="inlineStr">
        <is>
          <t>No</t>
        </is>
      </c>
      <c r="AS448" t="inlineStr">
        <is>
          <t>Yes</t>
        </is>
      </c>
      <c r="AT448">
        <f>HYPERLINK("http://catalog.hathitrust.org/Record/001574540","HathiTrust Record")</f>
        <v/>
      </c>
      <c r="AU448">
        <f>HYPERLINK("https://creighton-primo.hosted.exlibrisgroup.com/primo-explore/search?tab=default_tab&amp;search_scope=EVERYTHING&amp;vid=01CRU&amp;lang=en_US&amp;offset=0&amp;query=any,contains,991001365039702656","Catalog Record")</f>
        <v/>
      </c>
      <c r="AV448">
        <f>HYPERLINK("http://www.worldcat.org/oclc/14535008","WorldCat Record")</f>
        <v/>
      </c>
      <c r="AW448" t="inlineStr">
        <is>
          <t>8926930:eng</t>
        </is>
      </c>
      <c r="AX448" t="inlineStr">
        <is>
          <t>14535008</t>
        </is>
      </c>
      <c r="AY448" t="inlineStr">
        <is>
          <t>991001365039702656</t>
        </is>
      </c>
      <c r="AZ448" t="inlineStr">
        <is>
          <t>991001365039702656</t>
        </is>
      </c>
      <c r="BA448" t="inlineStr">
        <is>
          <t>2262240910002656</t>
        </is>
      </c>
      <c r="BB448" t="inlineStr">
        <is>
          <t>BOOK</t>
        </is>
      </c>
      <c r="BE448" t="inlineStr">
        <is>
          <t>30001000461212</t>
        </is>
      </c>
      <c r="BF448" t="inlineStr">
        <is>
          <t>893268404</t>
        </is>
      </c>
    </row>
    <row r="449">
      <c r="A449" t="inlineStr">
        <is>
          <t>No</t>
        </is>
      </c>
      <c r="B449" t="inlineStr">
        <is>
          <t>CUHSL</t>
        </is>
      </c>
      <c r="C449" t="inlineStr">
        <is>
          <t>SHELVES</t>
        </is>
      </c>
      <c r="D449" t="inlineStr">
        <is>
          <t>WY 18.5 N277c 1987</t>
        </is>
      </c>
      <c r="E449" t="inlineStr">
        <is>
          <t>0                      WY 0018500N  277c        1987</t>
        </is>
      </c>
      <c r="F449" t="inlineStr">
        <is>
          <t>Characteristics of Master's education in nursing / Council of Baccalaureate and Higher Degree Programs, National League for Nursing.</t>
        </is>
      </c>
      <c r="H449" t="inlineStr">
        <is>
          <t>No</t>
        </is>
      </c>
      <c r="I449" t="inlineStr">
        <is>
          <t>1</t>
        </is>
      </c>
      <c r="J449" t="inlineStr">
        <is>
          <t>No</t>
        </is>
      </c>
      <c r="K449" t="inlineStr">
        <is>
          <t>No</t>
        </is>
      </c>
      <c r="L449" t="inlineStr">
        <is>
          <t>0</t>
        </is>
      </c>
      <c r="M449" t="inlineStr">
        <is>
          <t>National League for Nursing. Council of Baccalaureate and Higher Degree Programs.</t>
        </is>
      </c>
      <c r="N449" t="inlineStr">
        <is>
          <t>New York : Council of Baccalaureate and Higher Degree Programs, National League for Nursing, c1987.</t>
        </is>
      </c>
      <c r="O449" t="inlineStr">
        <is>
          <t>1987</t>
        </is>
      </c>
      <c r="Q449" t="inlineStr">
        <is>
          <t>eng</t>
        </is>
      </c>
      <c r="R449" t="inlineStr">
        <is>
          <t>nyu</t>
        </is>
      </c>
      <c r="S449" t="inlineStr">
        <is>
          <t>NLN pub. no. 15-1759</t>
        </is>
      </c>
      <c r="T449" t="inlineStr">
        <is>
          <t xml:space="preserve">WY </t>
        </is>
      </c>
      <c r="U449" t="n">
        <v>2</v>
      </c>
      <c r="V449" t="n">
        <v>2</v>
      </c>
      <c r="W449" t="inlineStr">
        <is>
          <t>1992-08-25</t>
        </is>
      </c>
      <c r="X449" t="inlineStr">
        <is>
          <t>1992-08-25</t>
        </is>
      </c>
      <c r="Y449" t="inlineStr">
        <is>
          <t>1987-10-12</t>
        </is>
      </c>
      <c r="Z449" t="inlineStr">
        <is>
          <t>1987-10-12</t>
        </is>
      </c>
      <c r="AA449" t="n">
        <v>94</v>
      </c>
      <c r="AB449" t="n">
        <v>86</v>
      </c>
      <c r="AC449" t="n">
        <v>88</v>
      </c>
      <c r="AD449" t="n">
        <v>1</v>
      </c>
      <c r="AE449" t="n">
        <v>1</v>
      </c>
      <c r="AF449" t="n">
        <v>4</v>
      </c>
      <c r="AG449" t="n">
        <v>4</v>
      </c>
      <c r="AH449" t="n">
        <v>0</v>
      </c>
      <c r="AI449" t="n">
        <v>0</v>
      </c>
      <c r="AJ449" t="n">
        <v>0</v>
      </c>
      <c r="AK449" t="n">
        <v>0</v>
      </c>
      <c r="AL449" t="n">
        <v>4</v>
      </c>
      <c r="AM449" t="n">
        <v>4</v>
      </c>
      <c r="AN449" t="n">
        <v>0</v>
      </c>
      <c r="AO449" t="n">
        <v>0</v>
      </c>
      <c r="AP449" t="n">
        <v>0</v>
      </c>
      <c r="AQ449" t="n">
        <v>0</v>
      </c>
      <c r="AR449" t="inlineStr">
        <is>
          <t>No</t>
        </is>
      </c>
      <c r="AS449" t="inlineStr">
        <is>
          <t>Yes</t>
        </is>
      </c>
      <c r="AT449">
        <f>HYPERLINK("http://catalog.hathitrust.org/Record/002508301","HathiTrust Record")</f>
        <v/>
      </c>
      <c r="AU449">
        <f>HYPERLINK("https://creighton-primo.hosted.exlibrisgroup.com/primo-explore/search?tab=default_tab&amp;search_scope=EVERYTHING&amp;vid=01CRU&amp;lang=en_US&amp;offset=0&amp;query=any,contains,991001529729702656","Catalog Record")</f>
        <v/>
      </c>
      <c r="AV449">
        <f>HYPERLINK("http://www.worldcat.org/oclc/16857733","WorldCat Record")</f>
        <v/>
      </c>
      <c r="AW449" t="inlineStr">
        <is>
          <t>3855728830:eng</t>
        </is>
      </c>
      <c r="AX449" t="inlineStr">
        <is>
          <t>16857733</t>
        </is>
      </c>
      <c r="AY449" t="inlineStr">
        <is>
          <t>991001529729702656</t>
        </is>
      </c>
      <c r="AZ449" t="inlineStr">
        <is>
          <t>991001529729702656</t>
        </is>
      </c>
      <c r="BA449" t="inlineStr">
        <is>
          <t>2259480240002656</t>
        </is>
      </c>
      <c r="BB449" t="inlineStr">
        <is>
          <t>BOOK</t>
        </is>
      </c>
      <c r="BD449" t="inlineStr">
        <is>
          <t>9780887373916</t>
        </is>
      </c>
      <c r="BE449" t="inlineStr">
        <is>
          <t>30001000621120</t>
        </is>
      </c>
      <c r="BF449" t="inlineStr">
        <is>
          <t>893633169</t>
        </is>
      </c>
    </row>
    <row r="450">
      <c r="A450" t="inlineStr">
        <is>
          <t>No</t>
        </is>
      </c>
      <c r="B450" t="inlineStr">
        <is>
          <t>CUHSL</t>
        </is>
      </c>
      <c r="C450" t="inlineStr">
        <is>
          <t>SHELVES</t>
        </is>
      </c>
      <c r="D450" t="inlineStr">
        <is>
          <t>WY 18.5 N277g 1988-89</t>
        </is>
      </c>
      <c r="E450" t="inlineStr">
        <is>
          <t>0                      WY 0018500N  277g        1988                                        -89</t>
        </is>
      </c>
      <c r="F450" t="inlineStr">
        <is>
          <t>Graduate education in nursing-- route to opportunities in contemporary nursing, 1988-89.</t>
        </is>
      </c>
      <c r="H450" t="inlineStr">
        <is>
          <t>No</t>
        </is>
      </c>
      <c r="I450" t="inlineStr">
        <is>
          <t>2</t>
        </is>
      </c>
      <c r="J450" t="inlineStr">
        <is>
          <t>Yes</t>
        </is>
      </c>
      <c r="K450" t="inlineStr">
        <is>
          <t>No</t>
        </is>
      </c>
      <c r="L450" t="inlineStr">
        <is>
          <t>0</t>
        </is>
      </c>
      <c r="M450" t="inlineStr">
        <is>
          <t>National League for Nursing. Department of Baccalaureate and Higher Degree Programs.</t>
        </is>
      </c>
      <c r="N450" t="inlineStr">
        <is>
          <t>New York : National League for Nursing, Dept. of Baccalaureate and Higher Programs, c1988.</t>
        </is>
      </c>
      <c r="O450" t="inlineStr">
        <is>
          <t>1988</t>
        </is>
      </c>
      <c r="Q450" t="inlineStr">
        <is>
          <t>eng</t>
        </is>
      </c>
      <c r="R450" t="inlineStr">
        <is>
          <t>nyu</t>
        </is>
      </c>
      <c r="S450" t="inlineStr">
        <is>
          <t>NLM Pub. No. 15-2221</t>
        </is>
      </c>
      <c r="T450" t="inlineStr">
        <is>
          <t xml:space="preserve">WY </t>
        </is>
      </c>
      <c r="U450" t="n">
        <v>0</v>
      </c>
      <c r="V450" t="n">
        <v>4</v>
      </c>
      <c r="X450" t="inlineStr">
        <is>
          <t>1992-08-25</t>
        </is>
      </c>
      <c r="Y450" t="inlineStr">
        <is>
          <t>2002-11-21</t>
        </is>
      </c>
      <c r="Z450" t="inlineStr">
        <is>
          <t>2002-11-21</t>
        </is>
      </c>
      <c r="AA450" t="n">
        <v>39</v>
      </c>
      <c r="AB450" t="n">
        <v>36</v>
      </c>
      <c r="AC450" t="n">
        <v>36</v>
      </c>
      <c r="AD450" t="n">
        <v>1</v>
      </c>
      <c r="AE450" t="n">
        <v>1</v>
      </c>
      <c r="AF450" t="n">
        <v>3</v>
      </c>
      <c r="AG450" t="n">
        <v>3</v>
      </c>
      <c r="AH450" t="n">
        <v>1</v>
      </c>
      <c r="AI450" t="n">
        <v>1</v>
      </c>
      <c r="AJ450" t="n">
        <v>1</v>
      </c>
      <c r="AK450" t="n">
        <v>1</v>
      </c>
      <c r="AL450" t="n">
        <v>1</v>
      </c>
      <c r="AM450" t="n">
        <v>1</v>
      </c>
      <c r="AN450" t="n">
        <v>0</v>
      </c>
      <c r="AO450" t="n">
        <v>0</v>
      </c>
      <c r="AP450" t="n">
        <v>0</v>
      </c>
      <c r="AQ450" t="n">
        <v>0</v>
      </c>
      <c r="AR450" t="inlineStr">
        <is>
          <t>No</t>
        </is>
      </c>
      <c r="AS450" t="inlineStr">
        <is>
          <t>No</t>
        </is>
      </c>
      <c r="AU450">
        <f>HYPERLINK("https://creighton-primo.hosted.exlibrisgroup.com/primo-explore/search?tab=default_tab&amp;search_scope=EVERYTHING&amp;vid=01CRU&amp;lang=en_US&amp;offset=0&amp;query=any,contains,991001104189702656","Catalog Record")</f>
        <v/>
      </c>
      <c r="AV450">
        <f>HYPERLINK("http://www.worldcat.org/oclc/18765898","WorldCat Record")</f>
        <v/>
      </c>
      <c r="AW450" t="inlineStr">
        <is>
          <t>18471127:eng</t>
        </is>
      </c>
      <c r="AX450" t="inlineStr">
        <is>
          <t>18765898</t>
        </is>
      </c>
      <c r="AY450" t="inlineStr">
        <is>
          <t>991001104189702656</t>
        </is>
      </c>
      <c r="AZ450" t="inlineStr">
        <is>
          <t>991001104189702656</t>
        </is>
      </c>
      <c r="BA450" t="inlineStr">
        <is>
          <t>2254956990002656</t>
        </is>
      </c>
      <c r="BB450" t="inlineStr">
        <is>
          <t>BOOK</t>
        </is>
      </c>
      <c r="BD450" t="inlineStr">
        <is>
          <t>9780887374012</t>
        </is>
      </c>
      <c r="BE450" t="inlineStr">
        <is>
          <t>30001001880931</t>
        </is>
      </c>
      <c r="BF450" t="inlineStr">
        <is>
          <t>893161681</t>
        </is>
      </c>
    </row>
    <row r="451">
      <c r="A451" t="inlineStr">
        <is>
          <t>No</t>
        </is>
      </c>
      <c r="B451" t="inlineStr">
        <is>
          <t>CUHSL</t>
        </is>
      </c>
      <c r="C451" t="inlineStr">
        <is>
          <t>SHELVES</t>
        </is>
      </c>
      <c r="D451" t="inlineStr">
        <is>
          <t>WY 18.5 N277g 1988-89</t>
        </is>
      </c>
      <c r="E451" t="inlineStr">
        <is>
          <t>0                      WY 0018500N  277g        1988                                        -89</t>
        </is>
      </c>
      <c r="F451" t="inlineStr">
        <is>
          <t>Graduate education in nursing-- route to opportunities in contemporary nursing, 1988-89.</t>
        </is>
      </c>
      <c r="H451" t="inlineStr">
        <is>
          <t>No</t>
        </is>
      </c>
      <c r="I451" t="inlineStr">
        <is>
          <t>1</t>
        </is>
      </c>
      <c r="J451" t="inlineStr">
        <is>
          <t>Yes</t>
        </is>
      </c>
      <c r="K451" t="inlineStr">
        <is>
          <t>No</t>
        </is>
      </c>
      <c r="L451" t="inlineStr">
        <is>
          <t>0</t>
        </is>
      </c>
      <c r="M451" t="inlineStr">
        <is>
          <t>National League for Nursing. Department of Baccalaureate and Higher Degree Programs.</t>
        </is>
      </c>
      <c r="N451" t="inlineStr">
        <is>
          <t>New York : National League for Nursing, Dept. of Baccalaureate and Higher Programs, c1988.</t>
        </is>
      </c>
      <c r="O451" t="inlineStr">
        <is>
          <t>1988</t>
        </is>
      </c>
      <c r="Q451" t="inlineStr">
        <is>
          <t>eng</t>
        </is>
      </c>
      <c r="R451" t="inlineStr">
        <is>
          <t>nyu</t>
        </is>
      </c>
      <c r="S451" t="inlineStr">
        <is>
          <t>NLM Pub. No. 15-2221</t>
        </is>
      </c>
      <c r="T451" t="inlineStr">
        <is>
          <t xml:space="preserve">WY </t>
        </is>
      </c>
      <c r="U451" t="n">
        <v>4</v>
      </c>
      <c r="V451" t="n">
        <v>4</v>
      </c>
      <c r="W451" t="inlineStr">
        <is>
          <t>1992-08-25</t>
        </is>
      </c>
      <c r="X451" t="inlineStr">
        <is>
          <t>1992-08-25</t>
        </is>
      </c>
      <c r="Y451" t="inlineStr">
        <is>
          <t>1988-11-21</t>
        </is>
      </c>
      <c r="Z451" t="inlineStr">
        <is>
          <t>2002-11-21</t>
        </is>
      </c>
      <c r="AA451" t="n">
        <v>39</v>
      </c>
      <c r="AB451" t="n">
        <v>36</v>
      </c>
      <c r="AC451" t="n">
        <v>36</v>
      </c>
      <c r="AD451" t="n">
        <v>1</v>
      </c>
      <c r="AE451" t="n">
        <v>1</v>
      </c>
      <c r="AF451" t="n">
        <v>3</v>
      </c>
      <c r="AG451" t="n">
        <v>3</v>
      </c>
      <c r="AH451" t="n">
        <v>1</v>
      </c>
      <c r="AI451" t="n">
        <v>1</v>
      </c>
      <c r="AJ451" t="n">
        <v>1</v>
      </c>
      <c r="AK451" t="n">
        <v>1</v>
      </c>
      <c r="AL451" t="n">
        <v>1</v>
      </c>
      <c r="AM451" t="n">
        <v>1</v>
      </c>
      <c r="AN451" t="n">
        <v>0</v>
      </c>
      <c r="AO451" t="n">
        <v>0</v>
      </c>
      <c r="AP451" t="n">
        <v>0</v>
      </c>
      <c r="AQ451" t="n">
        <v>0</v>
      </c>
      <c r="AR451" t="inlineStr">
        <is>
          <t>No</t>
        </is>
      </c>
      <c r="AS451" t="inlineStr">
        <is>
          <t>No</t>
        </is>
      </c>
      <c r="AU451">
        <f>HYPERLINK("https://creighton-primo.hosted.exlibrisgroup.com/primo-explore/search?tab=default_tab&amp;search_scope=EVERYTHING&amp;vid=01CRU&amp;lang=en_US&amp;offset=0&amp;query=any,contains,991001104189702656","Catalog Record")</f>
        <v/>
      </c>
      <c r="AV451">
        <f>HYPERLINK("http://www.worldcat.org/oclc/18765898","WorldCat Record")</f>
        <v/>
      </c>
      <c r="AW451" t="inlineStr">
        <is>
          <t>18471127:eng</t>
        </is>
      </c>
      <c r="AX451" t="inlineStr">
        <is>
          <t>18765898</t>
        </is>
      </c>
      <c r="AY451" t="inlineStr">
        <is>
          <t>991001104189702656</t>
        </is>
      </c>
      <c r="AZ451" t="inlineStr">
        <is>
          <t>991001104189702656</t>
        </is>
      </c>
      <c r="BA451" t="inlineStr">
        <is>
          <t>2254956990002656</t>
        </is>
      </c>
      <c r="BB451" t="inlineStr">
        <is>
          <t>BOOK</t>
        </is>
      </c>
      <c r="BD451" t="inlineStr">
        <is>
          <t>9780887374012</t>
        </is>
      </c>
      <c r="BE451" t="inlineStr">
        <is>
          <t>30001001610387</t>
        </is>
      </c>
      <c r="BF451" t="inlineStr">
        <is>
          <t>893161682</t>
        </is>
      </c>
    </row>
    <row r="452">
      <c r="A452" t="inlineStr">
        <is>
          <t>No</t>
        </is>
      </c>
      <c r="B452" t="inlineStr">
        <is>
          <t>CUHSL</t>
        </is>
      </c>
      <c r="C452" t="inlineStr">
        <is>
          <t>SHELVES</t>
        </is>
      </c>
      <c r="D452" t="inlineStr">
        <is>
          <t>WY 18.5 N9735 1992</t>
        </is>
      </c>
      <c r="E452" t="inlineStr">
        <is>
          <t>0                      WY 0018500N  9735        1992</t>
        </is>
      </c>
      <c r="F452" t="inlineStr">
        <is>
          <t>Nursing staff development : current competence, future focus / Karen J. Kelly.</t>
        </is>
      </c>
      <c r="H452" t="inlineStr">
        <is>
          <t>No</t>
        </is>
      </c>
      <c r="I452" t="inlineStr">
        <is>
          <t>1</t>
        </is>
      </c>
      <c r="J452" t="inlineStr">
        <is>
          <t>No</t>
        </is>
      </c>
      <c r="K452" t="inlineStr">
        <is>
          <t>No</t>
        </is>
      </c>
      <c r="L452" t="inlineStr">
        <is>
          <t>0</t>
        </is>
      </c>
      <c r="M452" t="inlineStr">
        <is>
          <t>Kelly-Thomas, Karen J.</t>
        </is>
      </c>
      <c r="N452" t="inlineStr">
        <is>
          <t>Philadelphia : Lippincott, c1992.</t>
        </is>
      </c>
      <c r="O452" t="inlineStr">
        <is>
          <t>1992</t>
        </is>
      </c>
      <c r="Q452" t="inlineStr">
        <is>
          <t>eng</t>
        </is>
      </c>
      <c r="R452" t="inlineStr">
        <is>
          <t>pau</t>
        </is>
      </c>
      <c r="T452" t="inlineStr">
        <is>
          <t xml:space="preserve">WY </t>
        </is>
      </c>
      <c r="U452" t="n">
        <v>2</v>
      </c>
      <c r="V452" t="n">
        <v>2</v>
      </c>
      <c r="W452" t="inlineStr">
        <is>
          <t>1992-06-12</t>
        </is>
      </c>
      <c r="X452" t="inlineStr">
        <is>
          <t>1992-06-12</t>
        </is>
      </c>
      <c r="Y452" t="inlineStr">
        <is>
          <t>1992-06-12</t>
        </is>
      </c>
      <c r="Z452" t="inlineStr">
        <is>
          <t>1992-06-12</t>
        </is>
      </c>
      <c r="AA452" t="n">
        <v>226</v>
      </c>
      <c r="AB452" t="n">
        <v>177</v>
      </c>
      <c r="AC452" t="n">
        <v>184</v>
      </c>
      <c r="AD452" t="n">
        <v>3</v>
      </c>
      <c r="AE452" t="n">
        <v>3</v>
      </c>
      <c r="AF452" t="n">
        <v>6</v>
      </c>
      <c r="AG452" t="n">
        <v>6</v>
      </c>
      <c r="AH452" t="n">
        <v>3</v>
      </c>
      <c r="AI452" t="n">
        <v>3</v>
      </c>
      <c r="AJ452" t="n">
        <v>1</v>
      </c>
      <c r="AK452" t="n">
        <v>1</v>
      </c>
      <c r="AL452" t="n">
        <v>4</v>
      </c>
      <c r="AM452" t="n">
        <v>4</v>
      </c>
      <c r="AN452" t="n">
        <v>1</v>
      </c>
      <c r="AO452" t="n">
        <v>1</v>
      </c>
      <c r="AP452" t="n">
        <v>0</v>
      </c>
      <c r="AQ452" t="n">
        <v>0</v>
      </c>
      <c r="AR452" t="inlineStr">
        <is>
          <t>No</t>
        </is>
      </c>
      <c r="AS452" t="inlineStr">
        <is>
          <t>Yes</t>
        </is>
      </c>
      <c r="AT452">
        <f>HYPERLINK("http://catalog.hathitrust.org/Record/002530729","HathiTrust Record")</f>
        <v/>
      </c>
      <c r="AU452">
        <f>HYPERLINK("https://creighton-primo.hosted.exlibrisgroup.com/primo-explore/search?tab=default_tab&amp;search_scope=EVERYTHING&amp;vid=01CRU&amp;lang=en_US&amp;offset=0&amp;query=any,contains,991001307679702656","Catalog Record")</f>
        <v/>
      </c>
      <c r="AV452">
        <f>HYPERLINK("http://www.worldcat.org/oclc/25283262","WorldCat Record")</f>
        <v/>
      </c>
      <c r="AW452" t="inlineStr">
        <is>
          <t>427535599:eng</t>
        </is>
      </c>
      <c r="AX452" t="inlineStr">
        <is>
          <t>25283262</t>
        </is>
      </c>
      <c r="AY452" t="inlineStr">
        <is>
          <t>991001307679702656</t>
        </is>
      </c>
      <c r="AZ452" t="inlineStr">
        <is>
          <t>991001307679702656</t>
        </is>
      </c>
      <c r="BA452" t="inlineStr">
        <is>
          <t>2272470540002656</t>
        </is>
      </c>
      <c r="BB452" t="inlineStr">
        <is>
          <t>BOOK</t>
        </is>
      </c>
      <c r="BD452" t="inlineStr">
        <is>
          <t>9780397548101</t>
        </is>
      </c>
      <c r="BE452" t="inlineStr">
        <is>
          <t>30001002414441</t>
        </is>
      </c>
      <c r="BF452" t="inlineStr">
        <is>
          <t>893467900</t>
        </is>
      </c>
    </row>
    <row r="453">
      <c r="A453" t="inlineStr">
        <is>
          <t>No</t>
        </is>
      </c>
      <c r="B453" t="inlineStr">
        <is>
          <t>CUHSL</t>
        </is>
      </c>
      <c r="C453" t="inlineStr">
        <is>
          <t>SHELVES</t>
        </is>
      </c>
      <c r="D453" t="inlineStr">
        <is>
          <t>WY 18.5 P978c 1981</t>
        </is>
      </c>
      <c r="E453" t="inlineStr">
        <is>
          <t>0                      WY 0018500P  978c        1981</t>
        </is>
      </c>
      <c r="F453" t="inlineStr">
        <is>
          <t>Continuing education for nurses : a complete guide to effective programs / Belinda E. Puetz, Faye L. Peters.</t>
        </is>
      </c>
      <c r="H453" t="inlineStr">
        <is>
          <t>No</t>
        </is>
      </c>
      <c r="I453" t="inlineStr">
        <is>
          <t>1</t>
        </is>
      </c>
      <c r="J453" t="inlineStr">
        <is>
          <t>No</t>
        </is>
      </c>
      <c r="K453" t="inlineStr">
        <is>
          <t>No</t>
        </is>
      </c>
      <c r="L453" t="inlineStr">
        <is>
          <t>0</t>
        </is>
      </c>
      <c r="M453" t="inlineStr">
        <is>
          <t>Puetz, Belinda E.</t>
        </is>
      </c>
      <c r="N453" t="inlineStr">
        <is>
          <t>Rockville, Md. : Aspen Systems Corp., c1981.</t>
        </is>
      </c>
      <c r="O453" t="inlineStr">
        <is>
          <t>1981</t>
        </is>
      </c>
      <c r="Q453" t="inlineStr">
        <is>
          <t>eng</t>
        </is>
      </c>
      <c r="R453" t="inlineStr">
        <is>
          <t>mdu</t>
        </is>
      </c>
      <c r="T453" t="inlineStr">
        <is>
          <t xml:space="preserve">WY </t>
        </is>
      </c>
      <c r="U453" t="n">
        <v>4</v>
      </c>
      <c r="V453" t="n">
        <v>4</v>
      </c>
      <c r="W453" t="inlineStr">
        <is>
          <t>1994-10-12</t>
        </is>
      </c>
      <c r="X453" t="inlineStr">
        <is>
          <t>1994-10-12</t>
        </is>
      </c>
      <c r="Y453" t="inlineStr">
        <is>
          <t>1987-12-28</t>
        </is>
      </c>
      <c r="Z453" t="inlineStr">
        <is>
          <t>1987-12-28</t>
        </is>
      </c>
      <c r="AA453" t="n">
        <v>240</v>
      </c>
      <c r="AB453" t="n">
        <v>218</v>
      </c>
      <c r="AC453" t="n">
        <v>225</v>
      </c>
      <c r="AD453" t="n">
        <v>1</v>
      </c>
      <c r="AE453" t="n">
        <v>1</v>
      </c>
      <c r="AF453" t="n">
        <v>6</v>
      </c>
      <c r="AG453" t="n">
        <v>6</v>
      </c>
      <c r="AH453" t="n">
        <v>1</v>
      </c>
      <c r="AI453" t="n">
        <v>1</v>
      </c>
      <c r="AJ453" t="n">
        <v>2</v>
      </c>
      <c r="AK453" t="n">
        <v>2</v>
      </c>
      <c r="AL453" t="n">
        <v>4</v>
      </c>
      <c r="AM453" t="n">
        <v>4</v>
      </c>
      <c r="AN453" t="n">
        <v>0</v>
      </c>
      <c r="AO453" t="n">
        <v>0</v>
      </c>
      <c r="AP453" t="n">
        <v>0</v>
      </c>
      <c r="AQ453" t="n">
        <v>0</v>
      </c>
      <c r="AR453" t="inlineStr">
        <is>
          <t>No</t>
        </is>
      </c>
      <c r="AS453" t="inlineStr">
        <is>
          <t>Yes</t>
        </is>
      </c>
      <c r="AT453">
        <f>HYPERLINK("http://catalog.hathitrust.org/Record/000108377","HathiTrust Record")</f>
        <v/>
      </c>
      <c r="AU453">
        <f>HYPERLINK("https://creighton-primo.hosted.exlibrisgroup.com/primo-explore/search?tab=default_tab&amp;search_scope=EVERYTHING&amp;vid=01CRU&amp;lang=en_US&amp;offset=0&amp;query=any,contains,991001042289702656","Catalog Record")</f>
        <v/>
      </c>
      <c r="AV453">
        <f>HYPERLINK("http://www.worldcat.org/oclc/7329304","WorldCat Record")</f>
        <v/>
      </c>
      <c r="AW453" t="inlineStr">
        <is>
          <t>42840721:eng</t>
        </is>
      </c>
      <c r="AX453" t="inlineStr">
        <is>
          <t>7329304</t>
        </is>
      </c>
      <c r="AY453" t="inlineStr">
        <is>
          <t>991001042289702656</t>
        </is>
      </c>
      <c r="AZ453" t="inlineStr">
        <is>
          <t>991001042289702656</t>
        </is>
      </c>
      <c r="BA453" t="inlineStr">
        <is>
          <t>2271459010002656</t>
        </is>
      </c>
      <c r="BB453" t="inlineStr">
        <is>
          <t>BOOK</t>
        </is>
      </c>
      <c r="BD453" t="inlineStr">
        <is>
          <t>9780894433733</t>
        </is>
      </c>
      <c r="BE453" t="inlineStr">
        <is>
          <t>30001000242745</t>
        </is>
      </c>
      <c r="BF453" t="inlineStr">
        <is>
          <t>893358160</t>
        </is>
      </c>
    </row>
    <row r="454">
      <c r="A454" t="inlineStr">
        <is>
          <t>No</t>
        </is>
      </c>
      <c r="B454" t="inlineStr">
        <is>
          <t>CUHSL</t>
        </is>
      </c>
      <c r="C454" t="inlineStr">
        <is>
          <t>SHELVES</t>
        </is>
      </c>
      <c r="D454" t="inlineStr">
        <is>
          <t>WY 18.5 R425 1952</t>
        </is>
      </c>
      <c r="E454" t="inlineStr">
        <is>
          <t>0                      WY 0018500R  425         1952</t>
        </is>
      </c>
      <c r="F454" t="inlineStr">
        <is>
          <t>Report of Work Conference on Graduate Nurse Education : a conference of schools offering programs leading to a degree for graduate nurses, held under the auspices of the Division of Nursing Education, National League for Nursing, September 8-11, 1952 at the University of Chicago, Chicago, Illinois.</t>
        </is>
      </c>
      <c r="H454" t="inlineStr">
        <is>
          <t>No</t>
        </is>
      </c>
      <c r="I454" t="inlineStr">
        <is>
          <t>1</t>
        </is>
      </c>
      <c r="J454" t="inlineStr">
        <is>
          <t>No</t>
        </is>
      </c>
      <c r="K454" t="inlineStr">
        <is>
          <t>No</t>
        </is>
      </c>
      <c r="L454" t="inlineStr">
        <is>
          <t>0</t>
        </is>
      </c>
      <c r="N454" t="inlineStr">
        <is>
          <t>New York : National League for Nursing, Division of Nursing Education, 1952.</t>
        </is>
      </c>
      <c r="O454" t="inlineStr">
        <is>
          <t>1952</t>
        </is>
      </c>
      <c r="Q454" t="inlineStr">
        <is>
          <t>eng</t>
        </is>
      </c>
      <c r="R454" t="inlineStr">
        <is>
          <t>nyu</t>
        </is>
      </c>
      <c r="T454" t="inlineStr">
        <is>
          <t xml:space="preserve">WY </t>
        </is>
      </c>
      <c r="U454" t="n">
        <v>1</v>
      </c>
      <c r="V454" t="n">
        <v>1</v>
      </c>
      <c r="W454" t="inlineStr">
        <is>
          <t>1990-09-11</t>
        </is>
      </c>
      <c r="X454" t="inlineStr">
        <is>
          <t>1990-09-11</t>
        </is>
      </c>
      <c r="Y454" t="inlineStr">
        <is>
          <t>1987-11-19</t>
        </is>
      </c>
      <c r="Z454" t="inlineStr">
        <is>
          <t>1987-11-19</t>
        </is>
      </c>
      <c r="AA454" t="n">
        <v>26</v>
      </c>
      <c r="AB454" t="n">
        <v>25</v>
      </c>
      <c r="AC454" t="n">
        <v>32</v>
      </c>
      <c r="AD454" t="n">
        <v>1</v>
      </c>
      <c r="AE454" t="n">
        <v>1</v>
      </c>
      <c r="AF454" t="n">
        <v>3</v>
      </c>
      <c r="AG454" t="n">
        <v>3</v>
      </c>
      <c r="AH454" t="n">
        <v>0</v>
      </c>
      <c r="AI454" t="n">
        <v>0</v>
      </c>
      <c r="AJ454" t="n">
        <v>0</v>
      </c>
      <c r="AK454" t="n">
        <v>0</v>
      </c>
      <c r="AL454" t="n">
        <v>3</v>
      </c>
      <c r="AM454" t="n">
        <v>3</v>
      </c>
      <c r="AN454" t="n">
        <v>0</v>
      </c>
      <c r="AO454" t="n">
        <v>0</v>
      </c>
      <c r="AP454" t="n">
        <v>0</v>
      </c>
      <c r="AQ454" t="n">
        <v>0</v>
      </c>
      <c r="AR454" t="inlineStr">
        <is>
          <t>Yes</t>
        </is>
      </c>
      <c r="AS454" t="inlineStr">
        <is>
          <t>No</t>
        </is>
      </c>
      <c r="AT454">
        <f>HYPERLINK("http://catalog.hathitrust.org/Record/002072199","HathiTrust Record")</f>
        <v/>
      </c>
      <c r="AU454">
        <f>HYPERLINK("https://creighton-primo.hosted.exlibrisgroup.com/primo-explore/search?tab=default_tab&amp;search_scope=EVERYTHING&amp;vid=01CRU&amp;lang=en_US&amp;offset=0&amp;query=any,contains,991001518339702656","Catalog Record")</f>
        <v/>
      </c>
      <c r="AV454">
        <f>HYPERLINK("http://www.worldcat.org/oclc/1070424","WorldCat Record")</f>
        <v/>
      </c>
      <c r="AW454" t="inlineStr">
        <is>
          <t>1151029717:eng</t>
        </is>
      </c>
      <c r="AX454" t="inlineStr">
        <is>
          <t>1070424</t>
        </is>
      </c>
      <c r="AY454" t="inlineStr">
        <is>
          <t>991001518339702656</t>
        </is>
      </c>
      <c r="AZ454" t="inlineStr">
        <is>
          <t>991001518339702656</t>
        </is>
      </c>
      <c r="BA454" t="inlineStr">
        <is>
          <t>2255780300002656</t>
        </is>
      </c>
      <c r="BB454" t="inlineStr">
        <is>
          <t>BOOK</t>
        </is>
      </c>
      <c r="BE454" t="inlineStr">
        <is>
          <t>30001000600447</t>
        </is>
      </c>
      <c r="BF454" t="inlineStr">
        <is>
          <t>893643661</t>
        </is>
      </c>
    </row>
    <row r="455">
      <c r="A455" t="inlineStr">
        <is>
          <t>No</t>
        </is>
      </c>
      <c r="B455" t="inlineStr">
        <is>
          <t>CUHSL</t>
        </is>
      </c>
      <c r="C455" t="inlineStr">
        <is>
          <t>SHELVES</t>
        </is>
      </c>
      <c r="D455" t="inlineStr">
        <is>
          <t>WY 18.5 R744 1997</t>
        </is>
      </c>
      <c r="E455" t="inlineStr">
        <is>
          <t>0                      WY 0018500R  744         1997</t>
        </is>
      </c>
      <c r="F455" t="inlineStr">
        <is>
          <t>The role of the preceptor : a guide for nurse educators and clinicians / Jean Pieri Flynn, editor.</t>
        </is>
      </c>
      <c r="H455" t="inlineStr">
        <is>
          <t>No</t>
        </is>
      </c>
      <c r="I455" t="inlineStr">
        <is>
          <t>1</t>
        </is>
      </c>
      <c r="J455" t="inlineStr">
        <is>
          <t>No</t>
        </is>
      </c>
      <c r="K455" t="inlineStr">
        <is>
          <t>No</t>
        </is>
      </c>
      <c r="L455" t="inlineStr">
        <is>
          <t>1</t>
        </is>
      </c>
      <c r="N455" t="inlineStr">
        <is>
          <t>New York : Springer Pub. Co., c1997.</t>
        </is>
      </c>
      <c r="O455" t="inlineStr">
        <is>
          <t>1997</t>
        </is>
      </c>
      <c r="Q455" t="inlineStr">
        <is>
          <t>eng</t>
        </is>
      </c>
      <c r="R455" t="inlineStr">
        <is>
          <t>nyu</t>
        </is>
      </c>
      <c r="T455" t="inlineStr">
        <is>
          <t xml:space="preserve">WY </t>
        </is>
      </c>
      <c r="U455" t="n">
        <v>3</v>
      </c>
      <c r="V455" t="n">
        <v>3</v>
      </c>
      <c r="W455" t="inlineStr">
        <is>
          <t>2008-07-13</t>
        </is>
      </c>
      <c r="X455" t="inlineStr">
        <is>
          <t>2008-07-13</t>
        </is>
      </c>
      <c r="Y455" t="inlineStr">
        <is>
          <t>1999-04-13</t>
        </is>
      </c>
      <c r="Z455" t="inlineStr">
        <is>
          <t>1999-04-13</t>
        </is>
      </c>
      <c r="AA455" t="n">
        <v>374</v>
      </c>
      <c r="AB455" t="n">
        <v>288</v>
      </c>
      <c r="AC455" t="n">
        <v>1426</v>
      </c>
      <c r="AD455" t="n">
        <v>2</v>
      </c>
      <c r="AE455" t="n">
        <v>16</v>
      </c>
      <c r="AF455" t="n">
        <v>12</v>
      </c>
      <c r="AG455" t="n">
        <v>54</v>
      </c>
      <c r="AH455" t="n">
        <v>6</v>
      </c>
      <c r="AI455" t="n">
        <v>18</v>
      </c>
      <c r="AJ455" t="n">
        <v>1</v>
      </c>
      <c r="AK455" t="n">
        <v>11</v>
      </c>
      <c r="AL455" t="n">
        <v>8</v>
      </c>
      <c r="AM455" t="n">
        <v>18</v>
      </c>
      <c r="AN455" t="n">
        <v>1</v>
      </c>
      <c r="AO455" t="n">
        <v>14</v>
      </c>
      <c r="AP455" t="n">
        <v>0</v>
      </c>
      <c r="AQ455" t="n">
        <v>2</v>
      </c>
      <c r="AR455" t="inlineStr">
        <is>
          <t>No</t>
        </is>
      </c>
      <c r="AS455" t="inlineStr">
        <is>
          <t>Yes</t>
        </is>
      </c>
      <c r="AT455">
        <f>HYPERLINK("http://catalog.hathitrust.org/Record/003196387","HathiTrust Record")</f>
        <v/>
      </c>
      <c r="AU455">
        <f>HYPERLINK("https://creighton-primo.hosted.exlibrisgroup.com/primo-explore/search?tab=default_tab&amp;search_scope=EVERYTHING&amp;vid=01CRU&amp;lang=en_US&amp;offset=0&amp;query=any,contains,991001573089702656","Catalog Record")</f>
        <v/>
      </c>
      <c r="AV455">
        <f>HYPERLINK("http://www.worldcat.org/oclc/35521652","WorldCat Record")</f>
        <v/>
      </c>
      <c r="AW455" t="inlineStr">
        <is>
          <t>1074660693:eng</t>
        </is>
      </c>
      <c r="AX455" t="inlineStr">
        <is>
          <t>35521652</t>
        </is>
      </c>
      <c r="AY455" t="inlineStr">
        <is>
          <t>991001573089702656</t>
        </is>
      </c>
      <c r="AZ455" t="inlineStr">
        <is>
          <t>991001573089702656</t>
        </is>
      </c>
      <c r="BA455" t="inlineStr">
        <is>
          <t>2256758460002656</t>
        </is>
      </c>
      <c r="BB455" t="inlineStr">
        <is>
          <t>BOOK</t>
        </is>
      </c>
      <c r="BD455" t="inlineStr">
        <is>
          <t>9780826194602</t>
        </is>
      </c>
      <c r="BE455" t="inlineStr">
        <is>
          <t>30001004071173</t>
        </is>
      </c>
      <c r="BF455" t="inlineStr">
        <is>
          <t>893743906</t>
        </is>
      </c>
    </row>
    <row r="456">
      <c r="A456" t="inlineStr">
        <is>
          <t>No</t>
        </is>
      </c>
      <c r="B456" t="inlineStr">
        <is>
          <t>CUHSL</t>
        </is>
      </c>
      <c r="C456" t="inlineStr">
        <is>
          <t>SHELVES</t>
        </is>
      </c>
      <c r="D456" t="inlineStr">
        <is>
          <t>WY 18.5 S422 2000</t>
        </is>
      </c>
      <c r="E456" t="inlineStr">
        <is>
          <t>0                      WY 0018500S  422         2000</t>
        </is>
      </c>
      <c r="F456" t="inlineStr">
        <is>
          <t>Scope and standards of practice for nursing professional development.</t>
        </is>
      </c>
      <c r="H456" t="inlineStr">
        <is>
          <t>No</t>
        </is>
      </c>
      <c r="I456" t="inlineStr">
        <is>
          <t>1</t>
        </is>
      </c>
      <c r="J456" t="inlineStr">
        <is>
          <t>No</t>
        </is>
      </c>
      <c r="K456" t="inlineStr">
        <is>
          <t>No</t>
        </is>
      </c>
      <c r="L456" t="inlineStr">
        <is>
          <t>0</t>
        </is>
      </c>
      <c r="N456" t="inlineStr">
        <is>
          <t>Washington, D.C. : American Nurses Association, c2000.</t>
        </is>
      </c>
      <c r="O456" t="inlineStr">
        <is>
          <t>2000</t>
        </is>
      </c>
      <c r="Q456" t="inlineStr">
        <is>
          <t>eng</t>
        </is>
      </c>
      <c r="R456" t="inlineStr">
        <is>
          <t>dcu</t>
        </is>
      </c>
      <c r="S456" t="inlineStr">
        <is>
          <t>ANA pub ; no. NPD-20</t>
        </is>
      </c>
      <c r="T456" t="inlineStr">
        <is>
          <t xml:space="preserve">WY </t>
        </is>
      </c>
      <c r="U456" t="n">
        <v>2</v>
      </c>
      <c r="V456" t="n">
        <v>2</v>
      </c>
      <c r="W456" t="inlineStr">
        <is>
          <t>2004-07-28</t>
        </is>
      </c>
      <c r="X456" t="inlineStr">
        <is>
          <t>2004-07-28</t>
        </is>
      </c>
      <c r="Y456" t="inlineStr">
        <is>
          <t>2001-12-16</t>
        </is>
      </c>
      <c r="Z456" t="inlineStr">
        <is>
          <t>2001-12-16</t>
        </is>
      </c>
      <c r="AA456" t="n">
        <v>259</v>
      </c>
      <c r="AB456" t="n">
        <v>253</v>
      </c>
      <c r="AC456" t="n">
        <v>262</v>
      </c>
      <c r="AD456" t="n">
        <v>3</v>
      </c>
      <c r="AE456" t="n">
        <v>3</v>
      </c>
      <c r="AF456" t="n">
        <v>9</v>
      </c>
      <c r="AG456" t="n">
        <v>9</v>
      </c>
      <c r="AH456" t="n">
        <v>3</v>
      </c>
      <c r="AI456" t="n">
        <v>3</v>
      </c>
      <c r="AJ456" t="n">
        <v>1</v>
      </c>
      <c r="AK456" t="n">
        <v>1</v>
      </c>
      <c r="AL456" t="n">
        <v>6</v>
      </c>
      <c r="AM456" t="n">
        <v>6</v>
      </c>
      <c r="AN456" t="n">
        <v>1</v>
      </c>
      <c r="AO456" t="n">
        <v>1</v>
      </c>
      <c r="AP456" t="n">
        <v>0</v>
      </c>
      <c r="AQ456" t="n">
        <v>0</v>
      </c>
      <c r="AR456" t="inlineStr">
        <is>
          <t>No</t>
        </is>
      </c>
      <c r="AS456" t="inlineStr">
        <is>
          <t>Yes</t>
        </is>
      </c>
      <c r="AT456">
        <f>HYPERLINK("http://catalog.hathitrust.org/Record/003513883","HathiTrust Record")</f>
        <v/>
      </c>
      <c r="AU456">
        <f>HYPERLINK("https://creighton-primo.hosted.exlibrisgroup.com/primo-explore/search?tab=default_tab&amp;search_scope=EVERYTHING&amp;vid=01CRU&amp;lang=en_US&amp;offset=0&amp;query=any,contains,991000295799702656","Catalog Record")</f>
        <v/>
      </c>
      <c r="AV456">
        <f>HYPERLINK("http://www.worldcat.org/oclc/44128558","WorldCat Record")</f>
        <v/>
      </c>
      <c r="AW456" t="inlineStr">
        <is>
          <t>3856798393:eng</t>
        </is>
      </c>
      <c r="AX456" t="inlineStr">
        <is>
          <t>44128558</t>
        </is>
      </c>
      <c r="AY456" t="inlineStr">
        <is>
          <t>991000295799702656</t>
        </is>
      </c>
      <c r="AZ456" t="inlineStr">
        <is>
          <t>991000295799702656</t>
        </is>
      </c>
      <c r="BA456" t="inlineStr">
        <is>
          <t>2264497960002656</t>
        </is>
      </c>
      <c r="BB456" t="inlineStr">
        <is>
          <t>BOOK</t>
        </is>
      </c>
      <c r="BE456" t="inlineStr">
        <is>
          <t>30001004470334</t>
        </is>
      </c>
      <c r="BF456" t="inlineStr">
        <is>
          <t>893365271</t>
        </is>
      </c>
    </row>
    <row r="457">
      <c r="A457" t="inlineStr">
        <is>
          <t>No</t>
        </is>
      </c>
      <c r="B457" t="inlineStr">
        <is>
          <t>CUHSL</t>
        </is>
      </c>
      <c r="C457" t="inlineStr">
        <is>
          <t>SHELVES</t>
        </is>
      </c>
      <c r="D457" t="inlineStr">
        <is>
          <t>WY 18.8 I61 1975</t>
        </is>
      </c>
      <c r="E457" t="inlineStr">
        <is>
          <t>0                      WY 0018800I  61          1975</t>
        </is>
      </c>
      <c r="F457" t="inlineStr">
        <is>
          <t>Integrating primary care concepts into undergraduate and graduate curricula / edited by Adele Nelson, project director.</t>
        </is>
      </c>
      <c r="H457" t="inlineStr">
        <is>
          <t>No</t>
        </is>
      </c>
      <c r="I457" t="inlineStr">
        <is>
          <t>1</t>
        </is>
      </c>
      <c r="J457" t="inlineStr">
        <is>
          <t>No</t>
        </is>
      </c>
      <c r="K457" t="inlineStr">
        <is>
          <t>No</t>
        </is>
      </c>
      <c r="L457" t="inlineStr">
        <is>
          <t>0</t>
        </is>
      </c>
      <c r="N457" t="inlineStr">
        <is>
          <t>Denver, Colo. : University of Colorado School of Nursing, 1975.</t>
        </is>
      </c>
      <c r="O457" t="inlineStr">
        <is>
          <t>1975</t>
        </is>
      </c>
      <c r="Q457" t="inlineStr">
        <is>
          <t>eng</t>
        </is>
      </c>
      <c r="R457" t="inlineStr">
        <is>
          <t>xxu</t>
        </is>
      </c>
      <c r="T457" t="inlineStr">
        <is>
          <t xml:space="preserve">WY </t>
        </is>
      </c>
      <c r="U457" t="n">
        <v>0</v>
      </c>
      <c r="V457" t="n">
        <v>0</v>
      </c>
      <c r="W457" t="inlineStr">
        <is>
          <t>2002-07-18</t>
        </is>
      </c>
      <c r="X457" t="inlineStr">
        <is>
          <t>2002-07-18</t>
        </is>
      </c>
      <c r="Y457" t="inlineStr">
        <is>
          <t>2000-06-15</t>
        </is>
      </c>
      <c r="Z457" t="inlineStr">
        <is>
          <t>2000-06-15</t>
        </is>
      </c>
      <c r="AA457" t="n">
        <v>2</v>
      </c>
      <c r="AB457" t="n">
        <v>2</v>
      </c>
      <c r="AC457" t="n">
        <v>2</v>
      </c>
      <c r="AD457" t="n">
        <v>1</v>
      </c>
      <c r="AE457" t="n">
        <v>1</v>
      </c>
      <c r="AF457" t="n">
        <v>0</v>
      </c>
      <c r="AG457" t="n">
        <v>0</v>
      </c>
      <c r="AH457" t="n">
        <v>0</v>
      </c>
      <c r="AI457" t="n">
        <v>0</v>
      </c>
      <c r="AJ457" t="n">
        <v>0</v>
      </c>
      <c r="AK457" t="n">
        <v>0</v>
      </c>
      <c r="AL457" t="n">
        <v>0</v>
      </c>
      <c r="AM457" t="n">
        <v>0</v>
      </c>
      <c r="AN457" t="n">
        <v>0</v>
      </c>
      <c r="AO457" t="n">
        <v>0</v>
      </c>
      <c r="AP457" t="n">
        <v>0</v>
      </c>
      <c r="AQ457" t="n">
        <v>0</v>
      </c>
      <c r="AR457" t="inlineStr">
        <is>
          <t>No</t>
        </is>
      </c>
      <c r="AS457" t="inlineStr">
        <is>
          <t>No</t>
        </is>
      </c>
      <c r="AU457">
        <f>HYPERLINK("https://creighton-primo.hosted.exlibrisgroup.com/primo-explore/search?tab=default_tab&amp;search_scope=EVERYTHING&amp;vid=01CRU&amp;lang=en_US&amp;offset=0&amp;query=any,contains,991000182759702656","Catalog Record")</f>
        <v/>
      </c>
      <c r="AV457">
        <f>HYPERLINK("http://www.worldcat.org/oclc/7777933","WorldCat Record")</f>
        <v/>
      </c>
      <c r="AW457" t="inlineStr">
        <is>
          <t>29619321:eng</t>
        </is>
      </c>
      <c r="AX457" t="inlineStr">
        <is>
          <t>7777933</t>
        </is>
      </c>
      <c r="AY457" t="inlineStr">
        <is>
          <t>991000182759702656</t>
        </is>
      </c>
      <c r="AZ457" t="inlineStr">
        <is>
          <t>991000182759702656</t>
        </is>
      </c>
      <c r="BA457" t="inlineStr">
        <is>
          <t>2271420870002656</t>
        </is>
      </c>
      <c r="BB457" t="inlineStr">
        <is>
          <t>BOOK</t>
        </is>
      </c>
      <c r="BE457" t="inlineStr">
        <is>
          <t>30001000242737</t>
        </is>
      </c>
      <c r="BF457" t="inlineStr">
        <is>
          <t>893811247</t>
        </is>
      </c>
    </row>
    <row r="458">
      <c r="A458" t="inlineStr">
        <is>
          <t>No</t>
        </is>
      </c>
      <c r="B458" t="inlineStr">
        <is>
          <t>CUHSL</t>
        </is>
      </c>
      <c r="C458" t="inlineStr">
        <is>
          <t>SHELVES</t>
        </is>
      </c>
      <c r="D458" t="inlineStr">
        <is>
          <t>WY 19 C518m 1987</t>
        </is>
      </c>
      <c r="E458" t="inlineStr">
        <is>
          <t>0                      WY 0019000C  518m        1987</t>
        </is>
      </c>
      <c r="F458" t="inlineStr">
        <is>
          <t>Mosby's tour guide to nursing school : a student's road survival kit / Melodie Chenevert.</t>
        </is>
      </c>
      <c r="H458" t="inlineStr">
        <is>
          <t>No</t>
        </is>
      </c>
      <c r="I458" t="inlineStr">
        <is>
          <t>1</t>
        </is>
      </c>
      <c r="J458" t="inlineStr">
        <is>
          <t>No</t>
        </is>
      </c>
      <c r="K458" t="inlineStr">
        <is>
          <t>Yes</t>
        </is>
      </c>
      <c r="L458" t="inlineStr">
        <is>
          <t>0</t>
        </is>
      </c>
      <c r="M458" t="inlineStr">
        <is>
          <t>Chenevert, Melodie, 1941-</t>
        </is>
      </c>
      <c r="N458" t="inlineStr">
        <is>
          <t>St. Louis : Mosby, c1987.</t>
        </is>
      </c>
      <c r="O458" t="inlineStr">
        <is>
          <t>1987</t>
        </is>
      </c>
      <c r="Q458" t="inlineStr">
        <is>
          <t>eng</t>
        </is>
      </c>
      <c r="R458" t="inlineStr">
        <is>
          <t>xxu</t>
        </is>
      </c>
      <c r="T458" t="inlineStr">
        <is>
          <t xml:space="preserve">WY </t>
        </is>
      </c>
      <c r="U458" t="n">
        <v>1</v>
      </c>
      <c r="V458" t="n">
        <v>1</v>
      </c>
      <c r="W458" t="inlineStr">
        <is>
          <t>1989-08-30</t>
        </is>
      </c>
      <c r="X458" t="inlineStr">
        <is>
          <t>1989-08-30</t>
        </is>
      </c>
      <c r="Y458" t="inlineStr">
        <is>
          <t>1987-10-22</t>
        </is>
      </c>
      <c r="Z458" t="inlineStr">
        <is>
          <t>1987-10-22</t>
        </is>
      </c>
      <c r="AA458" t="n">
        <v>116</v>
      </c>
      <c r="AB458" t="n">
        <v>94</v>
      </c>
      <c r="AC458" t="n">
        <v>627</v>
      </c>
      <c r="AD458" t="n">
        <v>2</v>
      </c>
      <c r="AE458" t="n">
        <v>4</v>
      </c>
      <c r="AF458" t="n">
        <v>1</v>
      </c>
      <c r="AG458" t="n">
        <v>18</v>
      </c>
      <c r="AH458" t="n">
        <v>0</v>
      </c>
      <c r="AI458" t="n">
        <v>8</v>
      </c>
      <c r="AJ458" t="n">
        <v>0</v>
      </c>
      <c r="AK458" t="n">
        <v>2</v>
      </c>
      <c r="AL458" t="n">
        <v>1</v>
      </c>
      <c r="AM458" t="n">
        <v>9</v>
      </c>
      <c r="AN458" t="n">
        <v>0</v>
      </c>
      <c r="AO458" t="n">
        <v>2</v>
      </c>
      <c r="AP458" t="n">
        <v>0</v>
      </c>
      <c r="AQ458" t="n">
        <v>0</v>
      </c>
      <c r="AR458" t="inlineStr">
        <is>
          <t>No</t>
        </is>
      </c>
      <c r="AS458" t="inlineStr">
        <is>
          <t>Yes</t>
        </is>
      </c>
      <c r="AT458">
        <f>HYPERLINK("http://catalog.hathitrust.org/Record/000818388","HathiTrust Record")</f>
        <v/>
      </c>
      <c r="AU458">
        <f>HYPERLINK("https://creighton-primo.hosted.exlibrisgroup.com/primo-explore/search?tab=default_tab&amp;search_scope=EVERYTHING&amp;vid=01CRU&amp;lang=en_US&amp;offset=0&amp;query=any,contains,991001265019702656","Catalog Record")</f>
        <v/>
      </c>
      <c r="AV458">
        <f>HYPERLINK("http://www.worldcat.org/oclc/15428863","WorldCat Record")</f>
        <v/>
      </c>
      <c r="AW458" t="inlineStr">
        <is>
          <t>6420787:eng</t>
        </is>
      </c>
      <c r="AX458" t="inlineStr">
        <is>
          <t>15428863</t>
        </is>
      </c>
      <c r="AY458" t="inlineStr">
        <is>
          <t>991001265019702656</t>
        </is>
      </c>
      <c r="AZ458" t="inlineStr">
        <is>
          <t>991001265019702656</t>
        </is>
      </c>
      <c r="BA458" t="inlineStr">
        <is>
          <t>2260096440002656</t>
        </is>
      </c>
      <c r="BB458" t="inlineStr">
        <is>
          <t>BOOK</t>
        </is>
      </c>
      <c r="BD458" t="inlineStr">
        <is>
          <t>9780801613180</t>
        </is>
      </c>
      <c r="BE458" t="inlineStr">
        <is>
          <t>30001000352478</t>
        </is>
      </c>
      <c r="BF458" t="inlineStr">
        <is>
          <t>893358402</t>
        </is>
      </c>
    </row>
    <row r="459">
      <c r="A459" t="inlineStr">
        <is>
          <t>No</t>
        </is>
      </c>
      <c r="B459" t="inlineStr">
        <is>
          <t>CUHSL</t>
        </is>
      </c>
      <c r="C459" t="inlineStr">
        <is>
          <t>SHELVES</t>
        </is>
      </c>
      <c r="D459" t="inlineStr">
        <is>
          <t>WY 19 D855c 1986</t>
        </is>
      </c>
      <c r="E459" t="inlineStr">
        <is>
          <t>0                      WY 0019000D  855c        1986</t>
        </is>
      </c>
      <c r="F459" t="inlineStr">
        <is>
          <t>Characteristics of a top-ranked school survey : an evaluation instrument for schools of nursing / Mary E. Duffy.</t>
        </is>
      </c>
      <c r="H459" t="inlineStr">
        <is>
          <t>No</t>
        </is>
      </c>
      <c r="I459" t="inlineStr">
        <is>
          <t>1</t>
        </is>
      </c>
      <c r="J459" t="inlineStr">
        <is>
          <t>No</t>
        </is>
      </c>
      <c r="K459" t="inlineStr">
        <is>
          <t>No</t>
        </is>
      </c>
      <c r="L459" t="inlineStr">
        <is>
          <t>0</t>
        </is>
      </c>
      <c r="M459" t="inlineStr">
        <is>
          <t>Duffy, Mary Elizabeth, 1942-</t>
        </is>
      </c>
      <c r="N459" t="inlineStr">
        <is>
          <t>New York : National League for Nursing, c1986.</t>
        </is>
      </c>
      <c r="O459" t="inlineStr">
        <is>
          <t>1986</t>
        </is>
      </c>
      <c r="Q459" t="inlineStr">
        <is>
          <t>eng</t>
        </is>
      </c>
      <c r="R459" t="inlineStr">
        <is>
          <t>xxu</t>
        </is>
      </c>
      <c r="S459" t="inlineStr">
        <is>
          <t>NLN pub. no. 41-1984</t>
        </is>
      </c>
      <c r="T459" t="inlineStr">
        <is>
          <t xml:space="preserve">WY </t>
        </is>
      </c>
      <c r="U459" t="n">
        <v>3</v>
      </c>
      <c r="V459" t="n">
        <v>3</v>
      </c>
      <c r="W459" t="inlineStr">
        <is>
          <t>1990-02-21</t>
        </is>
      </c>
      <c r="X459" t="inlineStr">
        <is>
          <t>1990-02-21</t>
        </is>
      </c>
      <c r="Y459" t="inlineStr">
        <is>
          <t>1987-11-12</t>
        </is>
      </c>
      <c r="Z459" t="inlineStr">
        <is>
          <t>1987-11-12</t>
        </is>
      </c>
      <c r="AA459" t="n">
        <v>149</v>
      </c>
      <c r="AB459" t="n">
        <v>131</v>
      </c>
      <c r="AC459" t="n">
        <v>133</v>
      </c>
      <c r="AD459" t="n">
        <v>2</v>
      </c>
      <c r="AE459" t="n">
        <v>2</v>
      </c>
      <c r="AF459" t="n">
        <v>8</v>
      </c>
      <c r="AG459" t="n">
        <v>8</v>
      </c>
      <c r="AH459" t="n">
        <v>2</v>
      </c>
      <c r="AI459" t="n">
        <v>2</v>
      </c>
      <c r="AJ459" t="n">
        <v>2</v>
      </c>
      <c r="AK459" t="n">
        <v>2</v>
      </c>
      <c r="AL459" t="n">
        <v>6</v>
      </c>
      <c r="AM459" t="n">
        <v>6</v>
      </c>
      <c r="AN459" t="n">
        <v>0</v>
      </c>
      <c r="AO459" t="n">
        <v>0</v>
      </c>
      <c r="AP459" t="n">
        <v>0</v>
      </c>
      <c r="AQ459" t="n">
        <v>0</v>
      </c>
      <c r="AR459" t="inlineStr">
        <is>
          <t>No</t>
        </is>
      </c>
      <c r="AS459" t="inlineStr">
        <is>
          <t>Yes</t>
        </is>
      </c>
      <c r="AT459">
        <f>HYPERLINK("http://catalog.hathitrust.org/Record/004448030","HathiTrust Record")</f>
        <v/>
      </c>
      <c r="AU459">
        <f>HYPERLINK("https://creighton-primo.hosted.exlibrisgroup.com/primo-explore/search?tab=default_tab&amp;search_scope=EVERYTHING&amp;vid=01CRU&amp;lang=en_US&amp;offset=0&amp;query=any,contains,991001390379702656","Catalog Record")</f>
        <v/>
      </c>
      <c r="AV459">
        <f>HYPERLINK("http://www.worldcat.org/oclc/13262555","WorldCat Record")</f>
        <v/>
      </c>
      <c r="AW459" t="inlineStr">
        <is>
          <t>1018370024:eng</t>
        </is>
      </c>
      <c r="AX459" t="inlineStr">
        <is>
          <t>13262555</t>
        </is>
      </c>
      <c r="AY459" t="inlineStr">
        <is>
          <t>991001390379702656</t>
        </is>
      </c>
      <c r="AZ459" t="inlineStr">
        <is>
          <t>991001390379702656</t>
        </is>
      </c>
      <c r="BA459" t="inlineStr">
        <is>
          <t>2256094660002656</t>
        </is>
      </c>
      <c r="BB459" t="inlineStr">
        <is>
          <t>BOOK</t>
        </is>
      </c>
      <c r="BD459" t="inlineStr">
        <is>
          <t>9780887371752</t>
        </is>
      </c>
      <c r="BE459" t="inlineStr">
        <is>
          <t>30001000464943</t>
        </is>
      </c>
      <c r="BF459" t="inlineStr">
        <is>
          <t>893741086</t>
        </is>
      </c>
    </row>
    <row r="460">
      <c r="A460" t="inlineStr">
        <is>
          <t>No</t>
        </is>
      </c>
      <c r="B460" t="inlineStr">
        <is>
          <t>CUHSL</t>
        </is>
      </c>
      <c r="C460" t="inlineStr">
        <is>
          <t>SHELVES</t>
        </is>
      </c>
      <c r="D460" t="inlineStr">
        <is>
          <t>WY 19 F143 1946</t>
        </is>
      </c>
      <c r="E460" t="inlineStr">
        <is>
          <t>0                      WY 0019000F  143         1946</t>
        </is>
      </c>
      <c r="F460" t="inlineStr">
        <is>
          <t>Faculty positions in schools of nursing and how to prepare for them / prepared by Committee on Revision of the Faculty Pamphlet.</t>
        </is>
      </c>
      <c r="H460" t="inlineStr">
        <is>
          <t>No</t>
        </is>
      </c>
      <c r="I460" t="inlineStr">
        <is>
          <t>1</t>
        </is>
      </c>
      <c r="J460" t="inlineStr">
        <is>
          <t>No</t>
        </is>
      </c>
      <c r="K460" t="inlineStr">
        <is>
          <t>No</t>
        </is>
      </c>
      <c r="L460" t="inlineStr">
        <is>
          <t>0</t>
        </is>
      </c>
      <c r="N460" t="inlineStr">
        <is>
          <t>New York : National League for Nursing, 1946.</t>
        </is>
      </c>
      <c r="O460" t="inlineStr">
        <is>
          <t>1946</t>
        </is>
      </c>
      <c r="Q460" t="inlineStr">
        <is>
          <t>eng</t>
        </is>
      </c>
      <c r="R460" t="inlineStr">
        <is>
          <t>nyu</t>
        </is>
      </c>
      <c r="T460" t="inlineStr">
        <is>
          <t xml:space="preserve">WY </t>
        </is>
      </c>
      <c r="U460" t="n">
        <v>1</v>
      </c>
      <c r="V460" t="n">
        <v>1</v>
      </c>
      <c r="W460" t="inlineStr">
        <is>
          <t>1990-09-05</t>
        </is>
      </c>
      <c r="X460" t="inlineStr">
        <is>
          <t>1990-09-05</t>
        </is>
      </c>
      <c r="Y460" t="inlineStr">
        <is>
          <t>1987-11-19</t>
        </is>
      </c>
      <c r="Z460" t="inlineStr">
        <is>
          <t>1987-11-19</t>
        </is>
      </c>
      <c r="AA460" t="n">
        <v>58</v>
      </c>
      <c r="AB460" t="n">
        <v>58</v>
      </c>
      <c r="AC460" t="n">
        <v>65</v>
      </c>
      <c r="AD460" t="n">
        <v>1</v>
      </c>
      <c r="AE460" t="n">
        <v>1</v>
      </c>
      <c r="AF460" t="n">
        <v>4</v>
      </c>
      <c r="AG460" t="n">
        <v>4</v>
      </c>
      <c r="AH460" t="n">
        <v>2</v>
      </c>
      <c r="AI460" t="n">
        <v>2</v>
      </c>
      <c r="AJ460" t="n">
        <v>1</v>
      </c>
      <c r="AK460" t="n">
        <v>1</v>
      </c>
      <c r="AL460" t="n">
        <v>1</v>
      </c>
      <c r="AM460" t="n">
        <v>1</v>
      </c>
      <c r="AN460" t="n">
        <v>0</v>
      </c>
      <c r="AO460" t="n">
        <v>0</v>
      </c>
      <c r="AP460" t="n">
        <v>0</v>
      </c>
      <c r="AQ460" t="n">
        <v>0</v>
      </c>
      <c r="AR460" t="inlineStr">
        <is>
          <t>Yes</t>
        </is>
      </c>
      <c r="AS460" t="inlineStr">
        <is>
          <t>No</t>
        </is>
      </c>
      <c r="AT460">
        <f>HYPERLINK("http://catalog.hathitrust.org/Record/001579460","HathiTrust Record")</f>
        <v/>
      </c>
      <c r="AU460">
        <f>HYPERLINK("https://creighton-primo.hosted.exlibrisgroup.com/primo-explore/search?tab=default_tab&amp;search_scope=EVERYTHING&amp;vid=01CRU&amp;lang=en_US&amp;offset=0&amp;query=any,contains,991001517939702656","Catalog Record")</f>
        <v/>
      </c>
      <c r="AV460">
        <f>HYPERLINK("http://www.worldcat.org/oclc/1053016","WorldCat Record")</f>
        <v/>
      </c>
      <c r="AW460" t="inlineStr">
        <is>
          <t>1151019040:eng</t>
        </is>
      </c>
      <c r="AX460" t="inlineStr">
        <is>
          <t>1053016</t>
        </is>
      </c>
      <c r="AY460" t="inlineStr">
        <is>
          <t>991001517939702656</t>
        </is>
      </c>
      <c r="AZ460" t="inlineStr">
        <is>
          <t>991001517939702656</t>
        </is>
      </c>
      <c r="BA460" t="inlineStr">
        <is>
          <t>2270736620002656</t>
        </is>
      </c>
      <c r="BB460" t="inlineStr">
        <is>
          <t>BOOK</t>
        </is>
      </c>
      <c r="BE460" t="inlineStr">
        <is>
          <t>30001000600314</t>
        </is>
      </c>
      <c r="BF460" t="inlineStr">
        <is>
          <t>893736675</t>
        </is>
      </c>
    </row>
    <row r="461">
      <c r="A461" t="inlineStr">
        <is>
          <t>No</t>
        </is>
      </c>
      <c r="B461" t="inlineStr">
        <is>
          <t>CUHSL</t>
        </is>
      </c>
      <c r="C461" t="inlineStr">
        <is>
          <t>SHELVES</t>
        </is>
      </c>
      <c r="D461" t="inlineStr">
        <is>
          <t>WY 19 G472c 1949</t>
        </is>
      </c>
      <c r="E461" t="inlineStr">
        <is>
          <t>0                      WY 0019000G  472c        1949</t>
        </is>
      </c>
      <c r="F461" t="inlineStr">
        <is>
          <t>A candle in her hand : a story of the nursing schools of Bellevue Hospital Dorothy Giles.</t>
        </is>
      </c>
      <c r="H461" t="inlineStr">
        <is>
          <t>No</t>
        </is>
      </c>
      <c r="I461" t="inlineStr">
        <is>
          <t>1</t>
        </is>
      </c>
      <c r="J461" t="inlineStr">
        <is>
          <t>No</t>
        </is>
      </c>
      <c r="K461" t="inlineStr">
        <is>
          <t>No</t>
        </is>
      </c>
      <c r="L461" t="inlineStr">
        <is>
          <t>0</t>
        </is>
      </c>
      <c r="M461" t="inlineStr">
        <is>
          <t>Giles, Dorothy.</t>
        </is>
      </c>
      <c r="N461" t="inlineStr">
        <is>
          <t>-- New York : Putnam, c1949.</t>
        </is>
      </c>
      <c r="O461" t="inlineStr">
        <is>
          <t>1949</t>
        </is>
      </c>
      <c r="Q461" t="inlineStr">
        <is>
          <t>eng</t>
        </is>
      </c>
      <c r="R461" t="inlineStr">
        <is>
          <t>|||</t>
        </is>
      </c>
      <c r="T461" t="inlineStr">
        <is>
          <t xml:space="preserve">WY </t>
        </is>
      </c>
      <c r="U461" t="n">
        <v>1</v>
      </c>
      <c r="V461" t="n">
        <v>1</v>
      </c>
      <c r="W461" t="inlineStr">
        <is>
          <t>2006-10-11</t>
        </is>
      </c>
      <c r="X461" t="inlineStr">
        <is>
          <t>2006-10-11</t>
        </is>
      </c>
      <c r="Y461" t="inlineStr">
        <is>
          <t>1987-12-28</t>
        </is>
      </c>
      <c r="Z461" t="inlineStr">
        <is>
          <t>1987-12-28</t>
        </is>
      </c>
      <c r="AA461" t="n">
        <v>156</v>
      </c>
      <c r="AB461" t="n">
        <v>149</v>
      </c>
      <c r="AC461" t="n">
        <v>157</v>
      </c>
      <c r="AD461" t="n">
        <v>2</v>
      </c>
      <c r="AE461" t="n">
        <v>2</v>
      </c>
      <c r="AF461" t="n">
        <v>7</v>
      </c>
      <c r="AG461" t="n">
        <v>7</v>
      </c>
      <c r="AH461" t="n">
        <v>1</v>
      </c>
      <c r="AI461" t="n">
        <v>1</v>
      </c>
      <c r="AJ461" t="n">
        <v>3</v>
      </c>
      <c r="AK461" t="n">
        <v>3</v>
      </c>
      <c r="AL461" t="n">
        <v>3</v>
      </c>
      <c r="AM461" t="n">
        <v>3</v>
      </c>
      <c r="AN461" t="n">
        <v>1</v>
      </c>
      <c r="AO461" t="n">
        <v>1</v>
      </c>
      <c r="AP461" t="n">
        <v>0</v>
      </c>
      <c r="AQ461" t="n">
        <v>0</v>
      </c>
      <c r="AR461" t="inlineStr">
        <is>
          <t>Yes</t>
        </is>
      </c>
      <c r="AS461" t="inlineStr">
        <is>
          <t>No</t>
        </is>
      </c>
      <c r="AT461">
        <f>HYPERLINK("http://catalog.hathitrust.org/Record/001588339","HathiTrust Record")</f>
        <v/>
      </c>
      <c r="AU461">
        <f>HYPERLINK("https://creighton-primo.hosted.exlibrisgroup.com/primo-explore/search?tab=default_tab&amp;search_scope=EVERYTHING&amp;vid=01CRU&amp;lang=en_US&amp;offset=0&amp;query=any,contains,991001042419702656","Catalog Record")</f>
        <v/>
      </c>
      <c r="AV461">
        <f>HYPERLINK("http://www.worldcat.org/oclc/1451801","WorldCat Record")</f>
        <v/>
      </c>
      <c r="AW461" t="inlineStr">
        <is>
          <t>2294149:eng</t>
        </is>
      </c>
      <c r="AX461" t="inlineStr">
        <is>
          <t>1451801</t>
        </is>
      </c>
      <c r="AY461" t="inlineStr">
        <is>
          <t>991001042419702656</t>
        </is>
      </c>
      <c r="AZ461" t="inlineStr">
        <is>
          <t>991001042419702656</t>
        </is>
      </c>
      <c r="BA461" t="inlineStr">
        <is>
          <t>2261033990002656</t>
        </is>
      </c>
      <c r="BB461" t="inlineStr">
        <is>
          <t>BOOK</t>
        </is>
      </c>
      <c r="BE461" t="inlineStr">
        <is>
          <t>30001000242778</t>
        </is>
      </c>
      <c r="BF461" t="inlineStr">
        <is>
          <t>893731620</t>
        </is>
      </c>
    </row>
    <row r="462">
      <c r="A462" t="inlineStr">
        <is>
          <t>No</t>
        </is>
      </c>
      <c r="B462" t="inlineStr">
        <is>
          <t>CUHSL</t>
        </is>
      </c>
      <c r="C462" t="inlineStr">
        <is>
          <t>SHELVES</t>
        </is>
      </c>
      <c r="D462" t="inlineStr">
        <is>
          <t>WY 19 M135r 1962</t>
        </is>
      </c>
      <c r="E462" t="inlineStr">
        <is>
          <t>0                      WY 0019000M  135r        1962</t>
        </is>
      </c>
      <c r="F462" t="inlineStr">
        <is>
          <t>Report of a study of accreditation procedures : a survey of materials related to selected baccalaureate basic nursing programs reviewed for NLN accreditation between 1957 and 1960.</t>
        </is>
      </c>
      <c r="H462" t="inlineStr">
        <is>
          <t>No</t>
        </is>
      </c>
      <c r="I462" t="inlineStr">
        <is>
          <t>1</t>
        </is>
      </c>
      <c r="J462" t="inlineStr">
        <is>
          <t>No</t>
        </is>
      </c>
      <c r="K462" t="inlineStr">
        <is>
          <t>No</t>
        </is>
      </c>
      <c r="L462" t="inlineStr">
        <is>
          <t>0</t>
        </is>
      </c>
      <c r="M462" t="inlineStr">
        <is>
          <t>MacDonald, Gwendoline.</t>
        </is>
      </c>
      <c r="N462" t="inlineStr">
        <is>
          <t>New York : National League for Nursing, 1962.</t>
        </is>
      </c>
      <c r="O462" t="inlineStr">
        <is>
          <t>1962</t>
        </is>
      </c>
      <c r="Q462" t="inlineStr">
        <is>
          <t>eng</t>
        </is>
      </c>
      <c r="R462" t="inlineStr">
        <is>
          <t xml:space="preserve">xx </t>
        </is>
      </c>
      <c r="S462" t="inlineStr">
        <is>
          <t>NLN pub. no. 15-1029</t>
        </is>
      </c>
      <c r="T462" t="inlineStr">
        <is>
          <t xml:space="preserve">WY </t>
        </is>
      </c>
      <c r="U462" t="n">
        <v>1</v>
      </c>
      <c r="V462" t="n">
        <v>1</v>
      </c>
      <c r="W462" t="inlineStr">
        <is>
          <t>1990-04-20</t>
        </is>
      </c>
      <c r="X462" t="inlineStr">
        <is>
          <t>1990-04-20</t>
        </is>
      </c>
      <c r="Y462" t="inlineStr">
        <is>
          <t>1987-10-20</t>
        </is>
      </c>
      <c r="Z462" t="inlineStr">
        <is>
          <t>1987-10-20</t>
        </is>
      </c>
      <c r="AA462" t="n">
        <v>27</v>
      </c>
      <c r="AB462" t="n">
        <v>25</v>
      </c>
      <c r="AC462" t="n">
        <v>32</v>
      </c>
      <c r="AD462" t="n">
        <v>1</v>
      </c>
      <c r="AE462" t="n">
        <v>1</v>
      </c>
      <c r="AF462" t="n">
        <v>1</v>
      </c>
      <c r="AG462" t="n">
        <v>1</v>
      </c>
      <c r="AH462" t="n">
        <v>0</v>
      </c>
      <c r="AI462" t="n">
        <v>0</v>
      </c>
      <c r="AJ462" t="n">
        <v>0</v>
      </c>
      <c r="AK462" t="n">
        <v>0</v>
      </c>
      <c r="AL462" t="n">
        <v>1</v>
      </c>
      <c r="AM462" t="n">
        <v>1</v>
      </c>
      <c r="AN462" t="n">
        <v>0</v>
      </c>
      <c r="AO462" t="n">
        <v>0</v>
      </c>
      <c r="AP462" t="n">
        <v>0</v>
      </c>
      <c r="AQ462" t="n">
        <v>0</v>
      </c>
      <c r="AR462" t="inlineStr">
        <is>
          <t>Yes</t>
        </is>
      </c>
      <c r="AS462" t="inlineStr">
        <is>
          <t>No</t>
        </is>
      </c>
      <c r="AT462">
        <f>HYPERLINK("http://catalog.hathitrust.org/Record/002072332","HathiTrust Record")</f>
        <v/>
      </c>
      <c r="AU462">
        <f>HYPERLINK("https://creighton-primo.hosted.exlibrisgroup.com/primo-explore/search?tab=default_tab&amp;search_scope=EVERYTHING&amp;vid=01CRU&amp;lang=en_US&amp;offset=0&amp;query=any,contains,991001364949702656","Catalog Record")</f>
        <v/>
      </c>
      <c r="AV462">
        <f>HYPERLINK("http://www.worldcat.org/oclc/1141809","WorldCat Record")</f>
        <v/>
      </c>
      <c r="AW462" t="inlineStr">
        <is>
          <t>196177864:eng</t>
        </is>
      </c>
      <c r="AX462" t="inlineStr">
        <is>
          <t>1141809</t>
        </is>
      </c>
      <c r="AY462" t="inlineStr">
        <is>
          <t>991001364949702656</t>
        </is>
      </c>
      <c r="AZ462" t="inlineStr">
        <is>
          <t>991001364949702656</t>
        </is>
      </c>
      <c r="BA462" t="inlineStr">
        <is>
          <t>2265028090002656</t>
        </is>
      </c>
      <c r="BB462" t="inlineStr">
        <is>
          <t>BOOK</t>
        </is>
      </c>
      <c r="BE462" t="inlineStr">
        <is>
          <t>30001000461188</t>
        </is>
      </c>
      <c r="BF462" t="inlineStr">
        <is>
          <t>893832120</t>
        </is>
      </c>
    </row>
    <row r="463">
      <c r="A463" t="inlineStr">
        <is>
          <t>No</t>
        </is>
      </c>
      <c r="B463" t="inlineStr">
        <is>
          <t>CUHSL</t>
        </is>
      </c>
      <c r="C463" t="inlineStr">
        <is>
          <t>SHELVES</t>
        </is>
      </c>
      <c r="D463" t="inlineStr">
        <is>
          <t>WY 19 N688n 1960</t>
        </is>
      </c>
      <c r="E463" t="inlineStr">
        <is>
          <t>0                      WY 0019000N  688n        1960</t>
        </is>
      </c>
      <c r="F463" t="inlineStr">
        <is>
          <t>The Nightingale Training School, St. Thomas' Hospital, 1860-1960., St. Thomas' Hospital, 1860-1960.</t>
        </is>
      </c>
      <c r="H463" t="inlineStr">
        <is>
          <t>No</t>
        </is>
      </c>
      <c r="I463" t="inlineStr">
        <is>
          <t>1</t>
        </is>
      </c>
      <c r="J463" t="inlineStr">
        <is>
          <t>No</t>
        </is>
      </c>
      <c r="K463" t="inlineStr">
        <is>
          <t>No</t>
        </is>
      </c>
      <c r="L463" t="inlineStr">
        <is>
          <t>0</t>
        </is>
      </c>
      <c r="M463" t="inlineStr">
        <is>
          <t>Nightingale Training School (London, England).</t>
        </is>
      </c>
      <c r="O463" t="inlineStr">
        <is>
          <t>1960</t>
        </is>
      </c>
      <c r="Q463" t="inlineStr">
        <is>
          <t>eng</t>
        </is>
      </c>
      <c r="R463" t="inlineStr">
        <is>
          <t xml:space="preserve">xx </t>
        </is>
      </c>
      <c r="T463" t="inlineStr">
        <is>
          <t xml:space="preserve">WY </t>
        </is>
      </c>
      <c r="U463" t="n">
        <v>2</v>
      </c>
      <c r="V463" t="n">
        <v>2</v>
      </c>
      <c r="W463" t="inlineStr">
        <is>
          <t>1994-02-18</t>
        </is>
      </c>
      <c r="X463" t="inlineStr">
        <is>
          <t>1994-02-18</t>
        </is>
      </c>
      <c r="Y463" t="inlineStr">
        <is>
          <t>1988-01-13</t>
        </is>
      </c>
      <c r="Z463" t="inlineStr">
        <is>
          <t>1988-01-13</t>
        </is>
      </c>
      <c r="AA463" t="n">
        <v>9</v>
      </c>
      <c r="AB463" t="n">
        <v>8</v>
      </c>
      <c r="AC463" t="n">
        <v>8</v>
      </c>
      <c r="AD463" t="n">
        <v>1</v>
      </c>
      <c r="AE463" t="n">
        <v>1</v>
      </c>
      <c r="AF463" t="n">
        <v>0</v>
      </c>
      <c r="AG463" t="n">
        <v>0</v>
      </c>
      <c r="AH463" t="n">
        <v>0</v>
      </c>
      <c r="AI463" t="n">
        <v>0</v>
      </c>
      <c r="AJ463" t="n">
        <v>0</v>
      </c>
      <c r="AK463" t="n">
        <v>0</v>
      </c>
      <c r="AL463" t="n">
        <v>0</v>
      </c>
      <c r="AM463" t="n">
        <v>0</v>
      </c>
      <c r="AN463" t="n">
        <v>0</v>
      </c>
      <c r="AO463" t="n">
        <v>0</v>
      </c>
      <c r="AP463" t="n">
        <v>0</v>
      </c>
      <c r="AQ463" t="n">
        <v>0</v>
      </c>
      <c r="AR463" t="inlineStr">
        <is>
          <t>No</t>
        </is>
      </c>
      <c r="AS463" t="inlineStr">
        <is>
          <t>No</t>
        </is>
      </c>
      <c r="AU463">
        <f>HYPERLINK("https://creighton-primo.hosted.exlibrisgroup.com/primo-explore/search?tab=default_tab&amp;search_scope=EVERYTHING&amp;vid=01CRU&amp;lang=en_US&amp;offset=0&amp;query=any,contains,991001042449702656","Catalog Record")</f>
        <v/>
      </c>
      <c r="AV463">
        <f>HYPERLINK("http://www.worldcat.org/oclc/14614267","WorldCat Record")</f>
        <v/>
      </c>
      <c r="AW463" t="inlineStr">
        <is>
          <t>2973768880:eng</t>
        </is>
      </c>
      <c r="AX463" t="inlineStr">
        <is>
          <t>14614267</t>
        </is>
      </c>
      <c r="AY463" t="inlineStr">
        <is>
          <t>991001042449702656</t>
        </is>
      </c>
      <c r="AZ463" t="inlineStr">
        <is>
          <t>991001042449702656</t>
        </is>
      </c>
      <c r="BA463" t="inlineStr">
        <is>
          <t>2266794660002656</t>
        </is>
      </c>
      <c r="BB463" t="inlineStr">
        <is>
          <t>BOOK</t>
        </is>
      </c>
      <c r="BE463" t="inlineStr">
        <is>
          <t>30001000242786</t>
        </is>
      </c>
      <c r="BF463" t="inlineStr">
        <is>
          <t>893552091</t>
        </is>
      </c>
    </row>
    <row r="464">
      <c r="A464" t="inlineStr">
        <is>
          <t>No</t>
        </is>
      </c>
      <c r="B464" t="inlineStr">
        <is>
          <t>CUHSL</t>
        </is>
      </c>
      <c r="C464" t="inlineStr">
        <is>
          <t>SHELVES</t>
        </is>
      </c>
      <c r="D464" t="inlineStr">
        <is>
          <t>WY 19 P895 1988-89</t>
        </is>
      </c>
      <c r="E464" t="inlineStr">
        <is>
          <t>0                      WY 0019000P  895         1988                                        -89</t>
        </is>
      </c>
      <c r="F464" t="inlineStr">
        <is>
          <t>Practical nursing career, 1988-89 : information about NLN-accredited schools of practical nursing / Council of Practical Nursing Programs, Division of Research, National League for Nursing.</t>
        </is>
      </c>
      <c r="H464" t="inlineStr">
        <is>
          <t>No</t>
        </is>
      </c>
      <c r="I464" t="inlineStr">
        <is>
          <t>1</t>
        </is>
      </c>
      <c r="J464" t="inlineStr">
        <is>
          <t>No</t>
        </is>
      </c>
      <c r="K464" t="inlineStr">
        <is>
          <t>No</t>
        </is>
      </c>
      <c r="L464" t="inlineStr">
        <is>
          <t>0</t>
        </is>
      </c>
      <c r="N464" t="inlineStr">
        <is>
          <t>New York : National League for Nursing, c1988.</t>
        </is>
      </c>
      <c r="O464" t="inlineStr">
        <is>
          <t>1988</t>
        </is>
      </c>
      <c r="Q464" t="inlineStr">
        <is>
          <t>eng</t>
        </is>
      </c>
      <c r="R464" t="inlineStr">
        <is>
          <t>nyu</t>
        </is>
      </c>
      <c r="T464" t="inlineStr">
        <is>
          <t xml:space="preserve">WY </t>
        </is>
      </c>
      <c r="U464" t="n">
        <v>1</v>
      </c>
      <c r="V464" t="n">
        <v>1</v>
      </c>
      <c r="W464" t="inlineStr">
        <is>
          <t>2002-09-30</t>
        </is>
      </c>
      <c r="X464" t="inlineStr">
        <is>
          <t>2002-09-30</t>
        </is>
      </c>
      <c r="Y464" t="inlineStr">
        <is>
          <t>2002-09-30</t>
        </is>
      </c>
      <c r="Z464" t="inlineStr">
        <is>
          <t>2002-09-30</t>
        </is>
      </c>
      <c r="AA464" t="n">
        <v>15</v>
      </c>
      <c r="AB464" t="n">
        <v>14</v>
      </c>
      <c r="AC464" t="n">
        <v>14</v>
      </c>
      <c r="AD464" t="n">
        <v>1</v>
      </c>
      <c r="AE464" t="n">
        <v>1</v>
      </c>
      <c r="AF464" t="n">
        <v>0</v>
      </c>
      <c r="AG464" t="n">
        <v>0</v>
      </c>
      <c r="AH464" t="n">
        <v>0</v>
      </c>
      <c r="AI464" t="n">
        <v>0</v>
      </c>
      <c r="AJ464" t="n">
        <v>0</v>
      </c>
      <c r="AK464" t="n">
        <v>0</v>
      </c>
      <c r="AL464" t="n">
        <v>0</v>
      </c>
      <c r="AM464" t="n">
        <v>0</v>
      </c>
      <c r="AN464" t="n">
        <v>0</v>
      </c>
      <c r="AO464" t="n">
        <v>0</v>
      </c>
      <c r="AP464" t="n">
        <v>0</v>
      </c>
      <c r="AQ464" t="n">
        <v>0</v>
      </c>
      <c r="AR464" t="inlineStr">
        <is>
          <t>No</t>
        </is>
      </c>
      <c r="AS464" t="inlineStr">
        <is>
          <t>No</t>
        </is>
      </c>
      <c r="AU464">
        <f>HYPERLINK("https://creighton-primo.hosted.exlibrisgroup.com/primo-explore/search?tab=default_tab&amp;search_scope=EVERYTHING&amp;vid=01CRU&amp;lang=en_US&amp;offset=0&amp;query=any,contains,991001446369702656","Catalog Record")</f>
        <v/>
      </c>
      <c r="AV464">
        <f>HYPERLINK("http://www.worldcat.org/oclc/18765749","WorldCat Record")</f>
        <v/>
      </c>
      <c r="AW464" t="inlineStr">
        <is>
          <t>18466825:eng</t>
        </is>
      </c>
      <c r="AX464" t="inlineStr">
        <is>
          <t>18765749</t>
        </is>
      </c>
      <c r="AY464" t="inlineStr">
        <is>
          <t>991001446369702656</t>
        </is>
      </c>
      <c r="AZ464" t="inlineStr">
        <is>
          <t>991001446369702656</t>
        </is>
      </c>
      <c r="BA464" t="inlineStr">
        <is>
          <t>2254759770002656</t>
        </is>
      </c>
      <c r="BB464" t="inlineStr">
        <is>
          <t>BOOK</t>
        </is>
      </c>
      <c r="BD464" t="inlineStr">
        <is>
          <t>9780887374081</t>
        </is>
      </c>
      <c r="BE464" t="inlineStr">
        <is>
          <t>30001001610643</t>
        </is>
      </c>
      <c r="BF464" t="inlineStr">
        <is>
          <t>893741140</t>
        </is>
      </c>
    </row>
    <row r="465">
      <c r="A465" t="inlineStr">
        <is>
          <t>No</t>
        </is>
      </c>
      <c r="B465" t="inlineStr">
        <is>
          <t>CUHSL</t>
        </is>
      </c>
      <c r="C465" t="inlineStr">
        <is>
          <t>SHELVES</t>
        </is>
      </c>
      <c r="D465" t="inlineStr">
        <is>
          <t>WY 19 P895 1989-90</t>
        </is>
      </c>
      <c r="E465" t="inlineStr">
        <is>
          <t>0                      WY 0019000P  895         1989                                        -90</t>
        </is>
      </c>
      <c r="F465" t="inlineStr">
        <is>
          <t>Practical nursing career, 1989-90 : information about NLN-accredited schools of practical nursing / Council of practical nursing programs, Division of Research, National League for Nursing.</t>
        </is>
      </c>
      <c r="H465" t="inlineStr">
        <is>
          <t>No</t>
        </is>
      </c>
      <c r="I465" t="inlineStr">
        <is>
          <t>1</t>
        </is>
      </c>
      <c r="J465" t="inlineStr">
        <is>
          <t>No</t>
        </is>
      </c>
      <c r="K465" t="inlineStr">
        <is>
          <t>No</t>
        </is>
      </c>
      <c r="L465" t="inlineStr">
        <is>
          <t>0</t>
        </is>
      </c>
      <c r="N465" t="inlineStr">
        <is>
          <t>New York : National League for Nursing, c1989.</t>
        </is>
      </c>
      <c r="O465" t="inlineStr">
        <is>
          <t>1989</t>
        </is>
      </c>
      <c r="Q465" t="inlineStr">
        <is>
          <t>eng</t>
        </is>
      </c>
      <c r="R465" t="inlineStr">
        <is>
          <t>nyu</t>
        </is>
      </c>
      <c r="S465" t="inlineStr">
        <is>
          <t>NLM pub. no. 38-1328.</t>
        </is>
      </c>
      <c r="T465" t="inlineStr">
        <is>
          <t xml:space="preserve">WY </t>
        </is>
      </c>
      <c r="U465" t="n">
        <v>1</v>
      </c>
      <c r="V465" t="n">
        <v>1</v>
      </c>
      <c r="W465" t="inlineStr">
        <is>
          <t>1990-01-31</t>
        </is>
      </c>
      <c r="X465" t="inlineStr">
        <is>
          <t>1990-01-31</t>
        </is>
      </c>
      <c r="Y465" t="inlineStr">
        <is>
          <t>1990-01-31</t>
        </is>
      </c>
      <c r="Z465" t="inlineStr">
        <is>
          <t>1990-01-31</t>
        </is>
      </c>
      <c r="AA465" t="n">
        <v>19</v>
      </c>
      <c r="AB465" t="n">
        <v>17</v>
      </c>
      <c r="AC465" t="n">
        <v>17</v>
      </c>
      <c r="AD465" t="n">
        <v>1</v>
      </c>
      <c r="AE465" t="n">
        <v>1</v>
      </c>
      <c r="AF465" t="n">
        <v>0</v>
      </c>
      <c r="AG465" t="n">
        <v>0</v>
      </c>
      <c r="AH465" t="n">
        <v>0</v>
      </c>
      <c r="AI465" t="n">
        <v>0</v>
      </c>
      <c r="AJ465" t="n">
        <v>0</v>
      </c>
      <c r="AK465" t="n">
        <v>0</v>
      </c>
      <c r="AL465" t="n">
        <v>0</v>
      </c>
      <c r="AM465" t="n">
        <v>0</v>
      </c>
      <c r="AN465" t="n">
        <v>0</v>
      </c>
      <c r="AO465" t="n">
        <v>0</v>
      </c>
      <c r="AP465" t="n">
        <v>0</v>
      </c>
      <c r="AQ465" t="n">
        <v>0</v>
      </c>
      <c r="AR465" t="inlineStr">
        <is>
          <t>No</t>
        </is>
      </c>
      <c r="AS465" t="inlineStr">
        <is>
          <t>No</t>
        </is>
      </c>
      <c r="AU465">
        <f>HYPERLINK("https://creighton-primo.hosted.exlibrisgroup.com/primo-explore/search?tab=default_tab&amp;search_scope=EVERYTHING&amp;vid=01CRU&amp;lang=en_US&amp;offset=0&amp;query=any,contains,991000221359702656","Catalog Record")</f>
        <v/>
      </c>
      <c r="AV465">
        <f>HYPERLINK("http://www.worldcat.org/oclc/21244851","WorldCat Record")</f>
        <v/>
      </c>
      <c r="AW465" t="inlineStr">
        <is>
          <t>23565655:eng</t>
        </is>
      </c>
      <c r="AX465" t="inlineStr">
        <is>
          <t>21244851</t>
        </is>
      </c>
      <c r="AY465" t="inlineStr">
        <is>
          <t>991000221359702656</t>
        </is>
      </c>
      <c r="AZ465" t="inlineStr">
        <is>
          <t>991000221359702656</t>
        </is>
      </c>
      <c r="BA465" t="inlineStr">
        <is>
          <t>2261876400002656</t>
        </is>
      </c>
      <c r="BB465" t="inlineStr">
        <is>
          <t>BOOK</t>
        </is>
      </c>
      <c r="BE465" t="inlineStr">
        <is>
          <t>30001001880584</t>
        </is>
      </c>
      <c r="BF465" t="inlineStr">
        <is>
          <t>893354109</t>
        </is>
      </c>
    </row>
    <row r="466">
      <c r="A466" t="inlineStr">
        <is>
          <t>No</t>
        </is>
      </c>
      <c r="B466" t="inlineStr">
        <is>
          <t>CUHSL</t>
        </is>
      </c>
      <c r="C466" t="inlineStr">
        <is>
          <t>SHELVES</t>
        </is>
      </c>
      <c r="D466" t="inlineStr">
        <is>
          <t>WY 19 S797 1985</t>
        </is>
      </c>
      <c r="E466" t="inlineStr">
        <is>
          <t>0                      WY 0019000S  797         1985</t>
        </is>
      </c>
      <c r="F466" t="inlineStr">
        <is>
          <t>State approved schools of nursing - R.N., 1985 : meeting minimum requirements set by law and board rules in the various jurisdictions.</t>
        </is>
      </c>
      <c r="H466" t="inlineStr">
        <is>
          <t>No</t>
        </is>
      </c>
      <c r="I466" t="inlineStr">
        <is>
          <t>1</t>
        </is>
      </c>
      <c r="J466" t="inlineStr">
        <is>
          <t>No</t>
        </is>
      </c>
      <c r="K466" t="inlineStr">
        <is>
          <t>No</t>
        </is>
      </c>
      <c r="L466" t="inlineStr">
        <is>
          <t>0</t>
        </is>
      </c>
      <c r="N466" t="inlineStr">
        <is>
          <t>New York : Division of Public Policy and Research, National League for Nursing, 1985.</t>
        </is>
      </c>
      <c r="O466" t="inlineStr">
        <is>
          <t>1985</t>
        </is>
      </c>
      <c r="P466" t="inlineStr">
        <is>
          <t>43rd ed.</t>
        </is>
      </c>
      <c r="Q466" t="inlineStr">
        <is>
          <t>eng</t>
        </is>
      </c>
      <c r="R466" t="inlineStr">
        <is>
          <t>nyu</t>
        </is>
      </c>
      <c r="S466" t="inlineStr">
        <is>
          <t>NLN pub. no. 19-1986</t>
        </is>
      </c>
      <c r="T466" t="inlineStr">
        <is>
          <t xml:space="preserve">WY </t>
        </is>
      </c>
      <c r="U466" t="n">
        <v>1</v>
      </c>
      <c r="V466" t="n">
        <v>1</v>
      </c>
      <c r="W466" t="inlineStr">
        <is>
          <t>1993-12-22</t>
        </is>
      </c>
      <c r="X466" t="inlineStr">
        <is>
          <t>1993-12-22</t>
        </is>
      </c>
      <c r="Y466" t="inlineStr">
        <is>
          <t>1987-11-04</t>
        </is>
      </c>
      <c r="Z466" t="inlineStr">
        <is>
          <t>1987-11-04</t>
        </is>
      </c>
      <c r="AA466" t="n">
        <v>15</v>
      </c>
      <c r="AB466" t="n">
        <v>13</v>
      </c>
      <c r="AC466" t="n">
        <v>13</v>
      </c>
      <c r="AD466" t="n">
        <v>1</v>
      </c>
      <c r="AE466" t="n">
        <v>1</v>
      </c>
      <c r="AF466" t="n">
        <v>0</v>
      </c>
      <c r="AG466" t="n">
        <v>0</v>
      </c>
      <c r="AH466" t="n">
        <v>0</v>
      </c>
      <c r="AI466" t="n">
        <v>0</v>
      </c>
      <c r="AJ466" t="n">
        <v>0</v>
      </c>
      <c r="AK466" t="n">
        <v>0</v>
      </c>
      <c r="AL466" t="n">
        <v>0</v>
      </c>
      <c r="AM466" t="n">
        <v>0</v>
      </c>
      <c r="AN466" t="n">
        <v>0</v>
      </c>
      <c r="AO466" t="n">
        <v>0</v>
      </c>
      <c r="AP466" t="n">
        <v>0</v>
      </c>
      <c r="AQ466" t="n">
        <v>0</v>
      </c>
      <c r="AR466" t="inlineStr">
        <is>
          <t>No</t>
        </is>
      </c>
      <c r="AS466" t="inlineStr">
        <is>
          <t>No</t>
        </is>
      </c>
      <c r="AU466">
        <f>HYPERLINK("https://creighton-primo.hosted.exlibrisgroup.com/primo-explore/search?tab=default_tab&amp;search_scope=EVERYTHING&amp;vid=01CRU&amp;lang=en_US&amp;offset=0&amp;query=any,contains,991001383219702656","Catalog Record")</f>
        <v/>
      </c>
      <c r="AV466">
        <f>HYPERLINK("http://www.worldcat.org/oclc/12729106","WorldCat Record")</f>
        <v/>
      </c>
      <c r="AW466" t="inlineStr">
        <is>
          <t>5601491:eng</t>
        </is>
      </c>
      <c r="AX466" t="inlineStr">
        <is>
          <t>12729106</t>
        </is>
      </c>
      <c r="AY466" t="inlineStr">
        <is>
          <t>991001383219702656</t>
        </is>
      </c>
      <c r="AZ466" t="inlineStr">
        <is>
          <t>991001383219702656</t>
        </is>
      </c>
      <c r="BA466" t="inlineStr">
        <is>
          <t>2262660100002656</t>
        </is>
      </c>
      <c r="BB466" t="inlineStr">
        <is>
          <t>BOOK</t>
        </is>
      </c>
      <c r="BD466" t="inlineStr">
        <is>
          <t>9780887371783</t>
        </is>
      </c>
      <c r="BE466" t="inlineStr">
        <is>
          <t>30001000463168</t>
        </is>
      </c>
      <c r="BF466" t="inlineStr">
        <is>
          <t>893557917</t>
        </is>
      </c>
    </row>
    <row r="467">
      <c r="A467" t="inlineStr">
        <is>
          <t>No</t>
        </is>
      </c>
      <c r="B467" t="inlineStr">
        <is>
          <t>CUHSL</t>
        </is>
      </c>
      <c r="C467" t="inlineStr">
        <is>
          <t>SHELVES</t>
        </is>
      </c>
      <c r="D467" t="inlineStr">
        <is>
          <t>WY 19 S989 1983s</t>
        </is>
      </c>
      <c r="E467" t="inlineStr">
        <is>
          <t>0                      WY 0019000S  989         1983s</t>
        </is>
      </c>
      <c r="F467" t="inlineStr">
        <is>
          <t>Structure to outcome : making it work : papers presented at the First Annual Symposium on Nursing Faculty Practice / sponsored by the American Academy of Nursing ; editor, Kathryn E. Barnard.</t>
        </is>
      </c>
      <c r="H467" t="inlineStr">
        <is>
          <t>No</t>
        </is>
      </c>
      <c r="I467" t="inlineStr">
        <is>
          <t>1</t>
        </is>
      </c>
      <c r="J467" t="inlineStr">
        <is>
          <t>No</t>
        </is>
      </c>
      <c r="K467" t="inlineStr">
        <is>
          <t>No</t>
        </is>
      </c>
      <c r="L467" t="inlineStr">
        <is>
          <t>0</t>
        </is>
      </c>
      <c r="M467" t="inlineStr">
        <is>
          <t>Symposium on Nursing Faculty Practice (1st : 1983 : Orlando, Fla.)</t>
        </is>
      </c>
      <c r="N467" t="inlineStr">
        <is>
          <t>Kansas City, Mo. : American Academy of Nursing, c1983.</t>
        </is>
      </c>
      <c r="O467" t="inlineStr">
        <is>
          <t>1983</t>
        </is>
      </c>
      <c r="Q467" t="inlineStr">
        <is>
          <t>eng</t>
        </is>
      </c>
      <c r="R467" t="inlineStr">
        <is>
          <t>xxu</t>
        </is>
      </c>
      <c r="S467" t="inlineStr">
        <is>
          <t>ANA. G-158</t>
        </is>
      </c>
      <c r="T467" t="inlineStr">
        <is>
          <t xml:space="preserve">WY </t>
        </is>
      </c>
      <c r="U467" t="n">
        <v>2</v>
      </c>
      <c r="V467" t="n">
        <v>2</v>
      </c>
      <c r="W467" t="inlineStr">
        <is>
          <t>1997-11-06</t>
        </is>
      </c>
      <c r="X467" t="inlineStr">
        <is>
          <t>1997-11-06</t>
        </is>
      </c>
      <c r="Y467" t="inlineStr">
        <is>
          <t>1987-12-28</t>
        </is>
      </c>
      <c r="Z467" t="inlineStr">
        <is>
          <t>1987-12-28</t>
        </is>
      </c>
      <c r="AA467" t="n">
        <v>97</v>
      </c>
      <c r="AB467" t="n">
        <v>88</v>
      </c>
      <c r="AC467" t="n">
        <v>91</v>
      </c>
      <c r="AD467" t="n">
        <v>3</v>
      </c>
      <c r="AE467" t="n">
        <v>3</v>
      </c>
      <c r="AF467" t="n">
        <v>5</v>
      </c>
      <c r="AG467" t="n">
        <v>5</v>
      </c>
      <c r="AH467" t="n">
        <v>1</v>
      </c>
      <c r="AI467" t="n">
        <v>1</v>
      </c>
      <c r="AJ467" t="n">
        <v>0</v>
      </c>
      <c r="AK467" t="n">
        <v>0</v>
      </c>
      <c r="AL467" t="n">
        <v>3</v>
      </c>
      <c r="AM467" t="n">
        <v>3</v>
      </c>
      <c r="AN467" t="n">
        <v>1</v>
      </c>
      <c r="AO467" t="n">
        <v>1</v>
      </c>
      <c r="AP467" t="n">
        <v>0</v>
      </c>
      <c r="AQ467" t="n">
        <v>0</v>
      </c>
      <c r="AR467" t="inlineStr">
        <is>
          <t>No</t>
        </is>
      </c>
      <c r="AS467" t="inlineStr">
        <is>
          <t>Yes</t>
        </is>
      </c>
      <c r="AT467">
        <f>HYPERLINK("http://catalog.hathitrust.org/Record/000203596","HathiTrust Record")</f>
        <v/>
      </c>
      <c r="AU467">
        <f>HYPERLINK("https://creighton-primo.hosted.exlibrisgroup.com/primo-explore/search?tab=default_tab&amp;search_scope=EVERYTHING&amp;vid=01CRU&amp;lang=en_US&amp;offset=0&amp;query=any,contains,991001042509702656","Catalog Record")</f>
        <v/>
      </c>
      <c r="AV467">
        <f>HYPERLINK("http://www.worldcat.org/oclc/10098080","WorldCat Record")</f>
        <v/>
      </c>
      <c r="AW467" t="inlineStr">
        <is>
          <t>3488675:eng</t>
        </is>
      </c>
      <c r="AX467" t="inlineStr">
        <is>
          <t>10098080</t>
        </is>
      </c>
      <c r="AY467" t="inlineStr">
        <is>
          <t>991001042509702656</t>
        </is>
      </c>
      <c r="AZ467" t="inlineStr">
        <is>
          <t>991001042509702656</t>
        </is>
      </c>
      <c r="BA467" t="inlineStr">
        <is>
          <t>2264994220002656</t>
        </is>
      </c>
      <c r="BB467" t="inlineStr">
        <is>
          <t>BOOK</t>
        </is>
      </c>
      <c r="BE467" t="inlineStr">
        <is>
          <t>30001000242794</t>
        </is>
      </c>
      <c r="BF467" t="inlineStr">
        <is>
          <t>893278652</t>
        </is>
      </c>
    </row>
    <row r="468">
      <c r="A468" t="inlineStr">
        <is>
          <t>No</t>
        </is>
      </c>
      <c r="B468" t="inlineStr">
        <is>
          <t>CUHSL</t>
        </is>
      </c>
      <c r="C468" t="inlineStr">
        <is>
          <t>SHELVES</t>
        </is>
      </c>
      <c r="D468" t="inlineStr">
        <is>
          <t>WY 19 W519n 1950</t>
        </is>
      </c>
      <c r="E468" t="inlineStr">
        <is>
          <t>0                      WY 0019000W  519n        1950</t>
        </is>
      </c>
      <c r="F468" t="inlineStr">
        <is>
          <t>Nursing schools at the mid-century / a report prepared under the auspices of the Subcommittee on School Data Analysis for the National Committee for the Improvement of Nursing Services, by Margaret West and Christy Hawkins.</t>
        </is>
      </c>
      <c r="H468" t="inlineStr">
        <is>
          <t>No</t>
        </is>
      </c>
      <c r="I468" t="inlineStr">
        <is>
          <t>1</t>
        </is>
      </c>
      <c r="J468" t="inlineStr">
        <is>
          <t>No</t>
        </is>
      </c>
      <c r="K468" t="inlineStr">
        <is>
          <t>No</t>
        </is>
      </c>
      <c r="L468" t="inlineStr">
        <is>
          <t>0</t>
        </is>
      </c>
      <c r="M468" t="inlineStr">
        <is>
          <t>West, Margaret Despard.</t>
        </is>
      </c>
      <c r="N468" t="inlineStr">
        <is>
          <t>New York : National Committee for the Improvement of Nursing Services, 1950.</t>
        </is>
      </c>
      <c r="O468" t="inlineStr">
        <is>
          <t>1950</t>
        </is>
      </c>
      <c r="Q468" t="inlineStr">
        <is>
          <t>eng</t>
        </is>
      </c>
      <c r="R468" t="inlineStr">
        <is>
          <t>nyu</t>
        </is>
      </c>
      <c r="T468" t="inlineStr">
        <is>
          <t xml:space="preserve">WY </t>
        </is>
      </c>
      <c r="U468" t="n">
        <v>1</v>
      </c>
      <c r="V468" t="n">
        <v>1</v>
      </c>
      <c r="W468" t="inlineStr">
        <is>
          <t>1991-12-06</t>
        </is>
      </c>
      <c r="X468" t="inlineStr">
        <is>
          <t>1991-12-06</t>
        </is>
      </c>
      <c r="Y468" t="inlineStr">
        <is>
          <t>1987-11-10</t>
        </is>
      </c>
      <c r="Z468" t="inlineStr">
        <is>
          <t>1987-11-10</t>
        </is>
      </c>
      <c r="AA468" t="n">
        <v>108</v>
      </c>
      <c r="AB468" t="n">
        <v>101</v>
      </c>
      <c r="AC468" t="n">
        <v>108</v>
      </c>
      <c r="AD468" t="n">
        <v>2</v>
      </c>
      <c r="AE468" t="n">
        <v>2</v>
      </c>
      <c r="AF468" t="n">
        <v>7</v>
      </c>
      <c r="AG468" t="n">
        <v>7</v>
      </c>
      <c r="AH468" t="n">
        <v>0</v>
      </c>
      <c r="AI468" t="n">
        <v>0</v>
      </c>
      <c r="AJ468" t="n">
        <v>2</v>
      </c>
      <c r="AK468" t="n">
        <v>2</v>
      </c>
      <c r="AL468" t="n">
        <v>4</v>
      </c>
      <c r="AM468" t="n">
        <v>4</v>
      </c>
      <c r="AN468" t="n">
        <v>1</v>
      </c>
      <c r="AO468" t="n">
        <v>1</v>
      </c>
      <c r="AP468" t="n">
        <v>0</v>
      </c>
      <c r="AQ468" t="n">
        <v>0</v>
      </c>
      <c r="AR468" t="inlineStr">
        <is>
          <t>Yes</t>
        </is>
      </c>
      <c r="AS468" t="inlineStr">
        <is>
          <t>No</t>
        </is>
      </c>
      <c r="AT468">
        <f>HYPERLINK("http://catalog.hathitrust.org/Record/001574567","HathiTrust Record")</f>
        <v/>
      </c>
      <c r="AU468">
        <f>HYPERLINK("https://creighton-primo.hosted.exlibrisgroup.com/primo-explore/search?tab=default_tab&amp;search_scope=EVERYTHING&amp;vid=01CRU&amp;lang=en_US&amp;offset=0&amp;query=any,contains,991000739879702656","Catalog Record")</f>
        <v/>
      </c>
      <c r="AV468">
        <f>HYPERLINK("http://www.worldcat.org/oclc/2004923","WorldCat Record")</f>
        <v/>
      </c>
      <c r="AW468" t="inlineStr">
        <is>
          <t>3901130132:eng</t>
        </is>
      </c>
      <c r="AX468" t="inlineStr">
        <is>
          <t>2004923</t>
        </is>
      </c>
      <c r="AY468" t="inlineStr">
        <is>
          <t>991000739879702656</t>
        </is>
      </c>
      <c r="AZ468" t="inlineStr">
        <is>
          <t>991000739879702656</t>
        </is>
      </c>
      <c r="BA468" t="inlineStr">
        <is>
          <t>2258336930002656</t>
        </is>
      </c>
      <c r="BB468" t="inlineStr">
        <is>
          <t>BOOK</t>
        </is>
      </c>
      <c r="BE468" t="inlineStr">
        <is>
          <t>30001000043119</t>
        </is>
      </c>
      <c r="BF468" t="inlineStr">
        <is>
          <t>893556952</t>
        </is>
      </c>
    </row>
    <row r="469">
      <c r="A469" t="inlineStr">
        <is>
          <t>No</t>
        </is>
      </c>
      <c r="B469" t="inlineStr">
        <is>
          <t>CUHSL</t>
        </is>
      </c>
      <c r="C469" t="inlineStr">
        <is>
          <t>SHELVES</t>
        </is>
      </c>
      <c r="D469" t="inlineStr">
        <is>
          <t>WY 19.4 B116 1966</t>
        </is>
      </c>
      <c r="E469" t="inlineStr">
        <is>
          <t>0                      WY 0019400B  116         1966</t>
        </is>
      </c>
      <c r="F469" t="inlineStr">
        <is>
          <t>Baccalaureate education for the registered nurse student : proceedings of a Department of Baccalaureate and Higher Degree Programs conference held in St. Louis, Missouri, January 20-21, 1966.</t>
        </is>
      </c>
      <c r="H469" t="inlineStr">
        <is>
          <t>No</t>
        </is>
      </c>
      <c r="I469" t="inlineStr">
        <is>
          <t>1</t>
        </is>
      </c>
      <c r="J469" t="inlineStr">
        <is>
          <t>No</t>
        </is>
      </c>
      <c r="K469" t="inlineStr">
        <is>
          <t>No</t>
        </is>
      </c>
      <c r="L469" t="inlineStr">
        <is>
          <t>0</t>
        </is>
      </c>
      <c r="N469" t="inlineStr">
        <is>
          <t>New York : National League for Nursing, Dept. of Baccalaureate and Higher Degree Programs, 1966.</t>
        </is>
      </c>
      <c r="O469" t="inlineStr">
        <is>
          <t>1966</t>
        </is>
      </c>
      <c r="Q469" t="inlineStr">
        <is>
          <t>eng</t>
        </is>
      </c>
      <c r="R469" t="inlineStr">
        <is>
          <t>nyu</t>
        </is>
      </c>
      <c r="S469" t="inlineStr">
        <is>
          <t>NLN pub. no. 15-1236</t>
        </is>
      </c>
      <c r="T469" t="inlineStr">
        <is>
          <t xml:space="preserve">WY </t>
        </is>
      </c>
      <c r="U469" t="n">
        <v>2</v>
      </c>
      <c r="V469" t="n">
        <v>2</v>
      </c>
      <c r="W469" t="inlineStr">
        <is>
          <t>1990-04-06</t>
        </is>
      </c>
      <c r="X469" t="inlineStr">
        <is>
          <t>1990-04-06</t>
        </is>
      </c>
      <c r="Y469" t="inlineStr">
        <is>
          <t>1987-10-20</t>
        </is>
      </c>
      <c r="Z469" t="inlineStr">
        <is>
          <t>1987-10-20</t>
        </is>
      </c>
      <c r="AA469" t="n">
        <v>44</v>
      </c>
      <c r="AB469" t="n">
        <v>40</v>
      </c>
      <c r="AC469" t="n">
        <v>42</v>
      </c>
      <c r="AD469" t="n">
        <v>2</v>
      </c>
      <c r="AE469" t="n">
        <v>2</v>
      </c>
      <c r="AF469" t="n">
        <v>3</v>
      </c>
      <c r="AG469" t="n">
        <v>3</v>
      </c>
      <c r="AH469" t="n">
        <v>1</v>
      </c>
      <c r="AI469" t="n">
        <v>1</v>
      </c>
      <c r="AJ469" t="n">
        <v>0</v>
      </c>
      <c r="AK469" t="n">
        <v>0</v>
      </c>
      <c r="AL469" t="n">
        <v>2</v>
      </c>
      <c r="AM469" t="n">
        <v>2</v>
      </c>
      <c r="AN469" t="n">
        <v>0</v>
      </c>
      <c r="AO469" t="n">
        <v>0</v>
      </c>
      <c r="AP469" t="n">
        <v>0</v>
      </c>
      <c r="AQ469" t="n">
        <v>0</v>
      </c>
      <c r="AR469" t="inlineStr">
        <is>
          <t>No</t>
        </is>
      </c>
      <c r="AS469" t="inlineStr">
        <is>
          <t>Yes</t>
        </is>
      </c>
      <c r="AT469">
        <f>HYPERLINK("http://catalog.hathitrust.org/Record/001574598","HathiTrust Record")</f>
        <v/>
      </c>
      <c r="AU469">
        <f>HYPERLINK("https://creighton-primo.hosted.exlibrisgroup.com/primo-explore/search?tab=default_tab&amp;search_scope=EVERYTHING&amp;vid=01CRU&amp;lang=en_US&amp;offset=0&amp;query=any,contains,991001365269702656","Catalog Record")</f>
        <v/>
      </c>
      <c r="AV469">
        <f>HYPERLINK("http://www.worldcat.org/oclc/4296272","WorldCat Record")</f>
        <v/>
      </c>
      <c r="AW469" t="inlineStr">
        <is>
          <t>14616118:eng</t>
        </is>
      </c>
      <c r="AX469" t="inlineStr">
        <is>
          <t>4296272</t>
        </is>
      </c>
      <c r="AY469" t="inlineStr">
        <is>
          <t>991001365269702656</t>
        </is>
      </c>
      <c r="AZ469" t="inlineStr">
        <is>
          <t>991001365269702656</t>
        </is>
      </c>
      <c r="BA469" t="inlineStr">
        <is>
          <t>2272421390002656</t>
        </is>
      </c>
      <c r="BB469" t="inlineStr">
        <is>
          <t>BOOK</t>
        </is>
      </c>
      <c r="BE469" t="inlineStr">
        <is>
          <t>30001000461220</t>
        </is>
      </c>
      <c r="BF469" t="inlineStr">
        <is>
          <t>893161916</t>
        </is>
      </c>
    </row>
    <row r="470">
      <c r="A470" t="inlineStr">
        <is>
          <t>No</t>
        </is>
      </c>
      <c r="B470" t="inlineStr">
        <is>
          <t>CUHSL</t>
        </is>
      </c>
      <c r="C470" t="inlineStr">
        <is>
          <t>SHELVES</t>
        </is>
      </c>
      <c r="D470" t="inlineStr">
        <is>
          <t>WY 20 A172 1975</t>
        </is>
      </c>
      <c r="E470" t="inlineStr">
        <is>
          <t>0                      WY 0020000A  172         1975</t>
        </is>
      </c>
      <c r="F470" t="inlineStr">
        <is>
          <t>Accountability, accepting the challenge.</t>
        </is>
      </c>
      <c r="H470" t="inlineStr">
        <is>
          <t>No</t>
        </is>
      </c>
      <c r="I470" t="inlineStr">
        <is>
          <t>1</t>
        </is>
      </c>
      <c r="J470" t="inlineStr">
        <is>
          <t>No</t>
        </is>
      </c>
      <c r="K470" t="inlineStr">
        <is>
          <t>No</t>
        </is>
      </c>
      <c r="L470" t="inlineStr">
        <is>
          <t>0</t>
        </is>
      </c>
      <c r="N470" t="inlineStr">
        <is>
          <t>New York : National League for Nursing, c1976.</t>
        </is>
      </c>
      <c r="O470" t="inlineStr">
        <is>
          <t>1975</t>
        </is>
      </c>
      <c r="Q470" t="inlineStr">
        <is>
          <t>eng</t>
        </is>
      </c>
      <c r="R470" t="inlineStr">
        <is>
          <t>nyu</t>
        </is>
      </c>
      <c r="S470" t="inlineStr">
        <is>
          <t>NLN pub. no. 16-1621</t>
        </is>
      </c>
      <c r="T470" t="inlineStr">
        <is>
          <t xml:space="preserve">WY </t>
        </is>
      </c>
      <c r="U470" t="n">
        <v>1</v>
      </c>
      <c r="V470" t="n">
        <v>1</v>
      </c>
      <c r="W470" t="inlineStr">
        <is>
          <t>2003-02-11</t>
        </is>
      </c>
      <c r="X470" t="inlineStr">
        <is>
          <t>2003-02-11</t>
        </is>
      </c>
      <c r="Y470" t="inlineStr">
        <is>
          <t>1987-10-29</t>
        </is>
      </c>
      <c r="Z470" t="inlineStr">
        <is>
          <t>1987-10-29</t>
        </is>
      </c>
      <c r="AA470" t="n">
        <v>104</v>
      </c>
      <c r="AB470" t="n">
        <v>91</v>
      </c>
      <c r="AC470" t="n">
        <v>93</v>
      </c>
      <c r="AD470" t="n">
        <v>2</v>
      </c>
      <c r="AE470" t="n">
        <v>2</v>
      </c>
      <c r="AF470" t="n">
        <v>4</v>
      </c>
      <c r="AG470" t="n">
        <v>4</v>
      </c>
      <c r="AH470" t="n">
        <v>1</v>
      </c>
      <c r="AI470" t="n">
        <v>1</v>
      </c>
      <c r="AJ470" t="n">
        <v>0</v>
      </c>
      <c r="AK470" t="n">
        <v>0</v>
      </c>
      <c r="AL470" t="n">
        <v>2</v>
      </c>
      <c r="AM470" t="n">
        <v>2</v>
      </c>
      <c r="AN470" t="n">
        <v>1</v>
      </c>
      <c r="AO470" t="n">
        <v>1</v>
      </c>
      <c r="AP470" t="n">
        <v>0</v>
      </c>
      <c r="AQ470" t="n">
        <v>0</v>
      </c>
      <c r="AR470" t="inlineStr">
        <is>
          <t>No</t>
        </is>
      </c>
      <c r="AS470" t="inlineStr">
        <is>
          <t>Yes</t>
        </is>
      </c>
      <c r="AT470">
        <f>HYPERLINK("http://catalog.hathitrust.org/Record/000744661","HathiTrust Record")</f>
        <v/>
      </c>
      <c r="AU470">
        <f>HYPERLINK("https://creighton-primo.hosted.exlibrisgroup.com/primo-explore/search?tab=default_tab&amp;search_scope=EVERYTHING&amp;vid=01CRU&amp;lang=en_US&amp;offset=0&amp;query=any,contains,991001376319702656","Catalog Record")</f>
        <v/>
      </c>
      <c r="AV470">
        <f>HYPERLINK("http://www.worldcat.org/oclc/2454890","WorldCat Record")</f>
        <v/>
      </c>
      <c r="AW470" t="inlineStr">
        <is>
          <t>4870819:eng</t>
        </is>
      </c>
      <c r="AX470" t="inlineStr">
        <is>
          <t>2454890</t>
        </is>
      </c>
      <c r="AY470" t="inlineStr">
        <is>
          <t>991001376319702656</t>
        </is>
      </c>
      <c r="AZ470" t="inlineStr">
        <is>
          <t>991001376319702656</t>
        </is>
      </c>
      <c r="BA470" t="inlineStr">
        <is>
          <t>2270348230002656</t>
        </is>
      </c>
      <c r="BB470" t="inlineStr">
        <is>
          <t>BOOK</t>
        </is>
      </c>
      <c r="BE470" t="inlineStr">
        <is>
          <t>30001000462285</t>
        </is>
      </c>
      <c r="BF470" t="inlineStr">
        <is>
          <t>893465443</t>
        </is>
      </c>
    </row>
    <row r="471">
      <c r="A471" t="inlineStr">
        <is>
          <t>No</t>
        </is>
      </c>
      <c r="B471" t="inlineStr">
        <is>
          <t>CUHSL</t>
        </is>
      </c>
      <c r="C471" t="inlineStr">
        <is>
          <t>SHELVES</t>
        </is>
      </c>
      <c r="D471" t="inlineStr">
        <is>
          <t>WY 20 A1721 1977</t>
        </is>
      </c>
      <c r="E471" t="inlineStr">
        <is>
          <t>0                      WY 0020000A  1721        1977</t>
        </is>
      </c>
      <c r="F471" t="inlineStr">
        <is>
          <t>Accountability : the obligation of the educational institution to the consumer.</t>
        </is>
      </c>
      <c r="H471" t="inlineStr">
        <is>
          <t>No</t>
        </is>
      </c>
      <c r="I471" t="inlineStr">
        <is>
          <t>1</t>
        </is>
      </c>
      <c r="J471" t="inlineStr">
        <is>
          <t>No</t>
        </is>
      </c>
      <c r="K471" t="inlineStr">
        <is>
          <t>No</t>
        </is>
      </c>
      <c r="L471" t="inlineStr">
        <is>
          <t>0</t>
        </is>
      </c>
      <c r="N471" t="inlineStr">
        <is>
          <t>New York : National League for Nursing, c1977.</t>
        </is>
      </c>
      <c r="O471" t="inlineStr">
        <is>
          <t>1977</t>
        </is>
      </c>
      <c r="Q471" t="inlineStr">
        <is>
          <t>eng</t>
        </is>
      </c>
      <c r="R471" t="inlineStr">
        <is>
          <t>nyu</t>
        </is>
      </c>
      <c r="S471" t="inlineStr">
        <is>
          <t>NLN pub. no. 23-1690</t>
        </is>
      </c>
      <c r="T471" t="inlineStr">
        <is>
          <t xml:space="preserve">WY </t>
        </is>
      </c>
      <c r="U471" t="n">
        <v>1</v>
      </c>
      <c r="V471" t="n">
        <v>1</v>
      </c>
      <c r="W471" t="inlineStr">
        <is>
          <t>1990-07-11</t>
        </is>
      </c>
      <c r="X471" t="inlineStr">
        <is>
          <t>1990-07-11</t>
        </is>
      </c>
      <c r="Y471" t="inlineStr">
        <is>
          <t>1987-11-05</t>
        </is>
      </c>
      <c r="Z471" t="inlineStr">
        <is>
          <t>1987-11-05</t>
        </is>
      </c>
      <c r="AA471" t="n">
        <v>75</v>
      </c>
      <c r="AB471" t="n">
        <v>65</v>
      </c>
      <c r="AC471" t="n">
        <v>67</v>
      </c>
      <c r="AD471" t="n">
        <v>1</v>
      </c>
      <c r="AE471" t="n">
        <v>1</v>
      </c>
      <c r="AF471" t="n">
        <v>2</v>
      </c>
      <c r="AG471" t="n">
        <v>2</v>
      </c>
      <c r="AH471" t="n">
        <v>0</v>
      </c>
      <c r="AI471" t="n">
        <v>0</v>
      </c>
      <c r="AJ471" t="n">
        <v>0</v>
      </c>
      <c r="AK471" t="n">
        <v>0</v>
      </c>
      <c r="AL471" t="n">
        <v>2</v>
      </c>
      <c r="AM471" t="n">
        <v>2</v>
      </c>
      <c r="AN471" t="n">
        <v>0</v>
      </c>
      <c r="AO471" t="n">
        <v>0</v>
      </c>
      <c r="AP471" t="n">
        <v>0</v>
      </c>
      <c r="AQ471" t="n">
        <v>0</v>
      </c>
      <c r="AR471" t="inlineStr">
        <is>
          <t>No</t>
        </is>
      </c>
      <c r="AS471" t="inlineStr">
        <is>
          <t>Yes</t>
        </is>
      </c>
      <c r="AT471">
        <f>HYPERLINK("http://catalog.hathitrust.org/Record/001545321","HathiTrust Record")</f>
        <v/>
      </c>
      <c r="AU471">
        <f>HYPERLINK("https://creighton-primo.hosted.exlibrisgroup.com/primo-explore/search?tab=default_tab&amp;search_scope=EVERYTHING&amp;vid=01CRU&amp;lang=en_US&amp;offset=0&amp;query=any,contains,991001388139702656","Catalog Record")</f>
        <v/>
      </c>
      <c r="AV471">
        <f>HYPERLINK("http://www.worldcat.org/oclc/3441808","WorldCat Record")</f>
        <v/>
      </c>
      <c r="AW471" t="inlineStr">
        <is>
          <t>132087196:eng</t>
        </is>
      </c>
      <c r="AX471" t="inlineStr">
        <is>
          <t>3441808</t>
        </is>
      </c>
      <c r="AY471" t="inlineStr">
        <is>
          <t>991001388139702656</t>
        </is>
      </c>
      <c r="AZ471" t="inlineStr">
        <is>
          <t>991001388139702656</t>
        </is>
      </c>
      <c r="BA471" t="inlineStr">
        <is>
          <t>2268485700002656</t>
        </is>
      </c>
      <c r="BB471" t="inlineStr">
        <is>
          <t>BOOK</t>
        </is>
      </c>
      <c r="BE471" t="inlineStr">
        <is>
          <t>30001000464240</t>
        </is>
      </c>
      <c r="BF471" t="inlineStr">
        <is>
          <t>893649150</t>
        </is>
      </c>
    </row>
    <row r="472">
      <c r="A472" t="inlineStr">
        <is>
          <t>No</t>
        </is>
      </c>
      <c r="B472" t="inlineStr">
        <is>
          <t>CUHSL</t>
        </is>
      </c>
      <c r="C472" t="inlineStr">
        <is>
          <t>SHELVES</t>
        </is>
      </c>
      <c r="D472" t="inlineStr">
        <is>
          <t>WY 20 C912e 1978</t>
        </is>
      </c>
      <c r="E472" t="inlineStr">
        <is>
          <t>0                      WY 0020000C  912e        1978</t>
        </is>
      </c>
      <c r="F472" t="inlineStr">
        <is>
          <t>Effects of external funding on instructional components of baccalaureate and higher degree nursing programs / Nancy S. Creason.</t>
        </is>
      </c>
      <c r="H472" t="inlineStr">
        <is>
          <t>No</t>
        </is>
      </c>
      <c r="I472" t="inlineStr">
        <is>
          <t>1</t>
        </is>
      </c>
      <c r="J472" t="inlineStr">
        <is>
          <t>No</t>
        </is>
      </c>
      <c r="K472" t="inlineStr">
        <is>
          <t>No</t>
        </is>
      </c>
      <c r="L472" t="inlineStr">
        <is>
          <t>0</t>
        </is>
      </c>
      <c r="M472" t="inlineStr">
        <is>
          <t>Creason, Nancy S.</t>
        </is>
      </c>
      <c r="N472" t="inlineStr">
        <is>
          <t>New York : National League for Nursing, c1978.</t>
        </is>
      </c>
      <c r="O472" t="inlineStr">
        <is>
          <t>1978</t>
        </is>
      </c>
      <c r="Q472" t="inlineStr">
        <is>
          <t>eng</t>
        </is>
      </c>
      <c r="R472" t="inlineStr">
        <is>
          <t>nyu</t>
        </is>
      </c>
      <c r="S472" t="inlineStr">
        <is>
          <t>League exchange ; no. 119</t>
        </is>
      </c>
      <c r="T472" t="inlineStr">
        <is>
          <t xml:space="preserve">WY </t>
        </is>
      </c>
      <c r="U472" t="n">
        <v>1</v>
      </c>
      <c r="V472" t="n">
        <v>1</v>
      </c>
      <c r="W472" t="inlineStr">
        <is>
          <t>1990-06-12</t>
        </is>
      </c>
      <c r="X472" t="inlineStr">
        <is>
          <t>1990-06-12</t>
        </is>
      </c>
      <c r="Y472" t="inlineStr">
        <is>
          <t>1987-10-29</t>
        </is>
      </c>
      <c r="Z472" t="inlineStr">
        <is>
          <t>1987-10-29</t>
        </is>
      </c>
      <c r="AA472" t="n">
        <v>89</v>
      </c>
      <c r="AB472" t="n">
        <v>80</v>
      </c>
      <c r="AC472" t="n">
        <v>82</v>
      </c>
      <c r="AD472" t="n">
        <v>1</v>
      </c>
      <c r="AE472" t="n">
        <v>1</v>
      </c>
      <c r="AF472" t="n">
        <v>2</v>
      </c>
      <c r="AG472" t="n">
        <v>2</v>
      </c>
      <c r="AH472" t="n">
        <v>0</v>
      </c>
      <c r="AI472" t="n">
        <v>0</v>
      </c>
      <c r="AJ472" t="n">
        <v>0</v>
      </c>
      <c r="AK472" t="n">
        <v>0</v>
      </c>
      <c r="AL472" t="n">
        <v>2</v>
      </c>
      <c r="AM472" t="n">
        <v>2</v>
      </c>
      <c r="AN472" t="n">
        <v>0</v>
      </c>
      <c r="AO472" t="n">
        <v>0</v>
      </c>
      <c r="AP472" t="n">
        <v>0</v>
      </c>
      <c r="AQ472" t="n">
        <v>0</v>
      </c>
      <c r="AR472" t="inlineStr">
        <is>
          <t>No</t>
        </is>
      </c>
      <c r="AS472" t="inlineStr">
        <is>
          <t>Yes</t>
        </is>
      </c>
      <c r="AT472">
        <f>HYPERLINK("http://catalog.hathitrust.org/Record/000220701","HathiTrust Record")</f>
        <v/>
      </c>
      <c r="AU472">
        <f>HYPERLINK("https://creighton-primo.hosted.exlibrisgroup.com/primo-explore/search?tab=default_tab&amp;search_scope=EVERYTHING&amp;vid=01CRU&amp;lang=en_US&amp;offset=0&amp;query=any,contains,991001370879702656","Catalog Record")</f>
        <v/>
      </c>
      <c r="AV472">
        <f>HYPERLINK("http://www.worldcat.org/oclc/4443496","WorldCat Record")</f>
        <v/>
      </c>
      <c r="AW472" t="inlineStr">
        <is>
          <t>3858384481:eng</t>
        </is>
      </c>
      <c r="AX472" t="inlineStr">
        <is>
          <t>4443496</t>
        </is>
      </c>
      <c r="AY472" t="inlineStr">
        <is>
          <t>991001370879702656</t>
        </is>
      </c>
      <c r="AZ472" t="inlineStr">
        <is>
          <t>991001370879702656</t>
        </is>
      </c>
      <c r="BA472" t="inlineStr">
        <is>
          <t>2268978910002656</t>
        </is>
      </c>
      <c r="BB472" t="inlineStr">
        <is>
          <t>BOOK</t>
        </is>
      </c>
      <c r="BE472" t="inlineStr">
        <is>
          <t>30001000461774</t>
        </is>
      </c>
      <c r="BF472" t="inlineStr">
        <is>
          <t>893284732</t>
        </is>
      </c>
    </row>
    <row r="473">
      <c r="A473" t="inlineStr">
        <is>
          <t>No</t>
        </is>
      </c>
      <c r="B473" t="inlineStr">
        <is>
          <t>CUHSL</t>
        </is>
      </c>
      <c r="C473" t="inlineStr">
        <is>
          <t>SHELVES</t>
        </is>
      </c>
      <c r="D473" t="inlineStr">
        <is>
          <t>WY 20 D294 1977</t>
        </is>
      </c>
      <c r="E473" t="inlineStr">
        <is>
          <t>0                      WY 0020000D  294         1977</t>
        </is>
      </c>
      <c r="F473" t="inlineStr">
        <is>
          <t>Decision making within the academic environment.</t>
        </is>
      </c>
      <c r="H473" t="inlineStr">
        <is>
          <t>No</t>
        </is>
      </c>
      <c r="I473" t="inlineStr">
        <is>
          <t>1</t>
        </is>
      </c>
      <c r="J473" t="inlineStr">
        <is>
          <t>No</t>
        </is>
      </c>
      <c r="K473" t="inlineStr">
        <is>
          <t>No</t>
        </is>
      </c>
      <c r="L473" t="inlineStr">
        <is>
          <t>0</t>
        </is>
      </c>
      <c r="N473" t="inlineStr">
        <is>
          <t>New York : National League for Nursing, c1978.</t>
        </is>
      </c>
      <c r="O473" t="inlineStr">
        <is>
          <t>1977</t>
        </is>
      </c>
      <c r="Q473" t="inlineStr">
        <is>
          <t>eng</t>
        </is>
      </c>
      <c r="R473" t="inlineStr">
        <is>
          <t>nyu</t>
        </is>
      </c>
      <c r="S473" t="inlineStr">
        <is>
          <t>NLN pub. no. 15-1719</t>
        </is>
      </c>
      <c r="T473" t="inlineStr">
        <is>
          <t xml:space="preserve">WY </t>
        </is>
      </c>
      <c r="U473" t="n">
        <v>2</v>
      </c>
      <c r="V473" t="n">
        <v>2</v>
      </c>
      <c r="W473" t="inlineStr">
        <is>
          <t>1990-06-12</t>
        </is>
      </c>
      <c r="X473" t="inlineStr">
        <is>
          <t>1990-06-12</t>
        </is>
      </c>
      <c r="Y473" t="inlineStr">
        <is>
          <t>1987-10-29</t>
        </is>
      </c>
      <c r="Z473" t="inlineStr">
        <is>
          <t>1987-10-29</t>
        </is>
      </c>
      <c r="AA473" t="n">
        <v>106</v>
      </c>
      <c r="AB473" t="n">
        <v>94</v>
      </c>
      <c r="AC473" t="n">
        <v>96</v>
      </c>
      <c r="AD473" t="n">
        <v>1</v>
      </c>
      <c r="AE473" t="n">
        <v>1</v>
      </c>
      <c r="AF473" t="n">
        <v>2</v>
      </c>
      <c r="AG473" t="n">
        <v>2</v>
      </c>
      <c r="AH473" t="n">
        <v>0</v>
      </c>
      <c r="AI473" t="n">
        <v>0</v>
      </c>
      <c r="AJ473" t="n">
        <v>0</v>
      </c>
      <c r="AK473" t="n">
        <v>0</v>
      </c>
      <c r="AL473" t="n">
        <v>2</v>
      </c>
      <c r="AM473" t="n">
        <v>2</v>
      </c>
      <c r="AN473" t="n">
        <v>0</v>
      </c>
      <c r="AO473" t="n">
        <v>0</v>
      </c>
      <c r="AP473" t="n">
        <v>0</v>
      </c>
      <c r="AQ473" t="n">
        <v>0</v>
      </c>
      <c r="AR473" t="inlineStr">
        <is>
          <t>No</t>
        </is>
      </c>
      <c r="AS473" t="inlineStr">
        <is>
          <t>Yes</t>
        </is>
      </c>
      <c r="AT473">
        <f>HYPERLINK("http://catalog.hathitrust.org/Record/000689970","HathiTrust Record")</f>
        <v/>
      </c>
      <c r="AU473">
        <f>HYPERLINK("https://creighton-primo.hosted.exlibrisgroup.com/primo-explore/search?tab=default_tab&amp;search_scope=EVERYTHING&amp;vid=01CRU&amp;lang=en_US&amp;offset=0&amp;query=any,contains,991001370799702656","Catalog Record")</f>
        <v/>
      </c>
      <c r="AV473">
        <f>HYPERLINK("http://www.worldcat.org/oclc/4468359","WorldCat Record")</f>
        <v/>
      </c>
      <c r="AW473" t="inlineStr">
        <is>
          <t>14685471:eng</t>
        </is>
      </c>
      <c r="AX473" t="inlineStr">
        <is>
          <t>4468359</t>
        </is>
      </c>
      <c r="AY473" t="inlineStr">
        <is>
          <t>991001370799702656</t>
        </is>
      </c>
      <c r="AZ473" t="inlineStr">
        <is>
          <t>991001370799702656</t>
        </is>
      </c>
      <c r="BA473" t="inlineStr">
        <is>
          <t>2268622790002656</t>
        </is>
      </c>
      <c r="BB473" t="inlineStr">
        <is>
          <t>BOOK</t>
        </is>
      </c>
      <c r="BE473" t="inlineStr">
        <is>
          <t>30001000461758</t>
        </is>
      </c>
      <c r="BF473" t="inlineStr">
        <is>
          <t>893741077</t>
        </is>
      </c>
    </row>
    <row r="474">
      <c r="A474" t="inlineStr">
        <is>
          <t>No</t>
        </is>
      </c>
      <c r="B474" t="inlineStr">
        <is>
          <t>CUHSL</t>
        </is>
      </c>
      <c r="C474" t="inlineStr">
        <is>
          <t>SHELVES</t>
        </is>
      </c>
      <c r="D474" t="inlineStr">
        <is>
          <t>WY 20 F491 1974</t>
        </is>
      </c>
      <c r="E474" t="inlineStr">
        <is>
          <t>0                      WY 0020000F  491         1974</t>
        </is>
      </c>
      <c r="F474" t="inlineStr">
        <is>
          <t>Financial management for schools of nursing : papers presented at the 1973-74 regional workshops sponsored by the Council of Diploma Programs held in Cincinnati, Chicago and New York.</t>
        </is>
      </c>
      <c r="H474" t="inlineStr">
        <is>
          <t>No</t>
        </is>
      </c>
      <c r="I474" t="inlineStr">
        <is>
          <t>1</t>
        </is>
      </c>
      <c r="J474" t="inlineStr">
        <is>
          <t>No</t>
        </is>
      </c>
      <c r="K474" t="inlineStr">
        <is>
          <t>No</t>
        </is>
      </c>
      <c r="L474" t="inlineStr">
        <is>
          <t>0</t>
        </is>
      </c>
      <c r="N474" t="inlineStr">
        <is>
          <t>New York : Dept. of Diploma Programs, National League for Nursing, 1974.</t>
        </is>
      </c>
      <c r="O474" t="inlineStr">
        <is>
          <t>1974</t>
        </is>
      </c>
      <c r="Q474" t="inlineStr">
        <is>
          <t>eng</t>
        </is>
      </c>
      <c r="R474" t="inlineStr">
        <is>
          <t>nyu</t>
        </is>
      </c>
      <c r="S474" t="inlineStr">
        <is>
          <t>NLN pub. no. 16-1549</t>
        </is>
      </c>
      <c r="T474" t="inlineStr">
        <is>
          <t xml:space="preserve">WY </t>
        </is>
      </c>
      <c r="U474" t="n">
        <v>2</v>
      </c>
      <c r="V474" t="n">
        <v>2</v>
      </c>
      <c r="W474" t="inlineStr">
        <is>
          <t>1990-06-12</t>
        </is>
      </c>
      <c r="X474" t="inlineStr">
        <is>
          <t>1990-06-12</t>
        </is>
      </c>
      <c r="Y474" t="inlineStr">
        <is>
          <t>1987-10-29</t>
        </is>
      </c>
      <c r="Z474" t="inlineStr">
        <is>
          <t>1987-10-29</t>
        </is>
      </c>
      <c r="AA474" t="n">
        <v>66</v>
      </c>
      <c r="AB474" t="n">
        <v>62</v>
      </c>
      <c r="AC474" t="n">
        <v>64</v>
      </c>
      <c r="AD474" t="n">
        <v>1</v>
      </c>
      <c r="AE474" t="n">
        <v>1</v>
      </c>
      <c r="AF474" t="n">
        <v>4</v>
      </c>
      <c r="AG474" t="n">
        <v>4</v>
      </c>
      <c r="AH474" t="n">
        <v>1</v>
      </c>
      <c r="AI474" t="n">
        <v>1</v>
      </c>
      <c r="AJ474" t="n">
        <v>2</v>
      </c>
      <c r="AK474" t="n">
        <v>2</v>
      </c>
      <c r="AL474" t="n">
        <v>2</v>
      </c>
      <c r="AM474" t="n">
        <v>2</v>
      </c>
      <c r="AN474" t="n">
        <v>0</v>
      </c>
      <c r="AO474" t="n">
        <v>0</v>
      </c>
      <c r="AP474" t="n">
        <v>0</v>
      </c>
      <c r="AQ474" t="n">
        <v>0</v>
      </c>
      <c r="AR474" t="inlineStr">
        <is>
          <t>No</t>
        </is>
      </c>
      <c r="AS474" t="inlineStr">
        <is>
          <t>Yes</t>
        </is>
      </c>
      <c r="AT474">
        <f>HYPERLINK("http://catalog.hathitrust.org/Record/001574577","HathiTrust Record")</f>
        <v/>
      </c>
      <c r="AU474">
        <f>HYPERLINK("https://creighton-primo.hosted.exlibrisgroup.com/primo-explore/search?tab=default_tab&amp;search_scope=EVERYTHING&amp;vid=01CRU&amp;lang=en_US&amp;offset=0&amp;query=any,contains,991001376169702656","Catalog Record")</f>
        <v/>
      </c>
      <c r="AV474">
        <f>HYPERLINK("http://www.worldcat.org/oclc/3120126","WorldCat Record")</f>
        <v/>
      </c>
      <c r="AW474" t="inlineStr">
        <is>
          <t>8104565:eng</t>
        </is>
      </c>
      <c r="AX474" t="inlineStr">
        <is>
          <t>3120126</t>
        </is>
      </c>
      <c r="AY474" t="inlineStr">
        <is>
          <t>991001376169702656</t>
        </is>
      </c>
      <c r="AZ474" t="inlineStr">
        <is>
          <t>991001376169702656</t>
        </is>
      </c>
      <c r="BA474" t="inlineStr">
        <is>
          <t>2263976980002656</t>
        </is>
      </c>
      <c r="BB474" t="inlineStr">
        <is>
          <t>BOOK</t>
        </is>
      </c>
      <c r="BE474" t="inlineStr">
        <is>
          <t>30001000462236</t>
        </is>
      </c>
      <c r="BF474" t="inlineStr">
        <is>
          <t>893274057</t>
        </is>
      </c>
    </row>
    <row r="475">
      <c r="A475" t="inlineStr">
        <is>
          <t>No</t>
        </is>
      </c>
      <c r="B475" t="inlineStr">
        <is>
          <t>CUHSL</t>
        </is>
      </c>
      <c r="C475" t="inlineStr">
        <is>
          <t>SHELVES</t>
        </is>
      </c>
      <c r="D475" t="inlineStr">
        <is>
          <t>WY 20 F559f 2000</t>
        </is>
      </c>
      <c r="E475" t="inlineStr">
        <is>
          <t>0                      WY 0020000F  559f        2000</t>
        </is>
      </c>
      <c r="F475" t="inlineStr">
        <is>
          <t>Fundraising skills for health care executives / Joyce J. Fitzpatrick, Sandra S. Deller.</t>
        </is>
      </c>
      <c r="H475" t="inlineStr">
        <is>
          <t>No</t>
        </is>
      </c>
      <c r="I475" t="inlineStr">
        <is>
          <t>1</t>
        </is>
      </c>
      <c r="J475" t="inlineStr">
        <is>
          <t>No</t>
        </is>
      </c>
      <c r="K475" t="inlineStr">
        <is>
          <t>No</t>
        </is>
      </c>
      <c r="L475" t="inlineStr">
        <is>
          <t>1</t>
        </is>
      </c>
      <c r="M475" t="inlineStr">
        <is>
          <t>Fitzpatrick, Joyce J., 1944-</t>
        </is>
      </c>
      <c r="N475" t="inlineStr">
        <is>
          <t>New York : Springer Pub., c2000.</t>
        </is>
      </c>
      <c r="O475" t="inlineStr">
        <is>
          <t>2000</t>
        </is>
      </c>
      <c r="Q475" t="inlineStr">
        <is>
          <t>eng</t>
        </is>
      </c>
      <c r="R475" t="inlineStr">
        <is>
          <t>nyu</t>
        </is>
      </c>
      <c r="T475" t="inlineStr">
        <is>
          <t xml:space="preserve">WY </t>
        </is>
      </c>
      <c r="U475" t="n">
        <v>0</v>
      </c>
      <c r="V475" t="n">
        <v>0</v>
      </c>
      <c r="W475" t="inlineStr">
        <is>
          <t>2003-10-28</t>
        </is>
      </c>
      <c r="X475" t="inlineStr">
        <is>
          <t>2003-10-28</t>
        </is>
      </c>
      <c r="Y475" t="inlineStr">
        <is>
          <t>2003-10-17</t>
        </is>
      </c>
      <c r="Z475" t="inlineStr">
        <is>
          <t>2003-10-17</t>
        </is>
      </c>
      <c r="AA475" t="n">
        <v>166</v>
      </c>
      <c r="AB475" t="n">
        <v>150</v>
      </c>
      <c r="AC475" t="n">
        <v>1163</v>
      </c>
      <c r="AD475" t="n">
        <v>1</v>
      </c>
      <c r="AE475" t="n">
        <v>14</v>
      </c>
      <c r="AF475" t="n">
        <v>4</v>
      </c>
      <c r="AG475" t="n">
        <v>43</v>
      </c>
      <c r="AH475" t="n">
        <v>2</v>
      </c>
      <c r="AI475" t="n">
        <v>14</v>
      </c>
      <c r="AJ475" t="n">
        <v>1</v>
      </c>
      <c r="AK475" t="n">
        <v>9</v>
      </c>
      <c r="AL475" t="n">
        <v>1</v>
      </c>
      <c r="AM475" t="n">
        <v>12</v>
      </c>
      <c r="AN475" t="n">
        <v>0</v>
      </c>
      <c r="AO475" t="n">
        <v>12</v>
      </c>
      <c r="AP475" t="n">
        <v>0</v>
      </c>
      <c r="AQ475" t="n">
        <v>2</v>
      </c>
      <c r="AR475" t="inlineStr">
        <is>
          <t>No</t>
        </is>
      </c>
      <c r="AS475" t="inlineStr">
        <is>
          <t>Yes</t>
        </is>
      </c>
      <c r="AT475">
        <f>HYPERLINK("http://catalog.hathitrust.org/Record/004134828","HathiTrust Record")</f>
        <v/>
      </c>
      <c r="AU475">
        <f>HYPERLINK("https://creighton-primo.hosted.exlibrisgroup.com/primo-explore/search?tab=default_tab&amp;search_scope=EVERYTHING&amp;vid=01CRU&amp;lang=en_US&amp;offset=0&amp;query=any,contains,991000359079702656","Catalog Record")</f>
        <v/>
      </c>
      <c r="AV475">
        <f>HYPERLINK("http://www.worldcat.org/oclc/44634317","WorldCat Record")</f>
        <v/>
      </c>
      <c r="AW475" t="inlineStr">
        <is>
          <t>966457:eng</t>
        </is>
      </c>
      <c r="AX475" t="inlineStr">
        <is>
          <t>44634317</t>
        </is>
      </c>
      <c r="AY475" t="inlineStr">
        <is>
          <t>991000359079702656</t>
        </is>
      </c>
      <c r="AZ475" t="inlineStr">
        <is>
          <t>991000359079702656</t>
        </is>
      </c>
      <c r="BA475" t="inlineStr">
        <is>
          <t>2257292030002656</t>
        </is>
      </c>
      <c r="BB475" t="inlineStr">
        <is>
          <t>BOOK</t>
        </is>
      </c>
      <c r="BD475" t="inlineStr">
        <is>
          <t>9780826113672</t>
        </is>
      </c>
      <c r="BE475" t="inlineStr">
        <is>
          <t>30001004218139</t>
        </is>
      </c>
      <c r="BF475" t="inlineStr">
        <is>
          <t>893461413</t>
        </is>
      </c>
    </row>
    <row r="476">
      <c r="A476" t="inlineStr">
        <is>
          <t>No</t>
        </is>
      </c>
      <c r="B476" t="inlineStr">
        <is>
          <t>CUHSL</t>
        </is>
      </c>
      <c r="C476" t="inlineStr">
        <is>
          <t>SHELVES</t>
        </is>
      </c>
      <c r="D476" t="inlineStr">
        <is>
          <t>WY 20 H112p 1978</t>
        </is>
      </c>
      <c r="E476" t="inlineStr">
        <is>
          <t>0                      WY 0020000H  112p        1978</t>
        </is>
      </c>
      <c r="F476" t="inlineStr">
        <is>
          <t>Political crisis in associate degree nursing education : implications for the college administrator / Patricia T. Haase.</t>
        </is>
      </c>
      <c r="H476" t="inlineStr">
        <is>
          <t>No</t>
        </is>
      </c>
      <c r="I476" t="inlineStr">
        <is>
          <t>1</t>
        </is>
      </c>
      <c r="J476" t="inlineStr">
        <is>
          <t>No</t>
        </is>
      </c>
      <c r="K476" t="inlineStr">
        <is>
          <t>No</t>
        </is>
      </c>
      <c r="L476" t="inlineStr">
        <is>
          <t>0</t>
        </is>
      </c>
      <c r="M476" t="inlineStr">
        <is>
          <t>Haase, Patricia T.</t>
        </is>
      </c>
      <c r="N476" t="inlineStr">
        <is>
          <t>New York : National League for Nursing, c1978.</t>
        </is>
      </c>
      <c r="O476" t="inlineStr">
        <is>
          <t>1978</t>
        </is>
      </c>
      <c r="Q476" t="inlineStr">
        <is>
          <t>eng</t>
        </is>
      </c>
      <c r="R476" t="inlineStr">
        <is>
          <t>nyu</t>
        </is>
      </c>
      <c r="S476" t="inlineStr">
        <is>
          <t>NLN pub. no. 23-1733</t>
        </is>
      </c>
      <c r="T476" t="inlineStr">
        <is>
          <t xml:space="preserve">WY </t>
        </is>
      </c>
      <c r="U476" t="n">
        <v>2</v>
      </c>
      <c r="V476" t="n">
        <v>2</v>
      </c>
      <c r="W476" t="inlineStr">
        <is>
          <t>1990-06-15</t>
        </is>
      </c>
      <c r="X476" t="inlineStr">
        <is>
          <t>1990-06-15</t>
        </is>
      </c>
      <c r="Y476" t="inlineStr">
        <is>
          <t>1987-11-09</t>
        </is>
      </c>
      <c r="Z476" t="inlineStr">
        <is>
          <t>1987-11-09</t>
        </is>
      </c>
      <c r="AA476" t="n">
        <v>71</v>
      </c>
      <c r="AB476" t="n">
        <v>64</v>
      </c>
      <c r="AC476" t="n">
        <v>70</v>
      </c>
      <c r="AD476" t="n">
        <v>1</v>
      </c>
      <c r="AE476" t="n">
        <v>1</v>
      </c>
      <c r="AF476" t="n">
        <v>2</v>
      </c>
      <c r="AG476" t="n">
        <v>2</v>
      </c>
      <c r="AH476" t="n">
        <v>0</v>
      </c>
      <c r="AI476" t="n">
        <v>0</v>
      </c>
      <c r="AJ476" t="n">
        <v>0</v>
      </c>
      <c r="AK476" t="n">
        <v>0</v>
      </c>
      <c r="AL476" t="n">
        <v>2</v>
      </c>
      <c r="AM476" t="n">
        <v>2</v>
      </c>
      <c r="AN476" t="n">
        <v>0</v>
      </c>
      <c r="AO476" t="n">
        <v>0</v>
      </c>
      <c r="AP476" t="n">
        <v>0</v>
      </c>
      <c r="AQ476" t="n">
        <v>0</v>
      </c>
      <c r="AR476" t="inlineStr">
        <is>
          <t>No</t>
        </is>
      </c>
      <c r="AS476" t="inlineStr">
        <is>
          <t>Yes</t>
        </is>
      </c>
      <c r="AT476">
        <f>HYPERLINK("http://catalog.hathitrust.org/Record/000175980","HathiTrust Record")</f>
        <v/>
      </c>
      <c r="AU476">
        <f>HYPERLINK("https://creighton-primo.hosted.exlibrisgroup.com/primo-explore/search?tab=default_tab&amp;search_scope=EVERYTHING&amp;vid=01CRU&amp;lang=en_US&amp;offset=0&amp;query=any,contains,991001388519702656","Catalog Record")</f>
        <v/>
      </c>
      <c r="AV476">
        <f>HYPERLINK("http://www.worldcat.org/oclc/5102837","WorldCat Record")</f>
        <v/>
      </c>
      <c r="AW476" t="inlineStr">
        <is>
          <t>15267864:eng</t>
        </is>
      </c>
      <c r="AX476" t="inlineStr">
        <is>
          <t>5102837</t>
        </is>
      </c>
      <c r="AY476" t="inlineStr">
        <is>
          <t>991001388519702656</t>
        </is>
      </c>
      <c r="AZ476" t="inlineStr">
        <is>
          <t>991001388519702656</t>
        </is>
      </c>
      <c r="BA476" t="inlineStr">
        <is>
          <t>2269356830002656</t>
        </is>
      </c>
      <c r="BB476" t="inlineStr">
        <is>
          <t>BOOK</t>
        </is>
      </c>
      <c r="BE476" t="inlineStr">
        <is>
          <t>30001000464349</t>
        </is>
      </c>
      <c r="BF476" t="inlineStr">
        <is>
          <t>893268423</t>
        </is>
      </c>
    </row>
    <row r="477">
      <c r="A477" t="inlineStr">
        <is>
          <t>No</t>
        </is>
      </c>
      <c r="B477" t="inlineStr">
        <is>
          <t>CUHSL</t>
        </is>
      </c>
      <c r="C477" t="inlineStr">
        <is>
          <t>SHELVES</t>
        </is>
      </c>
      <c r="D477" t="inlineStr">
        <is>
          <t>WY 20 L822i 1977</t>
        </is>
      </c>
      <c r="E477" t="inlineStr">
        <is>
          <t>0                      WY 0020000L  822i        1977</t>
        </is>
      </c>
      <c r="F477" t="inlineStr">
        <is>
          <t>Initiating a master's degree program in nursing : asking the essential questions / Mary P. Lodge.</t>
        </is>
      </c>
      <c r="H477" t="inlineStr">
        <is>
          <t>No</t>
        </is>
      </c>
      <c r="I477" t="inlineStr">
        <is>
          <t>1</t>
        </is>
      </c>
      <c r="J477" t="inlineStr">
        <is>
          <t>No</t>
        </is>
      </c>
      <c r="K477" t="inlineStr">
        <is>
          <t>No</t>
        </is>
      </c>
      <c r="L477" t="inlineStr">
        <is>
          <t>0</t>
        </is>
      </c>
      <c r="M477" t="inlineStr">
        <is>
          <t>Lodge, Mary P.</t>
        </is>
      </c>
      <c r="N477" t="inlineStr">
        <is>
          <t>New York : National League for Nursing, c1977.</t>
        </is>
      </c>
      <c r="O477" t="inlineStr">
        <is>
          <t>1977</t>
        </is>
      </c>
      <c r="Q477" t="inlineStr">
        <is>
          <t>eng</t>
        </is>
      </c>
      <c r="R477" t="inlineStr">
        <is>
          <t>nyu</t>
        </is>
      </c>
      <c r="S477" t="inlineStr">
        <is>
          <t>NLN pub. no. 15-1672</t>
        </is>
      </c>
      <c r="T477" t="inlineStr">
        <is>
          <t xml:space="preserve">WY </t>
        </is>
      </c>
      <c r="U477" t="n">
        <v>2</v>
      </c>
      <c r="V477" t="n">
        <v>2</v>
      </c>
      <c r="W477" t="inlineStr">
        <is>
          <t>1990-05-04</t>
        </is>
      </c>
      <c r="X477" t="inlineStr">
        <is>
          <t>1990-05-04</t>
        </is>
      </c>
      <c r="Y477" t="inlineStr">
        <is>
          <t>1987-10-26</t>
        </is>
      </c>
      <c r="Z477" t="inlineStr">
        <is>
          <t>1987-10-26</t>
        </is>
      </c>
      <c r="AA477" t="n">
        <v>70</v>
      </c>
      <c r="AB477" t="n">
        <v>56</v>
      </c>
      <c r="AC477" t="n">
        <v>56</v>
      </c>
      <c r="AD477" t="n">
        <v>1</v>
      </c>
      <c r="AE477" t="n">
        <v>1</v>
      </c>
      <c r="AF477" t="n">
        <v>3</v>
      </c>
      <c r="AG477" t="n">
        <v>3</v>
      </c>
      <c r="AH477" t="n">
        <v>0</v>
      </c>
      <c r="AI477" t="n">
        <v>0</v>
      </c>
      <c r="AJ477" t="n">
        <v>0</v>
      </c>
      <c r="AK477" t="n">
        <v>0</v>
      </c>
      <c r="AL477" t="n">
        <v>3</v>
      </c>
      <c r="AM477" t="n">
        <v>3</v>
      </c>
      <c r="AN477" t="n">
        <v>0</v>
      </c>
      <c r="AO477" t="n">
        <v>0</v>
      </c>
      <c r="AP477" t="n">
        <v>0</v>
      </c>
      <c r="AQ477" t="n">
        <v>0</v>
      </c>
      <c r="AR477" t="inlineStr">
        <is>
          <t>No</t>
        </is>
      </c>
      <c r="AS477" t="inlineStr">
        <is>
          <t>No</t>
        </is>
      </c>
      <c r="AU477">
        <f>HYPERLINK("https://creighton-primo.hosted.exlibrisgroup.com/primo-explore/search?tab=default_tab&amp;search_scope=EVERYTHING&amp;vid=01CRU&amp;lang=en_US&amp;offset=0&amp;query=any,contains,991001370639702656","Catalog Record")</f>
        <v/>
      </c>
      <c r="AV477">
        <f>HYPERLINK("http://www.worldcat.org/oclc/3198384","WorldCat Record")</f>
        <v/>
      </c>
      <c r="AW477" t="inlineStr">
        <is>
          <t>9155269:eng</t>
        </is>
      </c>
      <c r="AX477" t="inlineStr">
        <is>
          <t>3198384</t>
        </is>
      </c>
      <c r="AY477" t="inlineStr">
        <is>
          <t>991001370639702656</t>
        </is>
      </c>
      <c r="AZ477" t="inlineStr">
        <is>
          <t>991001370639702656</t>
        </is>
      </c>
      <c r="BA477" t="inlineStr">
        <is>
          <t>2264142780002656</t>
        </is>
      </c>
      <c r="BB477" t="inlineStr">
        <is>
          <t>BOOK</t>
        </is>
      </c>
      <c r="BE477" t="inlineStr">
        <is>
          <t>30001000461733</t>
        </is>
      </c>
      <c r="BF477" t="inlineStr">
        <is>
          <t>893816338</t>
        </is>
      </c>
    </row>
    <row r="478">
      <c r="A478" t="inlineStr">
        <is>
          <t>No</t>
        </is>
      </c>
      <c r="B478" t="inlineStr">
        <is>
          <t>CUHSL</t>
        </is>
      </c>
      <c r="C478" t="inlineStr">
        <is>
          <t>SHELVES</t>
        </is>
      </c>
      <c r="D478" t="inlineStr">
        <is>
          <t>WY 20 P467 1974</t>
        </is>
      </c>
      <c r="E478" t="inlineStr">
        <is>
          <t>0                      WY 0020000P  467         1974</t>
        </is>
      </c>
      <c r="F478" t="inlineStr">
        <is>
          <t>Personnel management for schools of nursing : need and process : papers presented at three 1974 workshops of the Department of Diploma Programs held in Omaha, NE, Memphis, TN, and Boston, MA.</t>
        </is>
      </c>
      <c r="H478" t="inlineStr">
        <is>
          <t>No</t>
        </is>
      </c>
      <c r="I478" t="inlineStr">
        <is>
          <t>1</t>
        </is>
      </c>
      <c r="J478" t="inlineStr">
        <is>
          <t>No</t>
        </is>
      </c>
      <c r="K478" t="inlineStr">
        <is>
          <t>No</t>
        </is>
      </c>
      <c r="L478" t="inlineStr">
        <is>
          <t>0</t>
        </is>
      </c>
      <c r="N478" t="inlineStr">
        <is>
          <t>New York : Dept. of Diploma Programs, National League for Nursing, c1975.</t>
        </is>
      </c>
      <c r="O478" t="inlineStr">
        <is>
          <t>1974</t>
        </is>
      </c>
      <c r="Q478" t="inlineStr">
        <is>
          <t>eng</t>
        </is>
      </c>
      <c r="R478" t="inlineStr">
        <is>
          <t>xxu</t>
        </is>
      </c>
      <c r="S478" t="inlineStr">
        <is>
          <t>NLN pub. no. 16-1575</t>
        </is>
      </c>
      <c r="T478" t="inlineStr">
        <is>
          <t xml:space="preserve">WY </t>
        </is>
      </c>
      <c r="U478" t="n">
        <v>2</v>
      </c>
      <c r="V478" t="n">
        <v>2</v>
      </c>
      <c r="W478" t="inlineStr">
        <is>
          <t>1990-06-12</t>
        </is>
      </c>
      <c r="X478" t="inlineStr">
        <is>
          <t>1990-06-12</t>
        </is>
      </c>
      <c r="Y478" t="inlineStr">
        <is>
          <t>1987-10-29</t>
        </is>
      </c>
      <c r="Z478" t="inlineStr">
        <is>
          <t>1987-10-29</t>
        </is>
      </c>
      <c r="AA478" t="n">
        <v>19</v>
      </c>
      <c r="AB478" t="n">
        <v>12</v>
      </c>
      <c r="AC478" t="n">
        <v>57</v>
      </c>
      <c r="AD478" t="n">
        <v>1</v>
      </c>
      <c r="AE478" t="n">
        <v>1</v>
      </c>
      <c r="AF478" t="n">
        <v>1</v>
      </c>
      <c r="AG478" t="n">
        <v>2</v>
      </c>
      <c r="AH478" t="n">
        <v>0</v>
      </c>
      <c r="AI478" t="n">
        <v>0</v>
      </c>
      <c r="AJ478" t="n">
        <v>0</v>
      </c>
      <c r="AK478" t="n">
        <v>0</v>
      </c>
      <c r="AL478" t="n">
        <v>1</v>
      </c>
      <c r="AM478" t="n">
        <v>2</v>
      </c>
      <c r="AN478" t="n">
        <v>0</v>
      </c>
      <c r="AO478" t="n">
        <v>0</v>
      </c>
      <c r="AP478" t="n">
        <v>0</v>
      </c>
      <c r="AQ478" t="n">
        <v>0</v>
      </c>
      <c r="AR478" t="inlineStr">
        <is>
          <t>No</t>
        </is>
      </c>
      <c r="AS478" t="inlineStr">
        <is>
          <t>No</t>
        </is>
      </c>
      <c r="AU478">
        <f>HYPERLINK("https://creighton-primo.hosted.exlibrisgroup.com/primo-explore/search?tab=default_tab&amp;search_scope=EVERYTHING&amp;vid=01CRU&amp;lang=en_US&amp;offset=0&amp;query=any,contains,991001376279702656","Catalog Record")</f>
        <v/>
      </c>
      <c r="AV478">
        <f>HYPERLINK("http://www.worldcat.org/oclc/14380735","WorldCat Record")</f>
        <v/>
      </c>
      <c r="AW478" t="inlineStr">
        <is>
          <t>8870555:eng</t>
        </is>
      </c>
      <c r="AX478" t="inlineStr">
        <is>
          <t>14380735</t>
        </is>
      </c>
      <c r="AY478" t="inlineStr">
        <is>
          <t>991001376279702656</t>
        </is>
      </c>
      <c r="AZ478" t="inlineStr">
        <is>
          <t>991001376279702656</t>
        </is>
      </c>
      <c r="BA478" t="inlineStr">
        <is>
          <t>2265187910002656</t>
        </is>
      </c>
      <c r="BB478" t="inlineStr">
        <is>
          <t>BOOK</t>
        </is>
      </c>
      <c r="BE478" t="inlineStr">
        <is>
          <t>30001000462269</t>
        </is>
      </c>
      <c r="BF478" t="inlineStr">
        <is>
          <t>893541312</t>
        </is>
      </c>
    </row>
    <row r="479">
      <c r="A479" t="inlineStr">
        <is>
          <t>No</t>
        </is>
      </c>
      <c r="B479" t="inlineStr">
        <is>
          <t>CUHSL</t>
        </is>
      </c>
      <c r="C479" t="inlineStr">
        <is>
          <t>SHELVES</t>
        </is>
      </c>
      <c r="D479" t="inlineStr">
        <is>
          <t>WY 20 R745 1977</t>
        </is>
      </c>
      <c r="E479" t="inlineStr">
        <is>
          <t>0                      WY 0020000R  745         1977</t>
        </is>
      </c>
      <c r="F479" t="inlineStr">
        <is>
          <t>Roles, rights, and responsibilities : the educational administrator's 3 Rs.</t>
        </is>
      </c>
      <c r="H479" t="inlineStr">
        <is>
          <t>No</t>
        </is>
      </c>
      <c r="I479" t="inlineStr">
        <is>
          <t>1</t>
        </is>
      </c>
      <c r="J479" t="inlineStr">
        <is>
          <t>No</t>
        </is>
      </c>
      <c r="K479" t="inlineStr">
        <is>
          <t>No</t>
        </is>
      </c>
      <c r="L479" t="inlineStr">
        <is>
          <t>0</t>
        </is>
      </c>
      <c r="N479" t="inlineStr">
        <is>
          <t>New York : National League for Nursing, c1978.</t>
        </is>
      </c>
      <c r="O479" t="inlineStr">
        <is>
          <t>1977</t>
        </is>
      </c>
      <c r="Q479" t="inlineStr">
        <is>
          <t>eng</t>
        </is>
      </c>
      <c r="R479" t="inlineStr">
        <is>
          <t>nyu</t>
        </is>
      </c>
      <c r="S479" t="inlineStr">
        <is>
          <t>NLN pub. no. 16-1712</t>
        </is>
      </c>
      <c r="T479" t="inlineStr">
        <is>
          <t xml:space="preserve">WY </t>
        </is>
      </c>
      <c r="U479" t="n">
        <v>1</v>
      </c>
      <c r="V479" t="n">
        <v>1</v>
      </c>
      <c r="W479" t="inlineStr">
        <is>
          <t>1990-06-12</t>
        </is>
      </c>
      <c r="X479" t="inlineStr">
        <is>
          <t>1990-06-12</t>
        </is>
      </c>
      <c r="Y479" t="inlineStr">
        <is>
          <t>1987-10-29</t>
        </is>
      </c>
      <c r="Z479" t="inlineStr">
        <is>
          <t>1987-10-29</t>
        </is>
      </c>
      <c r="AA479" t="n">
        <v>88</v>
      </c>
      <c r="AB479" t="n">
        <v>78</v>
      </c>
      <c r="AC479" t="n">
        <v>80</v>
      </c>
      <c r="AD479" t="n">
        <v>1</v>
      </c>
      <c r="AE479" t="n">
        <v>1</v>
      </c>
      <c r="AF479" t="n">
        <v>2</v>
      </c>
      <c r="AG479" t="n">
        <v>2</v>
      </c>
      <c r="AH479" t="n">
        <v>0</v>
      </c>
      <c r="AI479" t="n">
        <v>0</v>
      </c>
      <c r="AJ479" t="n">
        <v>0</v>
      </c>
      <c r="AK479" t="n">
        <v>0</v>
      </c>
      <c r="AL479" t="n">
        <v>2</v>
      </c>
      <c r="AM479" t="n">
        <v>2</v>
      </c>
      <c r="AN479" t="n">
        <v>0</v>
      </c>
      <c r="AO479" t="n">
        <v>0</v>
      </c>
      <c r="AP479" t="n">
        <v>0</v>
      </c>
      <c r="AQ479" t="n">
        <v>0</v>
      </c>
      <c r="AR479" t="inlineStr">
        <is>
          <t>No</t>
        </is>
      </c>
      <c r="AS479" t="inlineStr">
        <is>
          <t>Yes</t>
        </is>
      </c>
      <c r="AT479">
        <f>HYPERLINK("http://catalog.hathitrust.org/Record/000701309","HathiTrust Record")</f>
        <v/>
      </c>
      <c r="AU479">
        <f>HYPERLINK("https://creighton-primo.hosted.exlibrisgroup.com/primo-explore/search?tab=default_tab&amp;search_scope=EVERYTHING&amp;vid=01CRU&amp;lang=en_US&amp;offset=0&amp;query=any,contains,991001376429702656","Catalog Record")</f>
        <v/>
      </c>
      <c r="AV479">
        <f>HYPERLINK("http://www.worldcat.org/oclc/4491319","WorldCat Record")</f>
        <v/>
      </c>
      <c r="AW479" t="inlineStr">
        <is>
          <t>14757357:eng</t>
        </is>
      </c>
      <c r="AX479" t="inlineStr">
        <is>
          <t>4491319</t>
        </is>
      </c>
      <c r="AY479" t="inlineStr">
        <is>
          <t>991001376429702656</t>
        </is>
      </c>
      <c r="AZ479" t="inlineStr">
        <is>
          <t>991001376429702656</t>
        </is>
      </c>
      <c r="BA479" t="inlineStr">
        <is>
          <t>2264140530002656</t>
        </is>
      </c>
      <c r="BB479" t="inlineStr">
        <is>
          <t>BOOK</t>
        </is>
      </c>
      <c r="BE479" t="inlineStr">
        <is>
          <t>30001000462301</t>
        </is>
      </c>
      <c r="BF479" t="inlineStr">
        <is>
          <t>893632999</t>
        </is>
      </c>
    </row>
    <row r="480">
      <c r="A480" t="inlineStr">
        <is>
          <t>No</t>
        </is>
      </c>
      <c r="B480" t="inlineStr">
        <is>
          <t>CUHSL</t>
        </is>
      </c>
      <c r="C480" t="inlineStr">
        <is>
          <t>SHELVES</t>
        </is>
      </c>
      <c r="D480" t="inlineStr">
        <is>
          <t>WY 20 S898 1975</t>
        </is>
      </c>
      <c r="E480" t="inlineStr">
        <is>
          <t>0                      WY 0020000S  898         1975</t>
        </is>
      </c>
      <c r="F480" t="inlineStr">
        <is>
          <t>Strategies in administration and teaching in associate degree nursing education.</t>
        </is>
      </c>
      <c r="H480" t="inlineStr">
        <is>
          <t>No</t>
        </is>
      </c>
      <c r="I480" t="inlineStr">
        <is>
          <t>1</t>
        </is>
      </c>
      <c r="J480" t="inlineStr">
        <is>
          <t>No</t>
        </is>
      </c>
      <c r="K480" t="inlineStr">
        <is>
          <t>No</t>
        </is>
      </c>
      <c r="L480" t="inlineStr">
        <is>
          <t>0</t>
        </is>
      </c>
      <c r="N480" t="inlineStr">
        <is>
          <t>New York : National League for Nursing, c1976.</t>
        </is>
      </c>
      <c r="O480" t="inlineStr">
        <is>
          <t>1975</t>
        </is>
      </c>
      <c r="Q480" t="inlineStr">
        <is>
          <t>eng</t>
        </is>
      </c>
      <c r="R480" t="inlineStr">
        <is>
          <t>nyu</t>
        </is>
      </c>
      <c r="S480" t="inlineStr">
        <is>
          <t>NLN pub. no. 23-1630</t>
        </is>
      </c>
      <c r="T480" t="inlineStr">
        <is>
          <t xml:space="preserve">WY </t>
        </is>
      </c>
      <c r="U480" t="n">
        <v>1</v>
      </c>
      <c r="V480" t="n">
        <v>1</v>
      </c>
      <c r="W480" t="inlineStr">
        <is>
          <t>1990-06-25</t>
        </is>
      </c>
      <c r="X480" t="inlineStr">
        <is>
          <t>1990-06-25</t>
        </is>
      </c>
      <c r="Y480" t="inlineStr">
        <is>
          <t>1987-11-05</t>
        </is>
      </c>
      <c r="Z480" t="inlineStr">
        <is>
          <t>1987-11-05</t>
        </is>
      </c>
      <c r="AA480" t="n">
        <v>97</v>
      </c>
      <c r="AB480" t="n">
        <v>87</v>
      </c>
      <c r="AC480" t="n">
        <v>89</v>
      </c>
      <c r="AD480" t="n">
        <v>2</v>
      </c>
      <c r="AE480" t="n">
        <v>2</v>
      </c>
      <c r="AF480" t="n">
        <v>4</v>
      </c>
      <c r="AG480" t="n">
        <v>4</v>
      </c>
      <c r="AH480" t="n">
        <v>0</v>
      </c>
      <c r="AI480" t="n">
        <v>0</v>
      </c>
      <c r="AJ480" t="n">
        <v>0</v>
      </c>
      <c r="AK480" t="n">
        <v>0</v>
      </c>
      <c r="AL480" t="n">
        <v>3</v>
      </c>
      <c r="AM480" t="n">
        <v>3</v>
      </c>
      <c r="AN480" t="n">
        <v>1</v>
      </c>
      <c r="AO480" t="n">
        <v>1</v>
      </c>
      <c r="AP480" t="n">
        <v>0</v>
      </c>
      <c r="AQ480" t="n">
        <v>0</v>
      </c>
      <c r="AR480" t="inlineStr">
        <is>
          <t>No</t>
        </is>
      </c>
      <c r="AS480" t="inlineStr">
        <is>
          <t>Yes</t>
        </is>
      </c>
      <c r="AT480">
        <f>HYPERLINK("http://catalog.hathitrust.org/Record/000746714","HathiTrust Record")</f>
        <v/>
      </c>
      <c r="AU480">
        <f>HYPERLINK("https://creighton-primo.hosted.exlibrisgroup.com/primo-explore/search?tab=default_tab&amp;search_scope=EVERYTHING&amp;vid=01CRU&amp;lang=en_US&amp;offset=0&amp;query=any,contains,991001387869702656","Catalog Record")</f>
        <v/>
      </c>
      <c r="AV480">
        <f>HYPERLINK("http://www.worldcat.org/oclc/2968328","WorldCat Record")</f>
        <v/>
      </c>
      <c r="AW480" t="inlineStr">
        <is>
          <t>6642881:eng</t>
        </is>
      </c>
      <c r="AX480" t="inlineStr">
        <is>
          <t>2968328</t>
        </is>
      </c>
      <c r="AY480" t="inlineStr">
        <is>
          <t>991001387869702656</t>
        </is>
      </c>
      <c r="AZ480" t="inlineStr">
        <is>
          <t>991001387869702656</t>
        </is>
      </c>
      <c r="BA480" t="inlineStr">
        <is>
          <t>2269057390002656</t>
        </is>
      </c>
      <c r="BB480" t="inlineStr">
        <is>
          <t>BOOK</t>
        </is>
      </c>
      <c r="BE480" t="inlineStr">
        <is>
          <t>30001000464182</t>
        </is>
      </c>
      <c r="BF480" t="inlineStr">
        <is>
          <t>893467938</t>
        </is>
      </c>
    </row>
    <row r="481">
      <c r="A481" t="inlineStr">
        <is>
          <t>No</t>
        </is>
      </c>
      <c r="B481" t="inlineStr">
        <is>
          <t>CUHSL</t>
        </is>
      </c>
      <c r="C481" t="inlineStr">
        <is>
          <t>SHELVES</t>
        </is>
      </c>
      <c r="D481" t="inlineStr">
        <is>
          <t>WY 20 S914 1976</t>
        </is>
      </c>
      <c r="E481" t="inlineStr">
        <is>
          <t>0                      WY 0020000S  914         1976</t>
        </is>
      </c>
      <c r="F481" t="inlineStr">
        <is>
          <t>Stress : making it work for you.</t>
        </is>
      </c>
      <c r="H481" t="inlineStr">
        <is>
          <t>No</t>
        </is>
      </c>
      <c r="I481" t="inlineStr">
        <is>
          <t>1</t>
        </is>
      </c>
      <c r="J481" t="inlineStr">
        <is>
          <t>No</t>
        </is>
      </c>
      <c r="K481" t="inlineStr">
        <is>
          <t>No</t>
        </is>
      </c>
      <c r="L481" t="inlineStr">
        <is>
          <t>0</t>
        </is>
      </c>
      <c r="N481" t="inlineStr">
        <is>
          <t>New York : National League for Nursing, 1977.</t>
        </is>
      </c>
      <c r="O481" t="inlineStr">
        <is>
          <t>1976</t>
        </is>
      </c>
      <c r="Q481" t="inlineStr">
        <is>
          <t>eng</t>
        </is>
      </c>
      <c r="R481" t="inlineStr">
        <is>
          <t>nyu</t>
        </is>
      </c>
      <c r="S481" t="inlineStr">
        <is>
          <t>NLN pub. no. 16-1674</t>
        </is>
      </c>
      <c r="T481" t="inlineStr">
        <is>
          <t xml:space="preserve">WY </t>
        </is>
      </c>
      <c r="U481" t="n">
        <v>3</v>
      </c>
      <c r="V481" t="n">
        <v>3</v>
      </c>
      <c r="W481" t="inlineStr">
        <is>
          <t>1995-11-22</t>
        </is>
      </c>
      <c r="X481" t="inlineStr">
        <is>
          <t>1995-11-22</t>
        </is>
      </c>
      <c r="Y481" t="inlineStr">
        <is>
          <t>1987-10-29</t>
        </is>
      </c>
      <c r="Z481" t="inlineStr">
        <is>
          <t>1987-10-29</t>
        </is>
      </c>
      <c r="AA481" t="n">
        <v>111</v>
      </c>
      <c r="AB481" t="n">
        <v>99</v>
      </c>
      <c r="AC481" t="n">
        <v>103</v>
      </c>
      <c r="AD481" t="n">
        <v>2</v>
      </c>
      <c r="AE481" t="n">
        <v>2</v>
      </c>
      <c r="AF481" t="n">
        <v>4</v>
      </c>
      <c r="AG481" t="n">
        <v>4</v>
      </c>
      <c r="AH481" t="n">
        <v>0</v>
      </c>
      <c r="AI481" t="n">
        <v>0</v>
      </c>
      <c r="AJ481" t="n">
        <v>2</v>
      </c>
      <c r="AK481" t="n">
        <v>2</v>
      </c>
      <c r="AL481" t="n">
        <v>3</v>
      </c>
      <c r="AM481" t="n">
        <v>3</v>
      </c>
      <c r="AN481" t="n">
        <v>0</v>
      </c>
      <c r="AO481" t="n">
        <v>0</v>
      </c>
      <c r="AP481" t="n">
        <v>0</v>
      </c>
      <c r="AQ481" t="n">
        <v>0</v>
      </c>
      <c r="AR481" t="inlineStr">
        <is>
          <t>No</t>
        </is>
      </c>
      <c r="AS481" t="inlineStr">
        <is>
          <t>Yes</t>
        </is>
      </c>
      <c r="AT481">
        <f>HYPERLINK("http://catalog.hathitrust.org/Record/001943728","HathiTrust Record")</f>
        <v/>
      </c>
      <c r="AU481">
        <f>HYPERLINK("https://creighton-primo.hosted.exlibrisgroup.com/primo-explore/search?tab=default_tab&amp;search_scope=EVERYTHING&amp;vid=01CRU&amp;lang=en_US&amp;offset=0&amp;query=any,contains,991001376379702656","Catalog Record")</f>
        <v/>
      </c>
      <c r="AV481">
        <f>HYPERLINK("http://www.worldcat.org/oclc/28754728","WorldCat Record")</f>
        <v/>
      </c>
      <c r="AW481" t="inlineStr">
        <is>
          <t>46802526:eng</t>
        </is>
      </c>
      <c r="AX481" t="inlineStr">
        <is>
          <t>28754728</t>
        </is>
      </c>
      <c r="AY481" t="inlineStr">
        <is>
          <t>991001376379702656</t>
        </is>
      </c>
      <c r="AZ481" t="inlineStr">
        <is>
          <t>991001376379702656</t>
        </is>
      </c>
      <c r="BA481" t="inlineStr">
        <is>
          <t>2256815200002656</t>
        </is>
      </c>
      <c r="BB481" t="inlineStr">
        <is>
          <t>BOOK</t>
        </is>
      </c>
      <c r="BE481" t="inlineStr">
        <is>
          <t>30001000462293</t>
        </is>
      </c>
      <c r="BF481" t="inlineStr">
        <is>
          <t>893121440</t>
        </is>
      </c>
    </row>
    <row r="482">
      <c r="A482" t="inlineStr">
        <is>
          <t>No</t>
        </is>
      </c>
      <c r="B482" t="inlineStr">
        <is>
          <t>CUHSL</t>
        </is>
      </c>
      <c r="C482" t="inlineStr">
        <is>
          <t>SHELVES</t>
        </is>
      </c>
      <c r="D482" t="inlineStr">
        <is>
          <t>WY 20.4 M966r 1994</t>
        </is>
      </c>
      <c r="E482" t="inlineStr">
        <is>
          <t>0                      WY 0020400M  966r        1994</t>
        </is>
      </c>
      <c r="F482" t="inlineStr">
        <is>
          <t>Revisioning phenomenology : nursing and health science research / Patricia L. Munhall.</t>
        </is>
      </c>
      <c r="H482" t="inlineStr">
        <is>
          <t>No</t>
        </is>
      </c>
      <c r="I482" t="inlineStr">
        <is>
          <t>1</t>
        </is>
      </c>
      <c r="J482" t="inlineStr">
        <is>
          <t>No</t>
        </is>
      </c>
      <c r="K482" t="inlineStr">
        <is>
          <t>No</t>
        </is>
      </c>
      <c r="L482" t="inlineStr">
        <is>
          <t>0</t>
        </is>
      </c>
      <c r="M482" t="inlineStr">
        <is>
          <t>Munhall, Patricia L.</t>
        </is>
      </c>
      <c r="N482" t="inlineStr">
        <is>
          <t>New York : National League for Nursing Press, c1994.</t>
        </is>
      </c>
      <c r="O482" t="inlineStr">
        <is>
          <t>1994</t>
        </is>
      </c>
      <c r="Q482" t="inlineStr">
        <is>
          <t>eng</t>
        </is>
      </c>
      <c r="R482" t="inlineStr">
        <is>
          <t>nyu</t>
        </is>
      </c>
      <c r="S482" t="inlineStr">
        <is>
          <t>NLM pub. no. 41-2545.</t>
        </is>
      </c>
      <c r="T482" t="inlineStr">
        <is>
          <t xml:space="preserve">WY </t>
        </is>
      </c>
      <c r="U482" t="n">
        <v>1</v>
      </c>
      <c r="V482" t="n">
        <v>1</v>
      </c>
      <c r="W482" t="inlineStr">
        <is>
          <t>2007-02-16</t>
        </is>
      </c>
      <c r="X482" t="inlineStr">
        <is>
          <t>2007-02-16</t>
        </is>
      </c>
      <c r="Y482" t="inlineStr">
        <is>
          <t>2000-06-15</t>
        </is>
      </c>
      <c r="Z482" t="inlineStr">
        <is>
          <t>2000-06-15</t>
        </is>
      </c>
      <c r="AA482" t="n">
        <v>319</v>
      </c>
      <c r="AB482" t="n">
        <v>250</v>
      </c>
      <c r="AC482" t="n">
        <v>252</v>
      </c>
      <c r="AD482" t="n">
        <v>1</v>
      </c>
      <c r="AE482" t="n">
        <v>1</v>
      </c>
      <c r="AF482" t="n">
        <v>19</v>
      </c>
      <c r="AG482" t="n">
        <v>19</v>
      </c>
      <c r="AH482" t="n">
        <v>10</v>
      </c>
      <c r="AI482" t="n">
        <v>10</v>
      </c>
      <c r="AJ482" t="n">
        <v>5</v>
      </c>
      <c r="AK482" t="n">
        <v>5</v>
      </c>
      <c r="AL482" t="n">
        <v>9</v>
      </c>
      <c r="AM482" t="n">
        <v>9</v>
      </c>
      <c r="AN482" t="n">
        <v>0</v>
      </c>
      <c r="AO482" t="n">
        <v>0</v>
      </c>
      <c r="AP482" t="n">
        <v>0</v>
      </c>
      <c r="AQ482" t="n">
        <v>0</v>
      </c>
      <c r="AR482" t="inlineStr">
        <is>
          <t>No</t>
        </is>
      </c>
      <c r="AS482" t="inlineStr">
        <is>
          <t>Yes</t>
        </is>
      </c>
      <c r="AT482">
        <f>HYPERLINK("http://catalog.hathitrust.org/Record/002810478","HathiTrust Record")</f>
        <v/>
      </c>
      <c r="AU482">
        <f>HYPERLINK("https://creighton-primo.hosted.exlibrisgroup.com/primo-explore/search?tab=default_tab&amp;search_scope=EVERYTHING&amp;vid=01CRU&amp;lang=en_US&amp;offset=0&amp;query=any,contains,991000246789702656","Catalog Record")</f>
        <v/>
      </c>
      <c r="AV482">
        <f>HYPERLINK("http://www.worldcat.org/oclc/29844031","WorldCat Record")</f>
        <v/>
      </c>
      <c r="AW482" t="inlineStr">
        <is>
          <t>902260224:eng</t>
        </is>
      </c>
      <c r="AX482" t="inlineStr">
        <is>
          <t>29844031</t>
        </is>
      </c>
      <c r="AY482" t="inlineStr">
        <is>
          <t>991000246789702656</t>
        </is>
      </c>
      <c r="AZ482" t="inlineStr">
        <is>
          <t>991000246789702656</t>
        </is>
      </c>
      <c r="BA482" t="inlineStr">
        <is>
          <t>2268330470002656</t>
        </is>
      </c>
      <c r="BB482" t="inlineStr">
        <is>
          <t>BOOK</t>
        </is>
      </c>
      <c r="BD482" t="inlineStr">
        <is>
          <t>9780887375972</t>
        </is>
      </c>
      <c r="BE482" t="inlineStr">
        <is>
          <t>30001002966036</t>
        </is>
      </c>
      <c r="BF482" t="inlineStr">
        <is>
          <t>893732603</t>
        </is>
      </c>
    </row>
    <row r="483">
      <c r="A483" t="inlineStr">
        <is>
          <t>No</t>
        </is>
      </c>
      <c r="B483" t="inlineStr">
        <is>
          <t>CUHSL</t>
        </is>
      </c>
      <c r="C483" t="inlineStr">
        <is>
          <t>SHELVES</t>
        </is>
      </c>
      <c r="D483" t="inlineStr">
        <is>
          <t>WY 20.5 A135b 1965</t>
        </is>
      </c>
      <c r="E483" t="inlineStr">
        <is>
          <t>0                      WY 0020500A  135b        1965</t>
        </is>
      </c>
      <c r="F483" t="inlineStr">
        <is>
          <t>Better patient care through nursing research / [by] Faye G. Abdellah, Eugene Levine.</t>
        </is>
      </c>
      <c r="H483" t="inlineStr">
        <is>
          <t>No</t>
        </is>
      </c>
      <c r="I483" t="inlineStr">
        <is>
          <t>1</t>
        </is>
      </c>
      <c r="J483" t="inlineStr">
        <is>
          <t>No</t>
        </is>
      </c>
      <c r="K483" t="inlineStr">
        <is>
          <t>No</t>
        </is>
      </c>
      <c r="L483" t="inlineStr">
        <is>
          <t>0</t>
        </is>
      </c>
      <c r="M483" t="inlineStr">
        <is>
          <t>Abdellah, Faye G.</t>
        </is>
      </c>
      <c r="N483" t="inlineStr">
        <is>
          <t>-- New York : Macmillan, 1965.</t>
        </is>
      </c>
      <c r="O483" t="inlineStr">
        <is>
          <t>1965</t>
        </is>
      </c>
      <c r="Q483" t="inlineStr">
        <is>
          <t>eng</t>
        </is>
      </c>
      <c r="R483" t="inlineStr">
        <is>
          <t>nyu</t>
        </is>
      </c>
      <c r="T483" t="inlineStr">
        <is>
          <t xml:space="preserve">WY </t>
        </is>
      </c>
      <c r="U483" t="n">
        <v>2</v>
      </c>
      <c r="V483" t="n">
        <v>2</v>
      </c>
      <c r="W483" t="inlineStr">
        <is>
          <t>1993-08-31</t>
        </is>
      </c>
      <c r="X483" t="inlineStr">
        <is>
          <t>1993-08-31</t>
        </is>
      </c>
      <c r="Y483" t="inlineStr">
        <is>
          <t>1987-12-28</t>
        </is>
      </c>
      <c r="Z483" t="inlineStr">
        <is>
          <t>1987-12-28</t>
        </is>
      </c>
      <c r="AA483" t="n">
        <v>281</v>
      </c>
      <c r="AB483" t="n">
        <v>238</v>
      </c>
      <c r="AC483" t="n">
        <v>460</v>
      </c>
      <c r="AD483" t="n">
        <v>2</v>
      </c>
      <c r="AE483" t="n">
        <v>4</v>
      </c>
      <c r="AF483" t="n">
        <v>11</v>
      </c>
      <c r="AG483" t="n">
        <v>20</v>
      </c>
      <c r="AH483" t="n">
        <v>3</v>
      </c>
      <c r="AI483" t="n">
        <v>9</v>
      </c>
      <c r="AJ483" t="n">
        <v>3</v>
      </c>
      <c r="AK483" t="n">
        <v>3</v>
      </c>
      <c r="AL483" t="n">
        <v>5</v>
      </c>
      <c r="AM483" t="n">
        <v>10</v>
      </c>
      <c r="AN483" t="n">
        <v>1</v>
      </c>
      <c r="AO483" t="n">
        <v>2</v>
      </c>
      <c r="AP483" t="n">
        <v>0</v>
      </c>
      <c r="AQ483" t="n">
        <v>0</v>
      </c>
      <c r="AR483" t="inlineStr">
        <is>
          <t>No</t>
        </is>
      </c>
      <c r="AS483" t="inlineStr">
        <is>
          <t>Yes</t>
        </is>
      </c>
      <c r="AT483">
        <f>HYPERLINK("http://catalog.hathitrust.org/Record/000010719","HathiTrust Record")</f>
        <v/>
      </c>
      <c r="AU483">
        <f>HYPERLINK("https://creighton-primo.hosted.exlibrisgroup.com/primo-explore/search?tab=default_tab&amp;search_scope=EVERYTHING&amp;vid=01CRU&amp;lang=en_US&amp;offset=0&amp;query=any,contains,991001042679702656","Catalog Record")</f>
        <v/>
      </c>
      <c r="AV483">
        <f>HYPERLINK("http://www.worldcat.org/oclc/739446","WorldCat Record")</f>
        <v/>
      </c>
      <c r="AW483" t="inlineStr">
        <is>
          <t>1796921:eng</t>
        </is>
      </c>
      <c r="AX483" t="inlineStr">
        <is>
          <t>739446</t>
        </is>
      </c>
      <c r="AY483" t="inlineStr">
        <is>
          <t>991001042679702656</t>
        </is>
      </c>
      <c r="AZ483" t="inlineStr">
        <is>
          <t>991001042679702656</t>
        </is>
      </c>
      <c r="BA483" t="inlineStr">
        <is>
          <t>2256238430002656</t>
        </is>
      </c>
      <c r="BB483" t="inlineStr">
        <is>
          <t>BOOK</t>
        </is>
      </c>
      <c r="BE483" t="inlineStr">
        <is>
          <t>30001000242828</t>
        </is>
      </c>
      <c r="BF483" t="inlineStr">
        <is>
          <t>893455409</t>
        </is>
      </c>
    </row>
    <row r="484">
      <c r="A484" t="inlineStr">
        <is>
          <t>No</t>
        </is>
      </c>
      <c r="B484" t="inlineStr">
        <is>
          <t>CUHSL</t>
        </is>
      </c>
      <c r="C484" t="inlineStr">
        <is>
          <t>SHELVES</t>
        </is>
      </c>
      <c r="D484" t="inlineStr">
        <is>
          <t>WY 20.5 A135p 1994</t>
        </is>
      </c>
      <c r="E484" t="inlineStr">
        <is>
          <t>0                      WY 0020500A  135p        1994</t>
        </is>
      </c>
      <c r="F484" t="inlineStr">
        <is>
          <t>Preparing nursing research for the 21st century : evolution, methodologies, challenges / Faye G. Abdellah, Eugene Levine.</t>
        </is>
      </c>
      <c r="H484" t="inlineStr">
        <is>
          <t>No</t>
        </is>
      </c>
      <c r="I484" t="inlineStr">
        <is>
          <t>1</t>
        </is>
      </c>
      <c r="J484" t="inlineStr">
        <is>
          <t>No</t>
        </is>
      </c>
      <c r="K484" t="inlineStr">
        <is>
          <t>No</t>
        </is>
      </c>
      <c r="L484" t="inlineStr">
        <is>
          <t>0</t>
        </is>
      </c>
      <c r="M484" t="inlineStr">
        <is>
          <t>Abdellah, Faye G.</t>
        </is>
      </c>
      <c r="N484" t="inlineStr">
        <is>
          <t>New York : Springer Pub., c1994.</t>
        </is>
      </c>
      <c r="O484" t="inlineStr">
        <is>
          <t>1994</t>
        </is>
      </c>
      <c r="Q484" t="inlineStr">
        <is>
          <t>eng</t>
        </is>
      </c>
      <c r="R484" t="inlineStr">
        <is>
          <t>nyu</t>
        </is>
      </c>
      <c r="T484" t="inlineStr">
        <is>
          <t xml:space="preserve">WY </t>
        </is>
      </c>
      <c r="U484" t="n">
        <v>10</v>
      </c>
      <c r="V484" t="n">
        <v>10</v>
      </c>
      <c r="W484" t="inlineStr">
        <is>
          <t>2008-09-16</t>
        </is>
      </c>
      <c r="X484" t="inlineStr">
        <is>
          <t>2008-09-16</t>
        </is>
      </c>
      <c r="Y484" t="inlineStr">
        <is>
          <t>1994-09-12</t>
        </is>
      </c>
      <c r="Z484" t="inlineStr">
        <is>
          <t>1994-09-12</t>
        </is>
      </c>
      <c r="AA484" t="n">
        <v>356</v>
      </c>
      <c r="AB484" t="n">
        <v>281</v>
      </c>
      <c r="AC484" t="n">
        <v>283</v>
      </c>
      <c r="AD484" t="n">
        <v>2</v>
      </c>
      <c r="AE484" t="n">
        <v>2</v>
      </c>
      <c r="AF484" t="n">
        <v>15</v>
      </c>
      <c r="AG484" t="n">
        <v>15</v>
      </c>
      <c r="AH484" t="n">
        <v>6</v>
      </c>
      <c r="AI484" t="n">
        <v>6</v>
      </c>
      <c r="AJ484" t="n">
        <v>4</v>
      </c>
      <c r="AK484" t="n">
        <v>4</v>
      </c>
      <c r="AL484" t="n">
        <v>8</v>
      </c>
      <c r="AM484" t="n">
        <v>8</v>
      </c>
      <c r="AN484" t="n">
        <v>1</v>
      </c>
      <c r="AO484" t="n">
        <v>1</v>
      </c>
      <c r="AP484" t="n">
        <v>0</v>
      </c>
      <c r="AQ484" t="n">
        <v>0</v>
      </c>
      <c r="AR484" t="inlineStr">
        <is>
          <t>No</t>
        </is>
      </c>
      <c r="AS484" t="inlineStr">
        <is>
          <t>Yes</t>
        </is>
      </c>
      <c r="AT484">
        <f>HYPERLINK("http://catalog.hathitrust.org/Record/002865552","HathiTrust Record")</f>
        <v/>
      </c>
      <c r="AU484">
        <f>HYPERLINK("https://creighton-primo.hosted.exlibrisgroup.com/primo-explore/search?tab=default_tab&amp;search_scope=EVERYTHING&amp;vid=01CRU&amp;lang=en_US&amp;offset=0&amp;query=any,contains,991000677469702656","Catalog Record")</f>
        <v/>
      </c>
      <c r="AV484">
        <f>HYPERLINK("http://www.worldcat.org/oclc/29911903","WorldCat Record")</f>
        <v/>
      </c>
      <c r="AW484" t="inlineStr">
        <is>
          <t>968092:eng</t>
        </is>
      </c>
      <c r="AX484" t="inlineStr">
        <is>
          <t>29911903</t>
        </is>
      </c>
      <c r="AY484" t="inlineStr">
        <is>
          <t>991000677469702656</t>
        </is>
      </c>
      <c r="AZ484" t="inlineStr">
        <is>
          <t>991000677469702656</t>
        </is>
      </c>
      <c r="BA484" t="inlineStr">
        <is>
          <t>2269813890002656</t>
        </is>
      </c>
      <c r="BB484" t="inlineStr">
        <is>
          <t>BOOK</t>
        </is>
      </c>
      <c r="BD484" t="inlineStr">
        <is>
          <t>9780826184405</t>
        </is>
      </c>
      <c r="BE484" t="inlineStr">
        <is>
          <t>30001002696740</t>
        </is>
      </c>
      <c r="BF484" t="inlineStr">
        <is>
          <t>893825376</t>
        </is>
      </c>
    </row>
    <row r="485">
      <c r="A485" t="inlineStr">
        <is>
          <t>No</t>
        </is>
      </c>
      <c r="B485" t="inlineStr">
        <is>
          <t>CUHSL</t>
        </is>
      </c>
      <c r="C485" t="inlineStr">
        <is>
          <t>SHELVES</t>
        </is>
      </c>
      <c r="D485" t="inlineStr">
        <is>
          <t>WY 20.5 A182r 1981</t>
        </is>
      </c>
      <c r="E485" t="inlineStr">
        <is>
          <t>0                      WY 0020500A  182r        1981</t>
        </is>
      </c>
      <c r="F485" t="inlineStr">
        <is>
          <t>Research methods for nurses / Winona B. Ackerman, Paul R. Lohnes.</t>
        </is>
      </c>
      <c r="H485" t="inlineStr">
        <is>
          <t>No</t>
        </is>
      </c>
      <c r="I485" t="inlineStr">
        <is>
          <t>1</t>
        </is>
      </c>
      <c r="J485" t="inlineStr">
        <is>
          <t>No</t>
        </is>
      </c>
      <c r="K485" t="inlineStr">
        <is>
          <t>No</t>
        </is>
      </c>
      <c r="L485" t="inlineStr">
        <is>
          <t>0</t>
        </is>
      </c>
      <c r="M485" t="inlineStr">
        <is>
          <t>Ackerman, Winona B.</t>
        </is>
      </c>
      <c r="N485" t="inlineStr">
        <is>
          <t>New York : McGraw-Hill, c1981.</t>
        </is>
      </c>
      <c r="O485" t="inlineStr">
        <is>
          <t>1981</t>
        </is>
      </c>
      <c r="Q485" t="inlineStr">
        <is>
          <t>eng</t>
        </is>
      </c>
      <c r="R485" t="inlineStr">
        <is>
          <t>xxu</t>
        </is>
      </c>
      <c r="T485" t="inlineStr">
        <is>
          <t xml:space="preserve">WY </t>
        </is>
      </c>
      <c r="U485" t="n">
        <v>1</v>
      </c>
      <c r="V485" t="n">
        <v>1</v>
      </c>
      <c r="W485" t="inlineStr">
        <is>
          <t>1992-01-23</t>
        </is>
      </c>
      <c r="X485" t="inlineStr">
        <is>
          <t>1992-01-23</t>
        </is>
      </c>
      <c r="Y485" t="inlineStr">
        <is>
          <t>1987-12-28</t>
        </is>
      </c>
      <c r="Z485" t="inlineStr">
        <is>
          <t>1987-12-28</t>
        </is>
      </c>
      <c r="AA485" t="n">
        <v>216</v>
      </c>
      <c r="AB485" t="n">
        <v>160</v>
      </c>
      <c r="AC485" t="n">
        <v>162</v>
      </c>
      <c r="AD485" t="n">
        <v>3</v>
      </c>
      <c r="AE485" t="n">
        <v>3</v>
      </c>
      <c r="AF485" t="n">
        <v>5</v>
      </c>
      <c r="AG485" t="n">
        <v>5</v>
      </c>
      <c r="AH485" t="n">
        <v>1</v>
      </c>
      <c r="AI485" t="n">
        <v>1</v>
      </c>
      <c r="AJ485" t="n">
        <v>0</v>
      </c>
      <c r="AK485" t="n">
        <v>0</v>
      </c>
      <c r="AL485" t="n">
        <v>2</v>
      </c>
      <c r="AM485" t="n">
        <v>2</v>
      </c>
      <c r="AN485" t="n">
        <v>2</v>
      </c>
      <c r="AO485" t="n">
        <v>2</v>
      </c>
      <c r="AP485" t="n">
        <v>0</v>
      </c>
      <c r="AQ485" t="n">
        <v>0</v>
      </c>
      <c r="AR485" t="inlineStr">
        <is>
          <t>No</t>
        </is>
      </c>
      <c r="AS485" t="inlineStr">
        <is>
          <t>Yes</t>
        </is>
      </c>
      <c r="AT485">
        <f>HYPERLINK("http://catalog.hathitrust.org/Record/000265512","HathiTrust Record")</f>
        <v/>
      </c>
      <c r="AU485">
        <f>HYPERLINK("https://creighton-primo.hosted.exlibrisgroup.com/primo-explore/search?tab=default_tab&amp;search_scope=EVERYTHING&amp;vid=01CRU&amp;lang=en_US&amp;offset=0&amp;query=any,contains,991001042759702656","Catalog Record")</f>
        <v/>
      </c>
      <c r="AV485">
        <f>HYPERLINK("http://www.worldcat.org/oclc/6420884","WorldCat Record")</f>
        <v/>
      </c>
      <c r="AW485" t="inlineStr">
        <is>
          <t>404613:eng</t>
        </is>
      </c>
      <c r="AX485" t="inlineStr">
        <is>
          <t>6420884</t>
        </is>
      </c>
      <c r="AY485" t="inlineStr">
        <is>
          <t>991001042759702656</t>
        </is>
      </c>
      <c r="AZ485" t="inlineStr">
        <is>
          <t>991001042759702656</t>
        </is>
      </c>
      <c r="BA485" t="inlineStr">
        <is>
          <t>2267363370002656</t>
        </is>
      </c>
      <c r="BB485" t="inlineStr">
        <is>
          <t>BOOK</t>
        </is>
      </c>
      <c r="BD485" t="inlineStr">
        <is>
          <t>9780070001824</t>
        </is>
      </c>
      <c r="BE485" t="inlineStr">
        <is>
          <t>30001000242844</t>
        </is>
      </c>
      <c r="BF485" t="inlineStr">
        <is>
          <t>893743612</t>
        </is>
      </c>
    </row>
    <row r="486">
      <c r="A486" t="inlineStr">
        <is>
          <t>No</t>
        </is>
      </c>
      <c r="B486" t="inlineStr">
        <is>
          <t>CUHSL</t>
        </is>
      </c>
      <c r="C486" t="inlineStr">
        <is>
          <t>SHELVES</t>
        </is>
      </c>
      <c r="D486" t="inlineStr">
        <is>
          <t>WY 20.5 A244 1998</t>
        </is>
      </c>
      <c r="E486" t="inlineStr">
        <is>
          <t>0                      WY 0020500A  244         1998</t>
        </is>
      </c>
      <c r="F486" t="inlineStr">
        <is>
          <t>Advanced design in nursing research / [edited by] Pamela J. Brink, Marilynn J. Wood.</t>
        </is>
      </c>
      <c r="H486" t="inlineStr">
        <is>
          <t>No</t>
        </is>
      </c>
      <c r="I486" t="inlineStr">
        <is>
          <t>1</t>
        </is>
      </c>
      <c r="J486" t="inlineStr">
        <is>
          <t>No</t>
        </is>
      </c>
      <c r="K486" t="inlineStr">
        <is>
          <t>No</t>
        </is>
      </c>
      <c r="L486" t="inlineStr">
        <is>
          <t>1</t>
        </is>
      </c>
      <c r="N486" t="inlineStr">
        <is>
          <t>Thousand Oaks, Calif. : Sage Publications, c1998.</t>
        </is>
      </c>
      <c r="O486" t="inlineStr">
        <is>
          <t>1998</t>
        </is>
      </c>
      <c r="P486" t="inlineStr">
        <is>
          <t>2nd ed.</t>
        </is>
      </c>
      <c r="Q486" t="inlineStr">
        <is>
          <t>eng</t>
        </is>
      </c>
      <c r="R486" t="inlineStr">
        <is>
          <t>cau</t>
        </is>
      </c>
      <c r="T486" t="inlineStr">
        <is>
          <t xml:space="preserve">WY </t>
        </is>
      </c>
      <c r="U486" t="n">
        <v>8</v>
      </c>
      <c r="V486" t="n">
        <v>8</v>
      </c>
      <c r="W486" t="inlineStr">
        <is>
          <t>2008-08-27</t>
        </is>
      </c>
      <c r="X486" t="inlineStr">
        <is>
          <t>2008-08-27</t>
        </is>
      </c>
      <c r="Y486" t="inlineStr">
        <is>
          <t>1999-04-15</t>
        </is>
      </c>
      <c r="Z486" t="inlineStr">
        <is>
          <t>1999-04-15</t>
        </is>
      </c>
      <c r="AA486" t="n">
        <v>301</v>
      </c>
      <c r="AB486" t="n">
        <v>207</v>
      </c>
      <c r="AC486" t="n">
        <v>1076</v>
      </c>
      <c r="AD486" t="n">
        <v>2</v>
      </c>
      <c r="AE486" t="n">
        <v>14</v>
      </c>
      <c r="AF486" t="n">
        <v>14</v>
      </c>
      <c r="AG486" t="n">
        <v>41</v>
      </c>
      <c r="AH486" t="n">
        <v>3</v>
      </c>
      <c r="AI486" t="n">
        <v>13</v>
      </c>
      <c r="AJ486" t="n">
        <v>5</v>
      </c>
      <c r="AK486" t="n">
        <v>7</v>
      </c>
      <c r="AL486" t="n">
        <v>8</v>
      </c>
      <c r="AM486" t="n">
        <v>16</v>
      </c>
      <c r="AN486" t="n">
        <v>1</v>
      </c>
      <c r="AO486" t="n">
        <v>12</v>
      </c>
      <c r="AP486" t="n">
        <v>0</v>
      </c>
      <c r="AQ486" t="n">
        <v>1</v>
      </c>
      <c r="AR486" t="inlineStr">
        <is>
          <t>No</t>
        </is>
      </c>
      <c r="AS486" t="inlineStr">
        <is>
          <t>Yes</t>
        </is>
      </c>
      <c r="AT486">
        <f>HYPERLINK("http://catalog.hathitrust.org/Record/003246358","HathiTrust Record")</f>
        <v/>
      </c>
      <c r="AU486">
        <f>HYPERLINK("https://creighton-primo.hosted.exlibrisgroup.com/primo-explore/search?tab=default_tab&amp;search_scope=EVERYTHING&amp;vid=01CRU&amp;lang=en_US&amp;offset=0&amp;query=any,contains,991001549939702656","Catalog Record")</f>
        <v/>
      </c>
      <c r="AV486">
        <f>HYPERLINK("http://www.worldcat.org/oclc/37594182","WorldCat Record")</f>
        <v/>
      </c>
      <c r="AW486" t="inlineStr">
        <is>
          <t>355445496:eng</t>
        </is>
      </c>
      <c r="AX486" t="inlineStr">
        <is>
          <t>37594182</t>
        </is>
      </c>
      <c r="AY486" t="inlineStr">
        <is>
          <t>991001549939702656</t>
        </is>
      </c>
      <c r="AZ486" t="inlineStr">
        <is>
          <t>991001549939702656</t>
        </is>
      </c>
      <c r="BA486" t="inlineStr">
        <is>
          <t>2264239850002656</t>
        </is>
      </c>
      <c r="BB486" t="inlineStr">
        <is>
          <t>BOOK</t>
        </is>
      </c>
      <c r="BD486" t="inlineStr">
        <is>
          <t>9780803958005</t>
        </is>
      </c>
      <c r="BE486" t="inlineStr">
        <is>
          <t>30001004071637</t>
        </is>
      </c>
      <c r="BF486" t="inlineStr">
        <is>
          <t>893834724</t>
        </is>
      </c>
    </row>
    <row r="487">
      <c r="A487" t="inlineStr">
        <is>
          <t>No</t>
        </is>
      </c>
      <c r="B487" t="inlineStr">
        <is>
          <t>CUHSL</t>
        </is>
      </c>
      <c r="C487" t="inlineStr">
        <is>
          <t>SHELVES</t>
        </is>
      </c>
      <c r="D487" t="inlineStr">
        <is>
          <t>WY 20.5 A512i 1973</t>
        </is>
      </c>
      <c r="E487" t="inlineStr">
        <is>
          <t>0                      WY 0020500A  512i        1973</t>
        </is>
      </c>
      <c r="F487" t="inlineStr">
        <is>
          <t>Issues in research: social, professional, and methodological; selected papers from the American Nurses' Association Council of Nurse Researchers Program Meeting, August 22-24, 1973.</t>
        </is>
      </c>
      <c r="H487" t="inlineStr">
        <is>
          <t>No</t>
        </is>
      </c>
      <c r="I487" t="inlineStr">
        <is>
          <t>1</t>
        </is>
      </c>
      <c r="J487" t="inlineStr">
        <is>
          <t>No</t>
        </is>
      </c>
      <c r="K487" t="inlineStr">
        <is>
          <t>No</t>
        </is>
      </c>
      <c r="L487" t="inlineStr">
        <is>
          <t>0</t>
        </is>
      </c>
      <c r="M487" t="inlineStr">
        <is>
          <t>American Nurses' Association Council of Nurse Researchers Program Meeting (1973 : Denver, Colo.)</t>
        </is>
      </c>
      <c r="N487" t="inlineStr">
        <is>
          <t>[Kansas City, Mo., American Nurses' Assn., c1974]</t>
        </is>
      </c>
      <c r="O487" t="inlineStr">
        <is>
          <t>1974</t>
        </is>
      </c>
      <c r="Q487" t="inlineStr">
        <is>
          <t>eng</t>
        </is>
      </c>
      <c r="R487" t="inlineStr">
        <is>
          <t>xxu</t>
        </is>
      </c>
      <c r="S487" t="inlineStr">
        <is>
          <t>ANA pub ; no. D-44</t>
        </is>
      </c>
      <c r="T487" t="inlineStr">
        <is>
          <t xml:space="preserve">WY </t>
        </is>
      </c>
      <c r="U487" t="n">
        <v>2</v>
      </c>
      <c r="V487" t="n">
        <v>2</v>
      </c>
      <c r="W487" t="inlineStr">
        <is>
          <t>1992-01-23</t>
        </is>
      </c>
      <c r="X487" t="inlineStr">
        <is>
          <t>1992-01-23</t>
        </is>
      </c>
      <c r="Y487" t="inlineStr">
        <is>
          <t>1987-12-02</t>
        </is>
      </c>
      <c r="Z487" t="inlineStr">
        <is>
          <t>1987-12-02</t>
        </is>
      </c>
      <c r="AA487" t="n">
        <v>21</v>
      </c>
      <c r="AB487" t="n">
        <v>21</v>
      </c>
      <c r="AC487" t="n">
        <v>69</v>
      </c>
      <c r="AD487" t="n">
        <v>1</v>
      </c>
      <c r="AE487" t="n">
        <v>1</v>
      </c>
      <c r="AF487" t="n">
        <v>2</v>
      </c>
      <c r="AG487" t="n">
        <v>5</v>
      </c>
      <c r="AH487" t="n">
        <v>0</v>
      </c>
      <c r="AI487" t="n">
        <v>1</v>
      </c>
      <c r="AJ487" t="n">
        <v>1</v>
      </c>
      <c r="AK487" t="n">
        <v>1</v>
      </c>
      <c r="AL487" t="n">
        <v>1</v>
      </c>
      <c r="AM487" t="n">
        <v>3</v>
      </c>
      <c r="AN487" t="n">
        <v>0</v>
      </c>
      <c r="AO487" t="n">
        <v>0</v>
      </c>
      <c r="AP487" t="n">
        <v>0</v>
      </c>
      <c r="AQ487" t="n">
        <v>0</v>
      </c>
      <c r="AR487" t="inlineStr">
        <is>
          <t>No</t>
        </is>
      </c>
      <c r="AS487" t="inlineStr">
        <is>
          <t>No</t>
        </is>
      </c>
      <c r="AU487">
        <f>HYPERLINK("https://creighton-primo.hosted.exlibrisgroup.com/primo-explore/search?tab=default_tab&amp;search_scope=EVERYTHING&amp;vid=01CRU&amp;lang=en_US&amp;offset=0&amp;query=any,contains,991001520739702656","Catalog Record")</f>
        <v/>
      </c>
      <c r="AV487">
        <f>HYPERLINK("http://www.worldcat.org/oclc/5262628","WorldCat Record")</f>
        <v/>
      </c>
      <c r="AW487" t="inlineStr">
        <is>
          <t>2454541:eng</t>
        </is>
      </c>
      <c r="AX487" t="inlineStr">
        <is>
          <t>5262628</t>
        </is>
      </c>
      <c r="AY487" t="inlineStr">
        <is>
          <t>991001520739702656</t>
        </is>
      </c>
      <c r="AZ487" t="inlineStr">
        <is>
          <t>991001520739702656</t>
        </is>
      </c>
      <c r="BA487" t="inlineStr">
        <is>
          <t>2256971210002656</t>
        </is>
      </c>
      <c r="BB487" t="inlineStr">
        <is>
          <t>BOOK</t>
        </is>
      </c>
      <c r="BE487" t="inlineStr">
        <is>
          <t>30001000602575</t>
        </is>
      </c>
      <c r="BF487" t="inlineStr">
        <is>
          <t>893451294</t>
        </is>
      </c>
    </row>
    <row r="488">
      <c r="A488" t="inlineStr">
        <is>
          <t>No</t>
        </is>
      </c>
      <c r="B488" t="inlineStr">
        <is>
          <t>CUHSL</t>
        </is>
      </c>
      <c r="C488" t="inlineStr">
        <is>
          <t>SHELVES</t>
        </is>
      </c>
      <c r="D488" t="inlineStr">
        <is>
          <t>WY 20.5 A512r 1981</t>
        </is>
      </c>
      <c r="E488" t="inlineStr">
        <is>
          <t>0                      WY 0020500A  512r        1981</t>
        </is>
      </c>
      <c r="F488" t="inlineStr">
        <is>
          <t>Research priorities for the 1980s : generating a scientific basis for nursing practice.</t>
        </is>
      </c>
      <c r="H488" t="inlineStr">
        <is>
          <t>No</t>
        </is>
      </c>
      <c r="I488" t="inlineStr">
        <is>
          <t>1</t>
        </is>
      </c>
      <c r="J488" t="inlineStr">
        <is>
          <t>No</t>
        </is>
      </c>
      <c r="K488" t="inlineStr">
        <is>
          <t>No</t>
        </is>
      </c>
      <c r="L488" t="inlineStr">
        <is>
          <t>0</t>
        </is>
      </c>
      <c r="N488" t="inlineStr">
        <is>
          <t>Kansas City, Mo. (2420 Pershing Road, Kansas City, Mo. 64108) : American Nurses' Association, Commission on Nursing Research, c1981.</t>
        </is>
      </c>
      <c r="O488" t="inlineStr">
        <is>
          <t>1981</t>
        </is>
      </c>
      <c r="Q488" t="inlineStr">
        <is>
          <t>eng</t>
        </is>
      </c>
      <c r="R488" t="inlineStr">
        <is>
          <t>mou</t>
        </is>
      </c>
      <c r="S488" t="inlineStr">
        <is>
          <t>ANA pub ; no. D-68</t>
        </is>
      </c>
      <c r="T488" t="inlineStr">
        <is>
          <t xml:space="preserve">WY </t>
        </is>
      </c>
      <c r="U488" t="n">
        <v>3</v>
      </c>
      <c r="V488" t="n">
        <v>3</v>
      </c>
      <c r="W488" t="inlineStr">
        <is>
          <t>2003-02-11</t>
        </is>
      </c>
      <c r="X488" t="inlineStr">
        <is>
          <t>2003-02-11</t>
        </is>
      </c>
      <c r="Y488" t="inlineStr">
        <is>
          <t>1987-12-10</t>
        </is>
      </c>
      <c r="Z488" t="inlineStr">
        <is>
          <t>1987-12-10</t>
        </is>
      </c>
      <c r="AA488" t="n">
        <v>16</v>
      </c>
      <c r="AB488" t="n">
        <v>14</v>
      </c>
      <c r="AC488" t="n">
        <v>15</v>
      </c>
      <c r="AD488" t="n">
        <v>1</v>
      </c>
      <c r="AE488" t="n">
        <v>1</v>
      </c>
      <c r="AF488" t="n">
        <v>0</v>
      </c>
      <c r="AG488" t="n">
        <v>0</v>
      </c>
      <c r="AH488" t="n">
        <v>0</v>
      </c>
      <c r="AI488" t="n">
        <v>0</v>
      </c>
      <c r="AJ488" t="n">
        <v>0</v>
      </c>
      <c r="AK488" t="n">
        <v>0</v>
      </c>
      <c r="AL488" t="n">
        <v>0</v>
      </c>
      <c r="AM488" t="n">
        <v>0</v>
      </c>
      <c r="AN488" t="n">
        <v>0</v>
      </c>
      <c r="AO488" t="n">
        <v>0</v>
      </c>
      <c r="AP488" t="n">
        <v>0</v>
      </c>
      <c r="AQ488" t="n">
        <v>0</v>
      </c>
      <c r="AR488" t="inlineStr">
        <is>
          <t>No</t>
        </is>
      </c>
      <c r="AS488" t="inlineStr">
        <is>
          <t>No</t>
        </is>
      </c>
      <c r="AU488">
        <f>HYPERLINK("https://creighton-primo.hosted.exlibrisgroup.com/primo-explore/search?tab=default_tab&amp;search_scope=EVERYTHING&amp;vid=01CRU&amp;lang=en_US&amp;offset=0&amp;query=any,contains,991001519739702656","Catalog Record")</f>
        <v/>
      </c>
      <c r="AV488">
        <f>HYPERLINK("http://www.worldcat.org/oclc/8134214","WorldCat Record")</f>
        <v/>
      </c>
      <c r="AW488" t="inlineStr">
        <is>
          <t>31151901:eng</t>
        </is>
      </c>
      <c r="AX488" t="inlineStr">
        <is>
          <t>8134214</t>
        </is>
      </c>
      <c r="AY488" t="inlineStr">
        <is>
          <t>991001519739702656</t>
        </is>
      </c>
      <c r="AZ488" t="inlineStr">
        <is>
          <t>991001519739702656</t>
        </is>
      </c>
      <c r="BA488" t="inlineStr">
        <is>
          <t>2264700350002656</t>
        </is>
      </c>
      <c r="BB488" t="inlineStr">
        <is>
          <t>BOOK</t>
        </is>
      </c>
      <c r="BE488" t="inlineStr">
        <is>
          <t>30001000602229</t>
        </is>
      </c>
      <c r="BF488" t="inlineStr">
        <is>
          <t>893561060</t>
        </is>
      </c>
    </row>
    <row r="489">
      <c r="A489" t="inlineStr">
        <is>
          <t>No</t>
        </is>
      </c>
      <c r="B489" t="inlineStr">
        <is>
          <t>CUHSL</t>
        </is>
      </c>
      <c r="C489" t="inlineStr">
        <is>
          <t>SHELVES</t>
        </is>
      </c>
      <c r="D489" t="inlineStr">
        <is>
          <t>WY 20.5 B658 1996</t>
        </is>
      </c>
      <c r="E489" t="inlineStr">
        <is>
          <t>0                      WY 0020500B  658         1996</t>
        </is>
      </c>
      <c r="F489" t="inlineStr">
        <is>
          <t>Blueprint for use of nursing models / Patricia Hinton Walker, Betty Neuman, editors.</t>
        </is>
      </c>
      <c r="H489" t="inlineStr">
        <is>
          <t>No</t>
        </is>
      </c>
      <c r="I489" t="inlineStr">
        <is>
          <t>1</t>
        </is>
      </c>
      <c r="J489" t="inlineStr">
        <is>
          <t>No</t>
        </is>
      </c>
      <c r="K489" t="inlineStr">
        <is>
          <t>No</t>
        </is>
      </c>
      <c r="L489" t="inlineStr">
        <is>
          <t>0</t>
        </is>
      </c>
      <c r="N489" t="inlineStr">
        <is>
          <t>New York : National League for Nursing Press, c1996.</t>
        </is>
      </c>
      <c r="O489" t="inlineStr">
        <is>
          <t>1996</t>
        </is>
      </c>
      <c r="Q489" t="inlineStr">
        <is>
          <t>eng</t>
        </is>
      </c>
      <c r="R489" t="inlineStr">
        <is>
          <t>nyu</t>
        </is>
      </c>
      <c r="S489" t="inlineStr">
        <is>
          <t>NLN pub. no. 14-2696.</t>
        </is>
      </c>
      <c r="T489" t="inlineStr">
        <is>
          <t xml:space="preserve">WY </t>
        </is>
      </c>
      <c r="U489" t="n">
        <v>6</v>
      </c>
      <c r="V489" t="n">
        <v>6</v>
      </c>
      <c r="W489" t="inlineStr">
        <is>
          <t>2008-08-27</t>
        </is>
      </c>
      <c r="X489" t="inlineStr">
        <is>
          <t>2008-08-27</t>
        </is>
      </c>
      <c r="Y489" t="inlineStr">
        <is>
          <t>2000-06-15</t>
        </is>
      </c>
      <c r="Z489" t="inlineStr">
        <is>
          <t>2000-06-15</t>
        </is>
      </c>
      <c r="AA489" t="n">
        <v>321</v>
      </c>
      <c r="AB489" t="n">
        <v>287</v>
      </c>
      <c r="AC489" t="n">
        <v>291</v>
      </c>
      <c r="AD489" t="n">
        <v>3</v>
      </c>
      <c r="AE489" t="n">
        <v>3</v>
      </c>
      <c r="AF489" t="n">
        <v>18</v>
      </c>
      <c r="AG489" t="n">
        <v>18</v>
      </c>
      <c r="AH489" t="n">
        <v>9</v>
      </c>
      <c r="AI489" t="n">
        <v>9</v>
      </c>
      <c r="AJ489" t="n">
        <v>5</v>
      </c>
      <c r="AK489" t="n">
        <v>5</v>
      </c>
      <c r="AL489" t="n">
        <v>7</v>
      </c>
      <c r="AM489" t="n">
        <v>7</v>
      </c>
      <c r="AN489" t="n">
        <v>1</v>
      </c>
      <c r="AO489" t="n">
        <v>1</v>
      </c>
      <c r="AP489" t="n">
        <v>0</v>
      </c>
      <c r="AQ489" t="n">
        <v>0</v>
      </c>
      <c r="AR489" t="inlineStr">
        <is>
          <t>No</t>
        </is>
      </c>
      <c r="AS489" t="inlineStr">
        <is>
          <t>Yes</t>
        </is>
      </c>
      <c r="AT489">
        <f>HYPERLINK("http://catalog.hathitrust.org/Record/003078027","HathiTrust Record")</f>
        <v/>
      </c>
      <c r="AU489">
        <f>HYPERLINK("https://creighton-primo.hosted.exlibrisgroup.com/primo-explore/search?tab=default_tab&amp;search_scope=EVERYTHING&amp;vid=01CRU&amp;lang=en_US&amp;offset=0&amp;query=any,contains,991000261259702656","Catalog Record")</f>
        <v/>
      </c>
      <c r="AV489">
        <f>HYPERLINK("http://www.worldcat.org/oclc/34699519","WorldCat Record")</f>
        <v/>
      </c>
      <c r="AW489" t="inlineStr">
        <is>
          <t>474177326:eng</t>
        </is>
      </c>
      <c r="AX489" t="inlineStr">
        <is>
          <t>34699519</t>
        </is>
      </c>
      <c r="AY489" t="inlineStr">
        <is>
          <t>991000261259702656</t>
        </is>
      </c>
      <c r="AZ489" t="inlineStr">
        <is>
          <t>991000261259702656</t>
        </is>
      </c>
      <c r="BA489" t="inlineStr">
        <is>
          <t>2261990290002656</t>
        </is>
      </c>
      <c r="BB489" t="inlineStr">
        <is>
          <t>BOOK</t>
        </is>
      </c>
      <c r="BD489" t="inlineStr">
        <is>
          <t>9780887376566</t>
        </is>
      </c>
      <c r="BE489" t="inlineStr">
        <is>
          <t>30001003446152</t>
        </is>
      </c>
      <c r="BF489" t="inlineStr">
        <is>
          <t>893359384</t>
        </is>
      </c>
    </row>
    <row r="490">
      <c r="A490" t="inlineStr">
        <is>
          <t>No</t>
        </is>
      </c>
      <c r="B490" t="inlineStr">
        <is>
          <t>CUHSL</t>
        </is>
      </c>
      <c r="C490" t="inlineStr">
        <is>
          <t>SHELVES</t>
        </is>
      </c>
      <c r="D490" t="inlineStr">
        <is>
          <t>WY 20.5 B858b 1994</t>
        </is>
      </c>
      <c r="E490" t="inlineStr">
        <is>
          <t>0                      WY 0020500B  858b        1994</t>
        </is>
      </c>
      <c r="F490" t="inlineStr">
        <is>
          <t>Basic steps in planning nursing research : from question to proposal / Pamela J. Brink, Marilynn J. Wood.</t>
        </is>
      </c>
      <c r="H490" t="inlineStr">
        <is>
          <t>No</t>
        </is>
      </c>
      <c r="I490" t="inlineStr">
        <is>
          <t>1</t>
        </is>
      </c>
      <c r="J490" t="inlineStr">
        <is>
          <t>No</t>
        </is>
      </c>
      <c r="K490" t="inlineStr">
        <is>
          <t>Yes</t>
        </is>
      </c>
      <c r="L490" t="inlineStr">
        <is>
          <t>0</t>
        </is>
      </c>
      <c r="M490" t="inlineStr">
        <is>
          <t>Brink, Pamela J.</t>
        </is>
      </c>
      <c r="N490" t="inlineStr">
        <is>
          <t>Boston : Jones and Bartlett Publishers, c1994.</t>
        </is>
      </c>
      <c r="O490" t="inlineStr">
        <is>
          <t>1994</t>
        </is>
      </c>
      <c r="P490" t="inlineStr">
        <is>
          <t>4th ed.</t>
        </is>
      </c>
      <c r="Q490" t="inlineStr">
        <is>
          <t>eng</t>
        </is>
      </c>
      <c r="R490" t="inlineStr">
        <is>
          <t>mau</t>
        </is>
      </c>
      <c r="S490" t="inlineStr">
        <is>
          <t>The Jones and Bartlett series in nursing</t>
        </is>
      </c>
      <c r="T490" t="inlineStr">
        <is>
          <t xml:space="preserve">WY </t>
        </is>
      </c>
      <c r="U490" t="n">
        <v>6</v>
      </c>
      <c r="V490" t="n">
        <v>6</v>
      </c>
      <c r="W490" t="inlineStr">
        <is>
          <t>2001-04-10</t>
        </is>
      </c>
      <c r="X490" t="inlineStr">
        <is>
          <t>2001-04-10</t>
        </is>
      </c>
      <c r="Y490" t="inlineStr">
        <is>
          <t>1995-02-15</t>
        </is>
      </c>
      <c r="Z490" t="inlineStr">
        <is>
          <t>1995-02-15</t>
        </is>
      </c>
      <c r="AA490" t="n">
        <v>329</v>
      </c>
      <c r="AB490" t="n">
        <v>243</v>
      </c>
      <c r="AC490" t="n">
        <v>972</v>
      </c>
      <c r="AD490" t="n">
        <v>2</v>
      </c>
      <c r="AE490" t="n">
        <v>11</v>
      </c>
      <c r="AF490" t="n">
        <v>10</v>
      </c>
      <c r="AG490" t="n">
        <v>36</v>
      </c>
      <c r="AH490" t="n">
        <v>2</v>
      </c>
      <c r="AI490" t="n">
        <v>13</v>
      </c>
      <c r="AJ490" t="n">
        <v>3</v>
      </c>
      <c r="AK490" t="n">
        <v>7</v>
      </c>
      <c r="AL490" t="n">
        <v>7</v>
      </c>
      <c r="AM490" t="n">
        <v>15</v>
      </c>
      <c r="AN490" t="n">
        <v>1</v>
      </c>
      <c r="AO490" t="n">
        <v>7</v>
      </c>
      <c r="AP490" t="n">
        <v>0</v>
      </c>
      <c r="AQ490" t="n">
        <v>0</v>
      </c>
      <c r="AR490" t="inlineStr">
        <is>
          <t>No</t>
        </is>
      </c>
      <c r="AS490" t="inlineStr">
        <is>
          <t>Yes</t>
        </is>
      </c>
      <c r="AT490">
        <f>HYPERLINK("http://catalog.hathitrust.org/Record/004531419","HathiTrust Record")</f>
        <v/>
      </c>
      <c r="AU490">
        <f>HYPERLINK("https://creighton-primo.hosted.exlibrisgroup.com/primo-explore/search?tab=default_tab&amp;search_scope=EVERYTHING&amp;vid=01CRU&amp;lang=en_US&amp;offset=0&amp;query=any,contains,991000688809702656","Catalog Record")</f>
        <v/>
      </c>
      <c r="AV490">
        <f>HYPERLINK("http://www.worldcat.org/oclc/29310473","WorldCat Record")</f>
        <v/>
      </c>
      <c r="AW490" t="inlineStr">
        <is>
          <t>9575071:eng</t>
        </is>
      </c>
      <c r="AX490" t="inlineStr">
        <is>
          <t>29310473</t>
        </is>
      </c>
      <c r="AY490" t="inlineStr">
        <is>
          <t>991000688809702656</t>
        </is>
      </c>
      <c r="AZ490" t="inlineStr">
        <is>
          <t>991000688809702656</t>
        </is>
      </c>
      <c r="BA490" t="inlineStr">
        <is>
          <t>2257533280002656</t>
        </is>
      </c>
      <c r="BB490" t="inlineStr">
        <is>
          <t>BOOK</t>
        </is>
      </c>
      <c r="BD490" t="inlineStr">
        <is>
          <t>9780867206777</t>
        </is>
      </c>
      <c r="BE490" t="inlineStr">
        <is>
          <t>30001002699728</t>
        </is>
      </c>
      <c r="BF490" t="inlineStr">
        <is>
          <t>893467515</t>
        </is>
      </c>
    </row>
    <row r="491">
      <c r="A491" t="inlineStr">
        <is>
          <t>No</t>
        </is>
      </c>
      <c r="B491" t="inlineStr">
        <is>
          <t>CUHSL</t>
        </is>
      </c>
      <c r="C491" t="inlineStr">
        <is>
          <t>SHELVES</t>
        </is>
      </c>
      <c r="D491" t="inlineStr">
        <is>
          <t>WY 20.5 B967p 1997</t>
        </is>
      </c>
      <c r="E491" t="inlineStr">
        <is>
          <t>0                      WY 0020500B  967p        1997</t>
        </is>
      </c>
      <c r="F491" t="inlineStr">
        <is>
          <t>The practice of nursing research : conduct, critique &amp; utilization / Nancy Burns, Susan K. Grove.</t>
        </is>
      </c>
      <c r="H491" t="inlineStr">
        <is>
          <t>No</t>
        </is>
      </c>
      <c r="I491" t="inlineStr">
        <is>
          <t>1</t>
        </is>
      </c>
      <c r="J491" t="inlineStr">
        <is>
          <t>No</t>
        </is>
      </c>
      <c r="K491" t="inlineStr">
        <is>
          <t>Yes</t>
        </is>
      </c>
      <c r="L491" t="inlineStr">
        <is>
          <t>0</t>
        </is>
      </c>
      <c r="M491" t="inlineStr">
        <is>
          <t>Burns, Nancy (Nancy Ann)</t>
        </is>
      </c>
      <c r="N491" t="inlineStr">
        <is>
          <t>Philadelphia : Saunders, c1997.</t>
        </is>
      </c>
      <c r="O491" t="inlineStr">
        <is>
          <t>1997</t>
        </is>
      </c>
      <c r="P491" t="inlineStr">
        <is>
          <t>3rd ed.</t>
        </is>
      </c>
      <c r="Q491" t="inlineStr">
        <is>
          <t>eng</t>
        </is>
      </c>
      <c r="R491" t="inlineStr">
        <is>
          <t>pau</t>
        </is>
      </c>
      <c r="T491" t="inlineStr">
        <is>
          <t xml:space="preserve">WY </t>
        </is>
      </c>
      <c r="U491" t="n">
        <v>13</v>
      </c>
      <c r="V491" t="n">
        <v>13</v>
      </c>
      <c r="W491" t="inlineStr">
        <is>
          <t>2000-09-26</t>
        </is>
      </c>
      <c r="X491" t="inlineStr">
        <is>
          <t>2000-09-26</t>
        </is>
      </c>
      <c r="Y491" t="inlineStr">
        <is>
          <t>1997-04-14</t>
        </is>
      </c>
      <c r="Z491" t="inlineStr">
        <is>
          <t>1997-04-14</t>
        </is>
      </c>
      <c r="AA491" t="n">
        <v>336</v>
      </c>
      <c r="AB491" t="n">
        <v>224</v>
      </c>
      <c r="AC491" t="n">
        <v>615</v>
      </c>
      <c r="AD491" t="n">
        <v>1</v>
      </c>
      <c r="AE491" t="n">
        <v>4</v>
      </c>
      <c r="AF491" t="n">
        <v>10</v>
      </c>
      <c r="AG491" t="n">
        <v>22</v>
      </c>
      <c r="AH491" t="n">
        <v>6</v>
      </c>
      <c r="AI491" t="n">
        <v>9</v>
      </c>
      <c r="AJ491" t="n">
        <v>1</v>
      </c>
      <c r="AK491" t="n">
        <v>4</v>
      </c>
      <c r="AL491" t="n">
        <v>6</v>
      </c>
      <c r="AM491" t="n">
        <v>13</v>
      </c>
      <c r="AN491" t="n">
        <v>0</v>
      </c>
      <c r="AO491" t="n">
        <v>2</v>
      </c>
      <c r="AP491" t="n">
        <v>0</v>
      </c>
      <c r="AQ491" t="n">
        <v>0</v>
      </c>
      <c r="AR491" t="inlineStr">
        <is>
          <t>No</t>
        </is>
      </c>
      <c r="AS491" t="inlineStr">
        <is>
          <t>No</t>
        </is>
      </c>
      <c r="AU491">
        <f>HYPERLINK("https://creighton-primo.hosted.exlibrisgroup.com/primo-explore/search?tab=default_tab&amp;search_scope=EVERYTHING&amp;vid=01CRU&amp;lang=en_US&amp;offset=0&amp;query=any,contains,991000839589702656","Catalog Record")</f>
        <v/>
      </c>
      <c r="AV491">
        <f>HYPERLINK("http://www.worldcat.org/oclc/34824049","WorldCat Record")</f>
        <v/>
      </c>
      <c r="AW491" t="inlineStr">
        <is>
          <t>429445:eng</t>
        </is>
      </c>
      <c r="AX491" t="inlineStr">
        <is>
          <t>34824049</t>
        </is>
      </c>
      <c r="AY491" t="inlineStr">
        <is>
          <t>991000839589702656</t>
        </is>
      </c>
      <c r="AZ491" t="inlineStr">
        <is>
          <t>991000839589702656</t>
        </is>
      </c>
      <c r="BA491" t="inlineStr">
        <is>
          <t>2262119140002656</t>
        </is>
      </c>
      <c r="BB491" t="inlineStr">
        <is>
          <t>BOOK</t>
        </is>
      </c>
      <c r="BD491" t="inlineStr">
        <is>
          <t>9780721630540</t>
        </is>
      </c>
      <c r="BE491" t="inlineStr">
        <is>
          <t>30001003443720</t>
        </is>
      </c>
      <c r="BF491" t="inlineStr">
        <is>
          <t>893831533</t>
        </is>
      </c>
    </row>
    <row r="492">
      <c r="A492" t="inlineStr">
        <is>
          <t>No</t>
        </is>
      </c>
      <c r="B492" t="inlineStr">
        <is>
          <t>CUHSL</t>
        </is>
      </c>
      <c r="C492" t="inlineStr">
        <is>
          <t>SHELVES</t>
        </is>
      </c>
      <c r="D492" t="inlineStr">
        <is>
          <t>WY20.5 B967u 2003</t>
        </is>
      </c>
      <c r="E492" t="inlineStr">
        <is>
          <t>0                      WY 0020500B  967u        2003</t>
        </is>
      </c>
      <c r="F492" t="inlineStr">
        <is>
          <t>Understanding nursing research / Nancy Burns, Susan K. Grove.</t>
        </is>
      </c>
      <c r="H492" t="inlineStr">
        <is>
          <t>No</t>
        </is>
      </c>
      <c r="I492" t="inlineStr">
        <is>
          <t>1</t>
        </is>
      </c>
      <c r="J492" t="inlineStr">
        <is>
          <t>No</t>
        </is>
      </c>
      <c r="K492" t="inlineStr">
        <is>
          <t>Yes</t>
        </is>
      </c>
      <c r="L492" t="inlineStr">
        <is>
          <t>0</t>
        </is>
      </c>
      <c r="M492" t="inlineStr">
        <is>
          <t>Burns, Nancy (Nancy Ann)</t>
        </is>
      </c>
      <c r="N492" t="inlineStr">
        <is>
          <t>Philadelphia, Pa. : Saunders, c2003.</t>
        </is>
      </c>
      <c r="O492" t="inlineStr">
        <is>
          <t>2003</t>
        </is>
      </c>
      <c r="P492" t="inlineStr">
        <is>
          <t>3rd ed.</t>
        </is>
      </c>
      <c r="Q492" t="inlineStr">
        <is>
          <t>eng</t>
        </is>
      </c>
      <c r="R492" t="inlineStr">
        <is>
          <t>pau</t>
        </is>
      </c>
      <c r="T492" t="inlineStr">
        <is>
          <t xml:space="preserve">WY </t>
        </is>
      </c>
      <c r="U492" t="n">
        <v>4</v>
      </c>
      <c r="V492" t="n">
        <v>4</v>
      </c>
      <c r="W492" t="inlineStr">
        <is>
          <t>2005-02-11</t>
        </is>
      </c>
      <c r="X492" t="inlineStr">
        <is>
          <t>2005-02-11</t>
        </is>
      </c>
      <c r="Y492" t="inlineStr">
        <is>
          <t>2003-06-24</t>
        </is>
      </c>
      <c r="Z492" t="inlineStr">
        <is>
          <t>2003-06-24</t>
        </is>
      </c>
      <c r="AA492" t="n">
        <v>302</v>
      </c>
      <c r="AB492" t="n">
        <v>212</v>
      </c>
      <c r="AC492" t="n">
        <v>855</v>
      </c>
      <c r="AD492" t="n">
        <v>2</v>
      </c>
      <c r="AE492" t="n">
        <v>6</v>
      </c>
      <c r="AF492" t="n">
        <v>13</v>
      </c>
      <c r="AG492" t="n">
        <v>35</v>
      </c>
      <c r="AH492" t="n">
        <v>5</v>
      </c>
      <c r="AI492" t="n">
        <v>14</v>
      </c>
      <c r="AJ492" t="n">
        <v>2</v>
      </c>
      <c r="AK492" t="n">
        <v>5</v>
      </c>
      <c r="AL492" t="n">
        <v>6</v>
      </c>
      <c r="AM492" t="n">
        <v>17</v>
      </c>
      <c r="AN492" t="n">
        <v>1</v>
      </c>
      <c r="AO492" t="n">
        <v>5</v>
      </c>
      <c r="AP492" t="n">
        <v>0</v>
      </c>
      <c r="AQ492" t="n">
        <v>0</v>
      </c>
      <c r="AR492" t="inlineStr">
        <is>
          <t>No</t>
        </is>
      </c>
      <c r="AS492" t="inlineStr">
        <is>
          <t>Yes</t>
        </is>
      </c>
      <c r="AT492">
        <f>HYPERLINK("http://catalog.hathitrust.org/Record/004295692","HathiTrust Record")</f>
        <v/>
      </c>
      <c r="AU492">
        <f>HYPERLINK("https://creighton-primo.hosted.exlibrisgroup.com/primo-explore/search?tab=default_tab&amp;search_scope=EVERYTHING&amp;vid=01CRU&amp;lang=en_US&amp;offset=0&amp;query=any,contains,991000351539702656","Catalog Record")</f>
        <v/>
      </c>
      <c r="AV492">
        <f>HYPERLINK("http://www.worldcat.org/oclc/50984422","WorldCat Record")</f>
        <v/>
      </c>
      <c r="AW492" t="inlineStr">
        <is>
          <t>197492987:eng</t>
        </is>
      </c>
      <c r="AX492" t="inlineStr">
        <is>
          <t>50984422</t>
        </is>
      </c>
      <c r="AY492" t="inlineStr">
        <is>
          <t>991000351539702656</t>
        </is>
      </c>
      <c r="AZ492" t="inlineStr">
        <is>
          <t>991000351539702656</t>
        </is>
      </c>
      <c r="BA492" t="inlineStr">
        <is>
          <t>2268888080002656</t>
        </is>
      </c>
      <c r="BB492" t="inlineStr">
        <is>
          <t>BOOK</t>
        </is>
      </c>
      <c r="BD492" t="inlineStr">
        <is>
          <t>9780721600116</t>
        </is>
      </c>
      <c r="BE492" t="inlineStr">
        <is>
          <t>30001004504819</t>
        </is>
      </c>
      <c r="BF492" t="inlineStr">
        <is>
          <t>893732803</t>
        </is>
      </c>
    </row>
    <row r="493">
      <c r="A493" t="inlineStr">
        <is>
          <t>No</t>
        </is>
      </c>
      <c r="B493" t="inlineStr">
        <is>
          <t>CUHSL</t>
        </is>
      </c>
      <c r="C493" t="inlineStr">
        <is>
          <t>SHELVES</t>
        </is>
      </c>
      <c r="D493" t="inlineStr">
        <is>
          <t>WY 20.5 B978n 1985</t>
        </is>
      </c>
      <c r="E493" t="inlineStr">
        <is>
          <t>0                      WY 0020500B  978n        1985</t>
        </is>
      </c>
      <c r="F493" t="inlineStr">
        <is>
          <t>Nursing research / Carol T. Bush.</t>
        </is>
      </c>
      <c r="H493" t="inlineStr">
        <is>
          <t>No</t>
        </is>
      </c>
      <c r="I493" t="inlineStr">
        <is>
          <t>1</t>
        </is>
      </c>
      <c r="J493" t="inlineStr">
        <is>
          <t>No</t>
        </is>
      </c>
      <c r="K493" t="inlineStr">
        <is>
          <t>No</t>
        </is>
      </c>
      <c r="L493" t="inlineStr">
        <is>
          <t>0</t>
        </is>
      </c>
      <c r="M493" t="inlineStr">
        <is>
          <t>Bush, Carol T.</t>
        </is>
      </c>
      <c r="N493" t="inlineStr">
        <is>
          <t>Reston, Va. : Reston Pub. Co., c1985.</t>
        </is>
      </c>
      <c r="O493" t="inlineStr">
        <is>
          <t>1985</t>
        </is>
      </c>
      <c r="Q493" t="inlineStr">
        <is>
          <t>eng</t>
        </is>
      </c>
      <c r="R493" t="inlineStr">
        <is>
          <t>xxu</t>
        </is>
      </c>
      <c r="T493" t="inlineStr">
        <is>
          <t xml:space="preserve">WY </t>
        </is>
      </c>
      <c r="U493" t="n">
        <v>17</v>
      </c>
      <c r="V493" t="n">
        <v>17</v>
      </c>
      <c r="W493" t="inlineStr">
        <is>
          <t>1997-04-07</t>
        </is>
      </c>
      <c r="X493" t="inlineStr">
        <is>
          <t>1997-04-07</t>
        </is>
      </c>
      <c r="Y493" t="inlineStr">
        <is>
          <t>1987-12-28</t>
        </is>
      </c>
      <c r="Z493" t="inlineStr">
        <is>
          <t>1987-12-28</t>
        </is>
      </c>
      <c r="AA493" t="n">
        <v>213</v>
      </c>
      <c r="AB493" t="n">
        <v>167</v>
      </c>
      <c r="AC493" t="n">
        <v>174</v>
      </c>
      <c r="AD493" t="n">
        <v>1</v>
      </c>
      <c r="AE493" t="n">
        <v>1</v>
      </c>
      <c r="AF493" t="n">
        <v>6</v>
      </c>
      <c r="AG493" t="n">
        <v>6</v>
      </c>
      <c r="AH493" t="n">
        <v>3</v>
      </c>
      <c r="AI493" t="n">
        <v>3</v>
      </c>
      <c r="AJ493" t="n">
        <v>0</v>
      </c>
      <c r="AK493" t="n">
        <v>0</v>
      </c>
      <c r="AL493" t="n">
        <v>4</v>
      </c>
      <c r="AM493" t="n">
        <v>4</v>
      </c>
      <c r="AN493" t="n">
        <v>0</v>
      </c>
      <c r="AO493" t="n">
        <v>0</v>
      </c>
      <c r="AP493" t="n">
        <v>0</v>
      </c>
      <c r="AQ493" t="n">
        <v>0</v>
      </c>
      <c r="AR493" t="inlineStr">
        <is>
          <t>No</t>
        </is>
      </c>
      <c r="AS493" t="inlineStr">
        <is>
          <t>Yes</t>
        </is>
      </c>
      <c r="AT493">
        <f>HYPERLINK("http://catalog.hathitrust.org/Record/000444012","HathiTrust Record")</f>
        <v/>
      </c>
      <c r="AU493">
        <f>HYPERLINK("https://creighton-primo.hosted.exlibrisgroup.com/primo-explore/search?tab=default_tab&amp;search_scope=EVERYTHING&amp;vid=01CRU&amp;lang=en_US&amp;offset=0&amp;query=any,contains,991001045009702656","Catalog Record")</f>
        <v/>
      </c>
      <c r="AV493">
        <f>HYPERLINK("http://www.worldcat.org/oclc/11114088","WorldCat Record")</f>
        <v/>
      </c>
      <c r="AW493" t="inlineStr">
        <is>
          <t>3845986:eng</t>
        </is>
      </c>
      <c r="AX493" t="inlineStr">
        <is>
          <t>11114088</t>
        </is>
      </c>
      <c r="AY493" t="inlineStr">
        <is>
          <t>991001045009702656</t>
        </is>
      </c>
      <c r="AZ493" t="inlineStr">
        <is>
          <t>991001045009702656</t>
        </is>
      </c>
      <c r="BA493" t="inlineStr">
        <is>
          <t>2261608310002656</t>
        </is>
      </c>
      <c r="BB493" t="inlineStr">
        <is>
          <t>BOOK</t>
        </is>
      </c>
      <c r="BD493" t="inlineStr">
        <is>
          <t>9780835950466</t>
        </is>
      </c>
      <c r="BE493" t="inlineStr">
        <is>
          <t>30001000243982</t>
        </is>
      </c>
      <c r="BF493" t="inlineStr">
        <is>
          <t>893560842</t>
        </is>
      </c>
    </row>
    <row r="494">
      <c r="A494" t="inlineStr">
        <is>
          <t>No</t>
        </is>
      </c>
      <c r="B494" t="inlineStr">
        <is>
          <t>CUHSL</t>
        </is>
      </c>
      <c r="C494" t="inlineStr">
        <is>
          <t>SHELVES</t>
        </is>
      </c>
      <c r="D494" t="inlineStr">
        <is>
          <t>WY 20.5 C353p 1987</t>
        </is>
      </c>
      <c r="E494" t="inlineStr">
        <is>
          <t>0                      WY 0020500C  353p        1987</t>
        </is>
      </c>
      <c r="F494" t="inlineStr">
        <is>
          <t>Primer of nursing research / Mary Reardon Castles.</t>
        </is>
      </c>
      <c r="H494" t="inlineStr">
        <is>
          <t>No</t>
        </is>
      </c>
      <c r="I494" t="inlineStr">
        <is>
          <t>1</t>
        </is>
      </c>
      <c r="J494" t="inlineStr">
        <is>
          <t>No</t>
        </is>
      </c>
      <c r="K494" t="inlineStr">
        <is>
          <t>No</t>
        </is>
      </c>
      <c r="L494" t="inlineStr">
        <is>
          <t>0</t>
        </is>
      </c>
      <c r="M494" t="inlineStr">
        <is>
          <t>Castles, Mary Reardon.</t>
        </is>
      </c>
      <c r="N494" t="inlineStr">
        <is>
          <t>Philadelphia : Saunders, c1987.</t>
        </is>
      </c>
      <c r="O494" t="inlineStr">
        <is>
          <t>1987</t>
        </is>
      </c>
      <c r="Q494" t="inlineStr">
        <is>
          <t>eng</t>
        </is>
      </c>
      <c r="R494" t="inlineStr">
        <is>
          <t>xxu</t>
        </is>
      </c>
      <c r="T494" t="inlineStr">
        <is>
          <t xml:space="preserve">WY </t>
        </is>
      </c>
      <c r="U494" t="n">
        <v>20</v>
      </c>
      <c r="V494" t="n">
        <v>20</v>
      </c>
      <c r="W494" t="inlineStr">
        <is>
          <t>1991-02-26</t>
        </is>
      </c>
      <c r="X494" t="inlineStr">
        <is>
          <t>1991-02-26</t>
        </is>
      </c>
      <c r="Y494" t="inlineStr">
        <is>
          <t>1987-12-28</t>
        </is>
      </c>
      <c r="Z494" t="inlineStr">
        <is>
          <t>1987-12-28</t>
        </is>
      </c>
      <c r="AA494" t="n">
        <v>201</v>
      </c>
      <c r="AB494" t="n">
        <v>136</v>
      </c>
      <c r="AC494" t="n">
        <v>143</v>
      </c>
      <c r="AD494" t="n">
        <v>2</v>
      </c>
      <c r="AE494" t="n">
        <v>2</v>
      </c>
      <c r="AF494" t="n">
        <v>6</v>
      </c>
      <c r="AG494" t="n">
        <v>6</v>
      </c>
      <c r="AH494" t="n">
        <v>1</v>
      </c>
      <c r="AI494" t="n">
        <v>1</v>
      </c>
      <c r="AJ494" t="n">
        <v>1</v>
      </c>
      <c r="AK494" t="n">
        <v>1</v>
      </c>
      <c r="AL494" t="n">
        <v>4</v>
      </c>
      <c r="AM494" t="n">
        <v>4</v>
      </c>
      <c r="AN494" t="n">
        <v>1</v>
      </c>
      <c r="AO494" t="n">
        <v>1</v>
      </c>
      <c r="AP494" t="n">
        <v>0</v>
      </c>
      <c r="AQ494" t="n">
        <v>0</v>
      </c>
      <c r="AR494" t="inlineStr">
        <is>
          <t>No</t>
        </is>
      </c>
      <c r="AS494" t="inlineStr">
        <is>
          <t>Yes</t>
        </is>
      </c>
      <c r="AT494">
        <f>HYPERLINK("http://catalog.hathitrust.org/Record/000445745","HathiTrust Record")</f>
        <v/>
      </c>
      <c r="AU494">
        <f>HYPERLINK("https://creighton-primo.hosted.exlibrisgroup.com/primo-explore/search?tab=default_tab&amp;search_scope=EVERYTHING&amp;vid=01CRU&amp;lang=en_US&amp;offset=0&amp;query=any,contains,991001045039702656","Catalog Record")</f>
        <v/>
      </c>
      <c r="AV494">
        <f>HYPERLINK("http://www.worldcat.org/oclc/15654844","WorldCat Record")</f>
        <v/>
      </c>
      <c r="AW494" t="inlineStr">
        <is>
          <t>9863505:eng</t>
        </is>
      </c>
      <c r="AX494" t="inlineStr">
        <is>
          <t>15654844</t>
        </is>
      </c>
      <c r="AY494" t="inlineStr">
        <is>
          <t>991001045039702656</t>
        </is>
      </c>
      <c r="AZ494" t="inlineStr">
        <is>
          <t>991001045039702656</t>
        </is>
      </c>
      <c r="BA494" t="inlineStr">
        <is>
          <t>2261881750002656</t>
        </is>
      </c>
      <c r="BB494" t="inlineStr">
        <is>
          <t>BOOK</t>
        </is>
      </c>
      <c r="BD494" t="inlineStr">
        <is>
          <t>9780721617138</t>
        </is>
      </c>
      <c r="BE494" t="inlineStr">
        <is>
          <t>30001000244014</t>
        </is>
      </c>
      <c r="BF494" t="inlineStr">
        <is>
          <t>893560843</t>
        </is>
      </c>
    </row>
    <row r="495">
      <c r="A495" t="inlineStr">
        <is>
          <t>No</t>
        </is>
      </c>
      <c r="B495" t="inlineStr">
        <is>
          <t>CUHSL</t>
        </is>
      </c>
      <c r="C495" t="inlineStr">
        <is>
          <t>SHELVES</t>
        </is>
      </c>
      <c r="D495" t="inlineStr">
        <is>
          <t>WY 20.5 C641 1986</t>
        </is>
      </c>
      <c r="E495" t="inlineStr">
        <is>
          <t>0                      WY 0020500C  641         1986</t>
        </is>
      </c>
      <c r="F495" t="inlineStr">
        <is>
          <t>Clinical nursing research : a guide to undertaking and using research in nursing practice / edited by Anna Marie Lieske ; [contributors, Jean E. Bartels ... et al.].</t>
        </is>
      </c>
      <c r="H495" t="inlineStr">
        <is>
          <t>No</t>
        </is>
      </c>
      <c r="I495" t="inlineStr">
        <is>
          <t>1</t>
        </is>
      </c>
      <c r="J495" t="inlineStr">
        <is>
          <t>No</t>
        </is>
      </c>
      <c r="K495" t="inlineStr">
        <is>
          <t>No</t>
        </is>
      </c>
      <c r="L495" t="inlineStr">
        <is>
          <t>0</t>
        </is>
      </c>
      <c r="N495" t="inlineStr">
        <is>
          <t>Rockville, Md. : Aspen Systems Corp., c1986.</t>
        </is>
      </c>
      <c r="O495" t="inlineStr">
        <is>
          <t>1986</t>
        </is>
      </c>
      <c r="Q495" t="inlineStr">
        <is>
          <t>eng</t>
        </is>
      </c>
      <c r="R495" t="inlineStr">
        <is>
          <t>xxu</t>
        </is>
      </c>
      <c r="T495" t="inlineStr">
        <is>
          <t xml:space="preserve">WY </t>
        </is>
      </c>
      <c r="U495" t="n">
        <v>15</v>
      </c>
      <c r="V495" t="n">
        <v>15</v>
      </c>
      <c r="W495" t="inlineStr">
        <is>
          <t>1998-11-30</t>
        </is>
      </c>
      <c r="X495" t="inlineStr">
        <is>
          <t>1998-11-30</t>
        </is>
      </c>
      <c r="Y495" t="inlineStr">
        <is>
          <t>1990-08-07</t>
        </is>
      </c>
      <c r="Z495" t="inlineStr">
        <is>
          <t>1990-08-07</t>
        </is>
      </c>
      <c r="AA495" t="n">
        <v>215</v>
      </c>
      <c r="AB495" t="n">
        <v>186</v>
      </c>
      <c r="AC495" t="n">
        <v>195</v>
      </c>
      <c r="AD495" t="n">
        <v>3</v>
      </c>
      <c r="AE495" t="n">
        <v>3</v>
      </c>
      <c r="AF495" t="n">
        <v>9</v>
      </c>
      <c r="AG495" t="n">
        <v>9</v>
      </c>
      <c r="AH495" t="n">
        <v>1</v>
      </c>
      <c r="AI495" t="n">
        <v>1</v>
      </c>
      <c r="AJ495" t="n">
        <v>2</v>
      </c>
      <c r="AK495" t="n">
        <v>2</v>
      </c>
      <c r="AL495" t="n">
        <v>5</v>
      </c>
      <c r="AM495" t="n">
        <v>5</v>
      </c>
      <c r="AN495" t="n">
        <v>2</v>
      </c>
      <c r="AO495" t="n">
        <v>2</v>
      </c>
      <c r="AP495" t="n">
        <v>0</v>
      </c>
      <c r="AQ495" t="n">
        <v>0</v>
      </c>
      <c r="AR495" t="inlineStr">
        <is>
          <t>No</t>
        </is>
      </c>
      <c r="AS495" t="inlineStr">
        <is>
          <t>Yes</t>
        </is>
      </c>
      <c r="AT495">
        <f>HYPERLINK("http://catalog.hathitrust.org/Record/000661553","HathiTrust Record")</f>
        <v/>
      </c>
      <c r="AU495">
        <f>HYPERLINK("https://creighton-primo.hosted.exlibrisgroup.com/primo-explore/search?tab=default_tab&amp;search_scope=EVERYTHING&amp;vid=01CRU&amp;lang=en_US&amp;offset=0&amp;query=any,contains,991001451859702656","Catalog Record")</f>
        <v/>
      </c>
      <c r="AV495">
        <f>HYPERLINK("http://www.worldcat.org/oclc/12695696","WorldCat Record")</f>
        <v/>
      </c>
      <c r="AW495" t="inlineStr">
        <is>
          <t>54757358:eng</t>
        </is>
      </c>
      <c r="AX495" t="inlineStr">
        <is>
          <t>12695696</t>
        </is>
      </c>
      <c r="AY495" t="inlineStr">
        <is>
          <t>991001451859702656</t>
        </is>
      </c>
      <c r="AZ495" t="inlineStr">
        <is>
          <t>991001451859702656</t>
        </is>
      </c>
      <c r="BA495" t="inlineStr">
        <is>
          <t>2264942070002656</t>
        </is>
      </c>
      <c r="BB495" t="inlineStr">
        <is>
          <t>BOOK</t>
        </is>
      </c>
      <c r="BD495" t="inlineStr">
        <is>
          <t>9780871892515</t>
        </is>
      </c>
      <c r="BE495" t="inlineStr">
        <is>
          <t>30001001883323</t>
        </is>
      </c>
      <c r="BF495" t="inlineStr">
        <is>
          <t>893832205</t>
        </is>
      </c>
    </row>
    <row r="496">
      <c r="A496" t="inlineStr">
        <is>
          <t>No</t>
        </is>
      </c>
      <c r="B496" t="inlineStr">
        <is>
          <t>CUHSL</t>
        </is>
      </c>
      <c r="C496" t="inlineStr">
        <is>
          <t>SHELVES</t>
        </is>
      </c>
      <c r="D496" t="inlineStr">
        <is>
          <t>WY 20.5 C737 1997</t>
        </is>
      </c>
      <c r="E496" t="inlineStr">
        <is>
          <t>0                      WY 0020500C  737         1997</t>
        </is>
      </c>
      <c r="F496" t="inlineStr">
        <is>
          <t>Completing a qualitative project : details and dialogue / edited by Janice M. Morse.</t>
        </is>
      </c>
      <c r="H496" t="inlineStr">
        <is>
          <t>No</t>
        </is>
      </c>
      <c r="I496" t="inlineStr">
        <is>
          <t>1</t>
        </is>
      </c>
      <c r="J496" t="inlineStr">
        <is>
          <t>No</t>
        </is>
      </c>
      <c r="K496" t="inlineStr">
        <is>
          <t>No</t>
        </is>
      </c>
      <c r="L496" t="inlineStr">
        <is>
          <t>0</t>
        </is>
      </c>
      <c r="N496" t="inlineStr">
        <is>
          <t>Thousand Oaks, Calif. : Sage Publications, c1997.</t>
        </is>
      </c>
      <c r="O496" t="inlineStr">
        <is>
          <t>1997</t>
        </is>
      </c>
      <c r="Q496" t="inlineStr">
        <is>
          <t>eng</t>
        </is>
      </c>
      <c r="R496" t="inlineStr">
        <is>
          <t>cau</t>
        </is>
      </c>
      <c r="T496" t="inlineStr">
        <is>
          <t xml:space="preserve">WY </t>
        </is>
      </c>
      <c r="U496" t="n">
        <v>5</v>
      </c>
      <c r="V496" t="n">
        <v>5</v>
      </c>
      <c r="W496" t="inlineStr">
        <is>
          <t>2006-09-14</t>
        </is>
      </c>
      <c r="X496" t="inlineStr">
        <is>
          <t>2006-09-14</t>
        </is>
      </c>
      <c r="Y496" t="inlineStr">
        <is>
          <t>1998-02-25</t>
        </is>
      </c>
      <c r="Z496" t="inlineStr">
        <is>
          <t>1998-02-25</t>
        </is>
      </c>
      <c r="AA496" t="n">
        <v>399</v>
      </c>
      <c r="AB496" t="n">
        <v>250</v>
      </c>
      <c r="AC496" t="n">
        <v>255</v>
      </c>
      <c r="AD496" t="n">
        <v>3</v>
      </c>
      <c r="AE496" t="n">
        <v>3</v>
      </c>
      <c r="AF496" t="n">
        <v>18</v>
      </c>
      <c r="AG496" t="n">
        <v>18</v>
      </c>
      <c r="AH496" t="n">
        <v>5</v>
      </c>
      <c r="AI496" t="n">
        <v>5</v>
      </c>
      <c r="AJ496" t="n">
        <v>5</v>
      </c>
      <c r="AK496" t="n">
        <v>5</v>
      </c>
      <c r="AL496" t="n">
        <v>10</v>
      </c>
      <c r="AM496" t="n">
        <v>10</v>
      </c>
      <c r="AN496" t="n">
        <v>2</v>
      </c>
      <c r="AO496" t="n">
        <v>2</v>
      </c>
      <c r="AP496" t="n">
        <v>0</v>
      </c>
      <c r="AQ496" t="n">
        <v>0</v>
      </c>
      <c r="AR496" t="inlineStr">
        <is>
          <t>No</t>
        </is>
      </c>
      <c r="AS496" t="inlineStr">
        <is>
          <t>No</t>
        </is>
      </c>
      <c r="AU496">
        <f>HYPERLINK("https://creighton-primo.hosted.exlibrisgroup.com/primo-explore/search?tab=default_tab&amp;search_scope=EVERYTHING&amp;vid=01CRU&amp;lang=en_US&amp;offset=0&amp;query=any,contains,991001296309702656","Catalog Record")</f>
        <v/>
      </c>
      <c r="AV496">
        <f>HYPERLINK("http://www.worldcat.org/oclc/36372357","WorldCat Record")</f>
        <v/>
      </c>
      <c r="AW496" t="inlineStr">
        <is>
          <t>837070306:eng</t>
        </is>
      </c>
      <c r="AX496" t="inlineStr">
        <is>
          <t>36372357</t>
        </is>
      </c>
      <c r="AY496" t="inlineStr">
        <is>
          <t>991001296309702656</t>
        </is>
      </c>
      <c r="AZ496" t="inlineStr">
        <is>
          <t>991001296309702656</t>
        </is>
      </c>
      <c r="BA496" t="inlineStr">
        <is>
          <t>2263082530002656</t>
        </is>
      </c>
      <c r="BB496" t="inlineStr">
        <is>
          <t>BOOK</t>
        </is>
      </c>
      <c r="BD496" t="inlineStr">
        <is>
          <t>9780761906001</t>
        </is>
      </c>
      <c r="BE496" t="inlineStr">
        <is>
          <t>30001003744119</t>
        </is>
      </c>
      <c r="BF496" t="inlineStr">
        <is>
          <t>893834632</t>
        </is>
      </c>
    </row>
    <row r="497">
      <c r="A497" t="inlineStr">
        <is>
          <t>No</t>
        </is>
      </c>
      <c r="B497" t="inlineStr">
        <is>
          <t>CUHSL</t>
        </is>
      </c>
      <c r="C497" t="inlineStr">
        <is>
          <t>SHELVES</t>
        </is>
      </c>
      <c r="D497" t="inlineStr">
        <is>
          <t>WY 20.5 D389r 1986</t>
        </is>
      </c>
      <c r="E497" t="inlineStr">
        <is>
          <t>0                      WY 0020500D  389r        1986</t>
        </is>
      </c>
      <c r="F497" t="inlineStr">
        <is>
          <t>The research process in nursing / Patricia Ann Dempsey, Arthur D. Dempsey.</t>
        </is>
      </c>
      <c r="H497" t="inlineStr">
        <is>
          <t>No</t>
        </is>
      </c>
      <c r="I497" t="inlineStr">
        <is>
          <t>1</t>
        </is>
      </c>
      <c r="J497" t="inlineStr">
        <is>
          <t>No</t>
        </is>
      </c>
      <c r="K497" t="inlineStr">
        <is>
          <t>No</t>
        </is>
      </c>
      <c r="L497" t="inlineStr">
        <is>
          <t>0</t>
        </is>
      </c>
      <c r="M497" t="inlineStr">
        <is>
          <t>Dempsey, Patricia Ann.</t>
        </is>
      </c>
      <c r="N497" t="inlineStr">
        <is>
          <t>Boston : Jones and Bartlett, c1986.</t>
        </is>
      </c>
      <c r="O497" t="inlineStr">
        <is>
          <t>1986</t>
        </is>
      </c>
      <c r="P497" t="inlineStr">
        <is>
          <t>2nd ed.</t>
        </is>
      </c>
      <c r="Q497" t="inlineStr">
        <is>
          <t>eng</t>
        </is>
      </c>
      <c r="R497" t="inlineStr">
        <is>
          <t>xxu</t>
        </is>
      </c>
      <c r="T497" t="inlineStr">
        <is>
          <t xml:space="preserve">WY </t>
        </is>
      </c>
      <c r="U497" t="n">
        <v>11</v>
      </c>
      <c r="V497" t="n">
        <v>11</v>
      </c>
      <c r="W497" t="inlineStr">
        <is>
          <t>1997-12-01</t>
        </is>
      </c>
      <c r="X497" t="inlineStr">
        <is>
          <t>1997-12-01</t>
        </is>
      </c>
      <c r="Y497" t="inlineStr">
        <is>
          <t>1987-10-22</t>
        </is>
      </c>
      <c r="Z497" t="inlineStr">
        <is>
          <t>1987-10-22</t>
        </is>
      </c>
      <c r="AA497" t="n">
        <v>158</v>
      </c>
      <c r="AB497" t="n">
        <v>126</v>
      </c>
      <c r="AC497" t="n">
        <v>194</v>
      </c>
      <c r="AD497" t="n">
        <v>3</v>
      </c>
      <c r="AE497" t="n">
        <v>4</v>
      </c>
      <c r="AF497" t="n">
        <v>5</v>
      </c>
      <c r="AG497" t="n">
        <v>10</v>
      </c>
      <c r="AH497" t="n">
        <v>0</v>
      </c>
      <c r="AI497" t="n">
        <v>1</v>
      </c>
      <c r="AJ497" t="n">
        <v>0</v>
      </c>
      <c r="AK497" t="n">
        <v>2</v>
      </c>
      <c r="AL497" t="n">
        <v>4</v>
      </c>
      <c r="AM497" t="n">
        <v>6</v>
      </c>
      <c r="AN497" t="n">
        <v>1</v>
      </c>
      <c r="AO497" t="n">
        <v>2</v>
      </c>
      <c r="AP497" t="n">
        <v>0</v>
      </c>
      <c r="AQ497" t="n">
        <v>0</v>
      </c>
      <c r="AR497" t="inlineStr">
        <is>
          <t>No</t>
        </is>
      </c>
      <c r="AS497" t="inlineStr">
        <is>
          <t>Yes</t>
        </is>
      </c>
      <c r="AT497">
        <f>HYPERLINK("http://catalog.hathitrust.org/Record/000621933","HathiTrust Record")</f>
        <v/>
      </c>
      <c r="AU497">
        <f>HYPERLINK("https://creighton-primo.hosted.exlibrisgroup.com/primo-explore/search?tab=default_tab&amp;search_scope=EVERYTHING&amp;vid=01CRU&amp;lang=en_US&amp;offset=0&amp;query=any,contains,991000739819702656","Catalog Record")</f>
        <v/>
      </c>
      <c r="AV497">
        <f>HYPERLINK("http://www.worldcat.org/oclc/12665541","WorldCat Record")</f>
        <v/>
      </c>
      <c r="AW497" t="inlineStr">
        <is>
          <t>2868714:eng</t>
        </is>
      </c>
      <c r="AX497" t="inlineStr">
        <is>
          <t>12665541</t>
        </is>
      </c>
      <c r="AY497" t="inlineStr">
        <is>
          <t>991000739819702656</t>
        </is>
      </c>
      <c r="AZ497" t="inlineStr">
        <is>
          <t>991000739819702656</t>
        </is>
      </c>
      <c r="BA497" t="inlineStr">
        <is>
          <t>2271947050002656</t>
        </is>
      </c>
      <c r="BB497" t="inlineStr">
        <is>
          <t>BOOK</t>
        </is>
      </c>
      <c r="BD497" t="inlineStr">
        <is>
          <t>9780867203509</t>
        </is>
      </c>
      <c r="BE497" t="inlineStr">
        <is>
          <t>30001000043085</t>
        </is>
      </c>
      <c r="BF497" t="inlineStr">
        <is>
          <t>893545728</t>
        </is>
      </c>
    </row>
    <row r="498">
      <c r="A498" t="inlineStr">
        <is>
          <t>No</t>
        </is>
      </c>
      <c r="B498" t="inlineStr">
        <is>
          <t>CUHSL</t>
        </is>
      </c>
      <c r="C498" t="inlineStr">
        <is>
          <t>SHELVES</t>
        </is>
      </c>
      <c r="D498" t="inlineStr">
        <is>
          <t>WY 20.5 D389r 1992</t>
        </is>
      </c>
      <c r="E498" t="inlineStr">
        <is>
          <t>0                      WY 0020500D  389r        1992</t>
        </is>
      </c>
      <c r="F498" t="inlineStr">
        <is>
          <t>Nursing research with basic statistical applications / Patricia Ann Dempsey, Arthur D. Dempsey.</t>
        </is>
      </c>
      <c r="H498" t="inlineStr">
        <is>
          <t>No</t>
        </is>
      </c>
      <c r="I498" t="inlineStr">
        <is>
          <t>1</t>
        </is>
      </c>
      <c r="J498" t="inlineStr">
        <is>
          <t>No</t>
        </is>
      </c>
      <c r="K498" t="inlineStr">
        <is>
          <t>No</t>
        </is>
      </c>
      <c r="L498" t="inlineStr">
        <is>
          <t>0</t>
        </is>
      </c>
      <c r="M498" t="inlineStr">
        <is>
          <t>Dempsey, Patricia Ann.</t>
        </is>
      </c>
      <c r="N498" t="inlineStr">
        <is>
          <t>Boston : Jones and Bartlett, c1992.</t>
        </is>
      </c>
      <c r="O498" t="inlineStr">
        <is>
          <t>1992</t>
        </is>
      </c>
      <c r="P498" t="inlineStr">
        <is>
          <t>3rd ed.</t>
        </is>
      </c>
      <c r="Q498" t="inlineStr">
        <is>
          <t>eng</t>
        </is>
      </c>
      <c r="R498" t="inlineStr">
        <is>
          <t>xxu</t>
        </is>
      </c>
      <c r="T498" t="inlineStr">
        <is>
          <t xml:space="preserve">WY </t>
        </is>
      </c>
      <c r="U498" t="n">
        <v>8</v>
      </c>
      <c r="V498" t="n">
        <v>8</v>
      </c>
      <c r="W498" t="inlineStr">
        <is>
          <t>1998-11-10</t>
        </is>
      </c>
      <c r="X498" t="inlineStr">
        <is>
          <t>1998-11-10</t>
        </is>
      </c>
      <c r="Y498" t="inlineStr">
        <is>
          <t>1992-04-23</t>
        </is>
      </c>
      <c r="Z498" t="inlineStr">
        <is>
          <t>1992-04-23</t>
        </is>
      </c>
      <c r="AA498" t="n">
        <v>227</v>
      </c>
      <c r="AB498" t="n">
        <v>159</v>
      </c>
      <c r="AC498" t="n">
        <v>161</v>
      </c>
      <c r="AD498" t="n">
        <v>3</v>
      </c>
      <c r="AE498" t="n">
        <v>3</v>
      </c>
      <c r="AF498" t="n">
        <v>9</v>
      </c>
      <c r="AG498" t="n">
        <v>9</v>
      </c>
      <c r="AH498" t="n">
        <v>5</v>
      </c>
      <c r="AI498" t="n">
        <v>5</v>
      </c>
      <c r="AJ498" t="n">
        <v>1</v>
      </c>
      <c r="AK498" t="n">
        <v>1</v>
      </c>
      <c r="AL498" t="n">
        <v>5</v>
      </c>
      <c r="AM498" t="n">
        <v>5</v>
      </c>
      <c r="AN498" t="n">
        <v>2</v>
      </c>
      <c r="AO498" t="n">
        <v>2</v>
      </c>
      <c r="AP498" t="n">
        <v>0</v>
      </c>
      <c r="AQ498" t="n">
        <v>0</v>
      </c>
      <c r="AR498" t="inlineStr">
        <is>
          <t>No</t>
        </is>
      </c>
      <c r="AS498" t="inlineStr">
        <is>
          <t>Yes</t>
        </is>
      </c>
      <c r="AT498">
        <f>HYPERLINK("http://catalog.hathitrust.org/Record/002514781","HathiTrust Record")</f>
        <v/>
      </c>
      <c r="AU498">
        <f>HYPERLINK("https://creighton-primo.hosted.exlibrisgroup.com/primo-explore/search?tab=default_tab&amp;search_scope=EVERYTHING&amp;vid=01CRU&amp;lang=en_US&amp;offset=0&amp;query=any,contains,991001303059702656","Catalog Record")</f>
        <v/>
      </c>
      <c r="AV498">
        <f>HYPERLINK("http://www.worldcat.org/oclc/24871596","WorldCat Record")</f>
        <v/>
      </c>
      <c r="AW498" t="inlineStr">
        <is>
          <t>26918170:eng</t>
        </is>
      </c>
      <c r="AX498" t="inlineStr">
        <is>
          <t>24871596</t>
        </is>
      </c>
      <c r="AY498" t="inlineStr">
        <is>
          <t>991001303059702656</t>
        </is>
      </c>
      <c r="AZ498" t="inlineStr">
        <is>
          <t>991001303059702656</t>
        </is>
      </c>
      <c r="BA498" t="inlineStr">
        <is>
          <t>2263652020002656</t>
        </is>
      </c>
      <c r="BB498" t="inlineStr">
        <is>
          <t>BOOK</t>
        </is>
      </c>
      <c r="BD498" t="inlineStr">
        <is>
          <t>9780867204490</t>
        </is>
      </c>
      <c r="BE498" t="inlineStr">
        <is>
          <t>30001002412593</t>
        </is>
      </c>
      <c r="BF498" t="inlineStr">
        <is>
          <t>893278967</t>
        </is>
      </c>
    </row>
    <row r="499">
      <c r="A499" t="inlineStr">
        <is>
          <t>No</t>
        </is>
      </c>
      <c r="B499" t="inlineStr">
        <is>
          <t>CUHSL</t>
        </is>
      </c>
      <c r="C499" t="inlineStr">
        <is>
          <t>SHELVES</t>
        </is>
      </c>
      <c r="D499" t="inlineStr">
        <is>
          <t>WY 20.5 D563r 1979</t>
        </is>
      </c>
      <c r="E499" t="inlineStr">
        <is>
          <t>0                      WY 0020500D  563r        1979</t>
        </is>
      </c>
      <c r="F499" t="inlineStr">
        <is>
          <t>Research in nursing practice / Donna Diers.</t>
        </is>
      </c>
      <c r="H499" t="inlineStr">
        <is>
          <t>No</t>
        </is>
      </c>
      <c r="I499" t="inlineStr">
        <is>
          <t>1</t>
        </is>
      </c>
      <c r="J499" t="inlineStr">
        <is>
          <t>No</t>
        </is>
      </c>
      <c r="K499" t="inlineStr">
        <is>
          <t>No</t>
        </is>
      </c>
      <c r="L499" t="inlineStr">
        <is>
          <t>0</t>
        </is>
      </c>
      <c r="M499" t="inlineStr">
        <is>
          <t>Diers, Donna.</t>
        </is>
      </c>
      <c r="N499" t="inlineStr">
        <is>
          <t>Philadelphia : Lippincott, c1979.</t>
        </is>
      </c>
      <c r="O499" t="inlineStr">
        <is>
          <t>1979</t>
        </is>
      </c>
      <c r="Q499" t="inlineStr">
        <is>
          <t>eng</t>
        </is>
      </c>
      <c r="R499" t="inlineStr">
        <is>
          <t>pau</t>
        </is>
      </c>
      <c r="T499" t="inlineStr">
        <is>
          <t xml:space="preserve">WY </t>
        </is>
      </c>
      <c r="U499" t="n">
        <v>7</v>
      </c>
      <c r="V499" t="n">
        <v>7</v>
      </c>
      <c r="W499" t="inlineStr">
        <is>
          <t>1990-01-16</t>
        </is>
      </c>
      <c r="X499" t="inlineStr">
        <is>
          <t>1990-01-16</t>
        </is>
      </c>
      <c r="Y499" t="inlineStr">
        <is>
          <t>1987-12-28</t>
        </is>
      </c>
      <c r="Z499" t="inlineStr">
        <is>
          <t>1987-12-28</t>
        </is>
      </c>
      <c r="AA499" t="n">
        <v>243</v>
      </c>
      <c r="AB499" t="n">
        <v>191</v>
      </c>
      <c r="AC499" t="n">
        <v>193</v>
      </c>
      <c r="AD499" t="n">
        <v>4</v>
      </c>
      <c r="AE499" t="n">
        <v>4</v>
      </c>
      <c r="AF499" t="n">
        <v>14</v>
      </c>
      <c r="AG499" t="n">
        <v>14</v>
      </c>
      <c r="AH499" t="n">
        <v>5</v>
      </c>
      <c r="AI499" t="n">
        <v>5</v>
      </c>
      <c r="AJ499" t="n">
        <v>2</v>
      </c>
      <c r="AK499" t="n">
        <v>2</v>
      </c>
      <c r="AL499" t="n">
        <v>6</v>
      </c>
      <c r="AM499" t="n">
        <v>6</v>
      </c>
      <c r="AN499" t="n">
        <v>3</v>
      </c>
      <c r="AO499" t="n">
        <v>3</v>
      </c>
      <c r="AP499" t="n">
        <v>0</v>
      </c>
      <c r="AQ499" t="n">
        <v>0</v>
      </c>
      <c r="AR499" t="inlineStr">
        <is>
          <t>No</t>
        </is>
      </c>
      <c r="AS499" t="inlineStr">
        <is>
          <t>Yes</t>
        </is>
      </c>
      <c r="AT499">
        <f>HYPERLINK("http://catalog.hathitrust.org/Record/000024362","HathiTrust Record")</f>
        <v/>
      </c>
      <c r="AU499">
        <f>HYPERLINK("https://creighton-primo.hosted.exlibrisgroup.com/primo-explore/search?tab=default_tab&amp;search_scope=EVERYTHING&amp;vid=01CRU&amp;lang=en_US&amp;offset=0&amp;query=any,contains,991001045089702656","Catalog Record")</f>
        <v/>
      </c>
      <c r="AV499">
        <f>HYPERLINK("http://www.worldcat.org/oclc/4638285","WorldCat Record")</f>
        <v/>
      </c>
      <c r="AW499" t="inlineStr">
        <is>
          <t>14909369:eng</t>
        </is>
      </c>
      <c r="AX499" t="inlineStr">
        <is>
          <t>4638285</t>
        </is>
      </c>
      <c r="AY499" t="inlineStr">
        <is>
          <t>991001045089702656</t>
        </is>
      </c>
      <c r="AZ499" t="inlineStr">
        <is>
          <t>991001045089702656</t>
        </is>
      </c>
      <c r="BA499" t="inlineStr">
        <is>
          <t>2256040130002656</t>
        </is>
      </c>
      <c r="BB499" t="inlineStr">
        <is>
          <t>BOOK</t>
        </is>
      </c>
      <c r="BD499" t="inlineStr">
        <is>
          <t>9780397542215</t>
        </is>
      </c>
      <c r="BE499" t="inlineStr">
        <is>
          <t>30001000244022</t>
        </is>
      </c>
      <c r="BF499" t="inlineStr">
        <is>
          <t>893377068</t>
        </is>
      </c>
    </row>
    <row r="500">
      <c r="A500" t="inlineStr">
        <is>
          <t>No</t>
        </is>
      </c>
      <c r="B500" t="inlineStr">
        <is>
          <t>CUHSL</t>
        </is>
      </c>
      <c r="C500" t="inlineStr">
        <is>
          <t>SHELVES</t>
        </is>
      </c>
      <c r="D500" t="inlineStr">
        <is>
          <t>WY 20.5 E842 1995</t>
        </is>
      </c>
      <c r="E500" t="inlineStr">
        <is>
          <t>0                      WY 0020500E  842         1995</t>
        </is>
      </c>
      <c r="F500" t="inlineStr">
        <is>
          <t>Ethical guidelines in the conduct, dissemination, and implementation of nursing research / Mary Cipriano Silva.</t>
        </is>
      </c>
      <c r="H500" t="inlineStr">
        <is>
          <t>No</t>
        </is>
      </c>
      <c r="I500" t="inlineStr">
        <is>
          <t>1</t>
        </is>
      </c>
      <c r="J500" t="inlineStr">
        <is>
          <t>No</t>
        </is>
      </c>
      <c r="K500" t="inlineStr">
        <is>
          <t>No</t>
        </is>
      </c>
      <c r="L500" t="inlineStr">
        <is>
          <t>0</t>
        </is>
      </c>
      <c r="M500" t="inlineStr">
        <is>
          <t>Silva, Mary Cipriano.</t>
        </is>
      </c>
      <c r="N500" t="inlineStr">
        <is>
          <t>Washington, DC : American Nurses Publ., c1995.</t>
        </is>
      </c>
      <c r="O500" t="inlineStr">
        <is>
          <t>1995</t>
        </is>
      </c>
      <c r="Q500" t="inlineStr">
        <is>
          <t>eng</t>
        </is>
      </c>
      <c r="R500" t="inlineStr">
        <is>
          <t>dcu</t>
        </is>
      </c>
      <c r="T500" t="inlineStr">
        <is>
          <t xml:space="preserve">WY </t>
        </is>
      </c>
      <c r="U500" t="n">
        <v>0</v>
      </c>
      <c r="V500" t="n">
        <v>0</v>
      </c>
      <c r="W500" t="inlineStr">
        <is>
          <t>2007-04-16</t>
        </is>
      </c>
      <c r="X500" t="inlineStr">
        <is>
          <t>2007-04-16</t>
        </is>
      </c>
      <c r="Y500" t="inlineStr">
        <is>
          <t>2000-06-15</t>
        </is>
      </c>
      <c r="Z500" t="inlineStr">
        <is>
          <t>2000-06-15</t>
        </is>
      </c>
      <c r="AA500" t="n">
        <v>195</v>
      </c>
      <c r="AB500" t="n">
        <v>181</v>
      </c>
      <c r="AC500" t="n">
        <v>196</v>
      </c>
      <c r="AD500" t="n">
        <v>2</v>
      </c>
      <c r="AE500" t="n">
        <v>2</v>
      </c>
      <c r="AF500" t="n">
        <v>10</v>
      </c>
      <c r="AG500" t="n">
        <v>10</v>
      </c>
      <c r="AH500" t="n">
        <v>3</v>
      </c>
      <c r="AI500" t="n">
        <v>3</v>
      </c>
      <c r="AJ500" t="n">
        <v>2</v>
      </c>
      <c r="AK500" t="n">
        <v>2</v>
      </c>
      <c r="AL500" t="n">
        <v>5</v>
      </c>
      <c r="AM500" t="n">
        <v>5</v>
      </c>
      <c r="AN500" t="n">
        <v>0</v>
      </c>
      <c r="AO500" t="n">
        <v>0</v>
      </c>
      <c r="AP500" t="n">
        <v>0</v>
      </c>
      <c r="AQ500" t="n">
        <v>0</v>
      </c>
      <c r="AR500" t="inlineStr">
        <is>
          <t>No</t>
        </is>
      </c>
      <c r="AS500" t="inlineStr">
        <is>
          <t>Yes</t>
        </is>
      </c>
      <c r="AT500">
        <f>HYPERLINK("http://catalog.hathitrust.org/Record/002999760","HathiTrust Record")</f>
        <v/>
      </c>
      <c r="AU500">
        <f>HYPERLINK("https://creighton-primo.hosted.exlibrisgroup.com/primo-explore/search?tab=default_tab&amp;search_scope=EVERYTHING&amp;vid=01CRU&amp;lang=en_US&amp;offset=0&amp;query=any,contains,991000255919702656","Catalog Record")</f>
        <v/>
      </c>
      <c r="AV500">
        <f>HYPERLINK("http://www.worldcat.org/oclc/32807803","WorldCat Record")</f>
        <v/>
      </c>
      <c r="AW500" t="inlineStr">
        <is>
          <t>998709:eng</t>
        </is>
      </c>
      <c r="AX500" t="inlineStr">
        <is>
          <t>32807803</t>
        </is>
      </c>
      <c r="AY500" t="inlineStr">
        <is>
          <t>991000255919702656</t>
        </is>
      </c>
      <c r="AZ500" t="inlineStr">
        <is>
          <t>991000255919702656</t>
        </is>
      </c>
      <c r="BA500" t="inlineStr">
        <is>
          <t>2271071100002656</t>
        </is>
      </c>
      <c r="BB500" t="inlineStr">
        <is>
          <t>BOOK</t>
        </is>
      </c>
      <c r="BD500" t="inlineStr">
        <is>
          <t>9781558101098</t>
        </is>
      </c>
      <c r="BE500" t="inlineStr">
        <is>
          <t>30001003231349</t>
        </is>
      </c>
      <c r="BF500" t="inlineStr">
        <is>
          <t>893456494</t>
        </is>
      </c>
    </row>
    <row r="501">
      <c r="A501" t="inlineStr">
        <is>
          <t>No</t>
        </is>
      </c>
      <c r="B501" t="inlineStr">
        <is>
          <t>CUHSL</t>
        </is>
      </c>
      <c r="C501" t="inlineStr">
        <is>
          <t>SHELVES</t>
        </is>
      </c>
      <c r="D501" t="inlineStr">
        <is>
          <t>WY 20.5 F162r 1999</t>
        </is>
      </c>
      <c r="E501" t="inlineStr">
        <is>
          <t>0                      WY 0020500F  162r        1999</t>
        </is>
      </c>
      <c r="F501" t="inlineStr">
        <is>
          <t>Reading, understanding, and applying nursing research : a text and workbook / James A. Fain.</t>
        </is>
      </c>
      <c r="H501" t="inlineStr">
        <is>
          <t>No</t>
        </is>
      </c>
      <c r="I501" t="inlineStr">
        <is>
          <t>1</t>
        </is>
      </c>
      <c r="J501" t="inlineStr">
        <is>
          <t>No</t>
        </is>
      </c>
      <c r="K501" t="inlineStr">
        <is>
          <t>Yes</t>
        </is>
      </c>
      <c r="L501" t="inlineStr">
        <is>
          <t>0</t>
        </is>
      </c>
      <c r="M501" t="inlineStr">
        <is>
          <t>Fain, James A., 1953-</t>
        </is>
      </c>
      <c r="N501" t="inlineStr">
        <is>
          <t>Philadelphia : F.A. Davis, c1999.</t>
        </is>
      </c>
      <c r="O501" t="inlineStr">
        <is>
          <t>1999</t>
        </is>
      </c>
      <c r="Q501" t="inlineStr">
        <is>
          <t>eng</t>
        </is>
      </c>
      <c r="R501" t="inlineStr">
        <is>
          <t>pau</t>
        </is>
      </c>
      <c r="T501" t="inlineStr">
        <is>
          <t xml:space="preserve">WY </t>
        </is>
      </c>
      <c r="U501" t="n">
        <v>7</v>
      </c>
      <c r="V501" t="n">
        <v>7</v>
      </c>
      <c r="W501" t="inlineStr">
        <is>
          <t>1999-11-29</t>
        </is>
      </c>
      <c r="X501" t="inlineStr">
        <is>
          <t>1999-11-29</t>
        </is>
      </c>
      <c r="Y501" t="inlineStr">
        <is>
          <t>1999-01-19</t>
        </is>
      </c>
      <c r="Z501" t="inlineStr">
        <is>
          <t>1999-01-19</t>
        </is>
      </c>
      <c r="AA501" t="n">
        <v>161</v>
      </c>
      <c r="AB501" t="n">
        <v>120</v>
      </c>
      <c r="AC501" t="n">
        <v>722</v>
      </c>
      <c r="AD501" t="n">
        <v>1</v>
      </c>
      <c r="AE501" t="n">
        <v>7</v>
      </c>
      <c r="AF501" t="n">
        <v>6</v>
      </c>
      <c r="AG501" t="n">
        <v>34</v>
      </c>
      <c r="AH501" t="n">
        <v>3</v>
      </c>
      <c r="AI501" t="n">
        <v>12</v>
      </c>
      <c r="AJ501" t="n">
        <v>1</v>
      </c>
      <c r="AK501" t="n">
        <v>7</v>
      </c>
      <c r="AL501" t="n">
        <v>4</v>
      </c>
      <c r="AM501" t="n">
        <v>14</v>
      </c>
      <c r="AN501" t="n">
        <v>0</v>
      </c>
      <c r="AO501" t="n">
        <v>6</v>
      </c>
      <c r="AP501" t="n">
        <v>0</v>
      </c>
      <c r="AQ501" t="n">
        <v>1</v>
      </c>
      <c r="AR501" t="inlineStr">
        <is>
          <t>No</t>
        </is>
      </c>
      <c r="AS501" t="inlineStr">
        <is>
          <t>Yes</t>
        </is>
      </c>
      <c r="AT501">
        <f>HYPERLINK("http://catalog.hathitrust.org/Record/004012991","HathiTrust Record")</f>
        <v/>
      </c>
      <c r="AU501">
        <f>HYPERLINK("https://creighton-primo.hosted.exlibrisgroup.com/primo-explore/search?tab=default_tab&amp;search_scope=EVERYTHING&amp;vid=01CRU&amp;lang=en_US&amp;offset=0&amp;query=any,contains,991001530809702656","Catalog Record")</f>
        <v/>
      </c>
      <c r="AV501">
        <f>HYPERLINK("http://www.worldcat.org/oclc/38121175","WorldCat Record")</f>
        <v/>
      </c>
      <c r="AW501" t="inlineStr">
        <is>
          <t>408485:eng</t>
        </is>
      </c>
      <c r="AX501" t="inlineStr">
        <is>
          <t>38121175</t>
        </is>
      </c>
      <c r="AY501" t="inlineStr">
        <is>
          <t>991001530809702656</t>
        </is>
      </c>
      <c r="AZ501" t="inlineStr">
        <is>
          <t>991001530809702656</t>
        </is>
      </c>
      <c r="BA501" t="inlineStr">
        <is>
          <t>2264864130002656</t>
        </is>
      </c>
      <c r="BB501" t="inlineStr">
        <is>
          <t>BOOK</t>
        </is>
      </c>
      <c r="BD501" t="inlineStr">
        <is>
          <t>9780803602274</t>
        </is>
      </c>
      <c r="BE501" t="inlineStr">
        <is>
          <t>30001003961440</t>
        </is>
      </c>
      <c r="BF501" t="inlineStr">
        <is>
          <t>893541483</t>
        </is>
      </c>
    </row>
    <row r="502">
      <c r="A502" t="inlineStr">
        <is>
          <t>No</t>
        </is>
      </c>
      <c r="B502" t="inlineStr">
        <is>
          <t>CUHSL</t>
        </is>
      </c>
      <c r="C502" t="inlineStr">
        <is>
          <t>SHELVES</t>
        </is>
      </c>
      <c r="D502" t="inlineStr">
        <is>
          <t>WY 20.5 F455n 1985</t>
        </is>
      </c>
      <c r="E502" t="inlineStr">
        <is>
          <t>0                      WY 0020500F  455n        1985</t>
        </is>
      </c>
      <c r="F502" t="inlineStr">
        <is>
          <t>Nursing research : the application of qualitative approaches / Peggy Anne Field &amp; Janice M. Morse.</t>
        </is>
      </c>
      <c r="H502" t="inlineStr">
        <is>
          <t>No</t>
        </is>
      </c>
      <c r="I502" t="inlineStr">
        <is>
          <t>1</t>
        </is>
      </c>
      <c r="J502" t="inlineStr">
        <is>
          <t>No</t>
        </is>
      </c>
      <c r="K502" t="inlineStr">
        <is>
          <t>No</t>
        </is>
      </c>
      <c r="L502" t="inlineStr">
        <is>
          <t>0</t>
        </is>
      </c>
      <c r="M502" t="inlineStr">
        <is>
          <t>Field, Peggy-Anne.</t>
        </is>
      </c>
      <c r="N502" t="inlineStr">
        <is>
          <t>Rockville, Md. : Aspen Systems Corp., c1985.</t>
        </is>
      </c>
      <c r="O502" t="inlineStr">
        <is>
          <t>1985</t>
        </is>
      </c>
      <c r="Q502" t="inlineStr">
        <is>
          <t>eng</t>
        </is>
      </c>
      <c r="R502" t="inlineStr">
        <is>
          <t>xxu</t>
        </is>
      </c>
      <c r="T502" t="inlineStr">
        <is>
          <t xml:space="preserve">WY </t>
        </is>
      </c>
      <c r="U502" t="n">
        <v>33</v>
      </c>
      <c r="V502" t="n">
        <v>33</v>
      </c>
      <c r="W502" t="inlineStr">
        <is>
          <t>2000-02-07</t>
        </is>
      </c>
      <c r="X502" t="inlineStr">
        <is>
          <t>2000-02-07</t>
        </is>
      </c>
      <c r="Y502" t="inlineStr">
        <is>
          <t>1987-12-28</t>
        </is>
      </c>
      <c r="Z502" t="inlineStr">
        <is>
          <t>1987-12-28</t>
        </is>
      </c>
      <c r="AA502" t="n">
        <v>202</v>
      </c>
      <c r="AB502" t="n">
        <v>171</v>
      </c>
      <c r="AC502" t="n">
        <v>215</v>
      </c>
      <c r="AD502" t="n">
        <v>2</v>
      </c>
      <c r="AE502" t="n">
        <v>2</v>
      </c>
      <c r="AF502" t="n">
        <v>5</v>
      </c>
      <c r="AG502" t="n">
        <v>6</v>
      </c>
      <c r="AH502" t="n">
        <v>1</v>
      </c>
      <c r="AI502" t="n">
        <v>1</v>
      </c>
      <c r="AJ502" t="n">
        <v>2</v>
      </c>
      <c r="AK502" t="n">
        <v>2</v>
      </c>
      <c r="AL502" t="n">
        <v>1</v>
      </c>
      <c r="AM502" t="n">
        <v>2</v>
      </c>
      <c r="AN502" t="n">
        <v>1</v>
      </c>
      <c r="AO502" t="n">
        <v>1</v>
      </c>
      <c r="AP502" t="n">
        <v>0</v>
      </c>
      <c r="AQ502" t="n">
        <v>0</v>
      </c>
      <c r="AR502" t="inlineStr">
        <is>
          <t>No</t>
        </is>
      </c>
      <c r="AS502" t="inlineStr">
        <is>
          <t>Yes</t>
        </is>
      </c>
      <c r="AT502">
        <f>HYPERLINK("http://catalog.hathitrust.org/Record/000578810","HathiTrust Record")</f>
        <v/>
      </c>
      <c r="AU502">
        <f>HYPERLINK("https://creighton-primo.hosted.exlibrisgroup.com/primo-explore/search?tab=default_tab&amp;search_scope=EVERYTHING&amp;vid=01CRU&amp;lang=en_US&amp;offset=0&amp;query=any,contains,991001045169702656","Catalog Record")</f>
        <v/>
      </c>
      <c r="AV502">
        <f>HYPERLINK("http://www.worldcat.org/oclc/12162593","WorldCat Record")</f>
        <v/>
      </c>
      <c r="AW502" t="inlineStr">
        <is>
          <t>4909824:eng</t>
        </is>
      </c>
      <c r="AX502" t="inlineStr">
        <is>
          <t>12162593</t>
        </is>
      </c>
      <c r="AY502" t="inlineStr">
        <is>
          <t>991001045169702656</t>
        </is>
      </c>
      <c r="AZ502" t="inlineStr">
        <is>
          <t>991001045169702656</t>
        </is>
      </c>
      <c r="BA502" t="inlineStr">
        <is>
          <t>2258404550002656</t>
        </is>
      </c>
      <c r="BB502" t="inlineStr">
        <is>
          <t>BOOK</t>
        </is>
      </c>
      <c r="BD502" t="inlineStr">
        <is>
          <t>9780871892379</t>
        </is>
      </c>
      <c r="BE502" t="inlineStr">
        <is>
          <t>30001000244030</t>
        </is>
      </c>
      <c r="BF502" t="inlineStr">
        <is>
          <t>893358178</t>
        </is>
      </c>
    </row>
    <row r="503">
      <c r="A503" t="inlineStr">
        <is>
          <t>No</t>
        </is>
      </c>
      <c r="B503" t="inlineStr">
        <is>
          <t>CUHSL</t>
        </is>
      </c>
      <c r="C503" t="inlineStr">
        <is>
          <t>SHELVES</t>
        </is>
      </c>
      <c r="D503" t="inlineStr">
        <is>
          <t>WY 20.5 I59 1988</t>
        </is>
      </c>
      <c r="E503" t="inlineStr">
        <is>
          <t>0                      WY 0020500I  59          1988</t>
        </is>
      </c>
      <c r="F503" t="inlineStr">
        <is>
          <t>Instruments for clinical nursing research / editor, Marilyn Frank-Stromborg.</t>
        </is>
      </c>
      <c r="H503" t="inlineStr">
        <is>
          <t>No</t>
        </is>
      </c>
      <c r="I503" t="inlineStr">
        <is>
          <t>1</t>
        </is>
      </c>
      <c r="J503" t="inlineStr">
        <is>
          <t>No</t>
        </is>
      </c>
      <c r="K503" t="inlineStr">
        <is>
          <t>No</t>
        </is>
      </c>
      <c r="L503" t="inlineStr">
        <is>
          <t>0</t>
        </is>
      </c>
      <c r="N503" t="inlineStr">
        <is>
          <t>Norwalk, Conn. : Appleton &amp; Lange, c1988.</t>
        </is>
      </c>
      <c r="O503" t="inlineStr">
        <is>
          <t>1988</t>
        </is>
      </c>
      <c r="Q503" t="inlineStr">
        <is>
          <t>eng</t>
        </is>
      </c>
      <c r="R503" t="inlineStr">
        <is>
          <t>xxu</t>
        </is>
      </c>
      <c r="T503" t="inlineStr">
        <is>
          <t xml:space="preserve">WY </t>
        </is>
      </c>
      <c r="U503" t="n">
        <v>111</v>
      </c>
      <c r="V503" t="n">
        <v>111</v>
      </c>
      <c r="W503" t="inlineStr">
        <is>
          <t>2000-11-07</t>
        </is>
      </c>
      <c r="X503" t="inlineStr">
        <is>
          <t>2000-11-07</t>
        </is>
      </c>
      <c r="Y503" t="inlineStr">
        <is>
          <t>1988-07-19</t>
        </is>
      </c>
      <c r="Z503" t="inlineStr">
        <is>
          <t>1988-07-19</t>
        </is>
      </c>
      <c r="AA503" t="n">
        <v>248</v>
      </c>
      <c r="AB503" t="n">
        <v>207</v>
      </c>
      <c r="AC503" t="n">
        <v>254</v>
      </c>
      <c r="AD503" t="n">
        <v>3</v>
      </c>
      <c r="AE503" t="n">
        <v>5</v>
      </c>
      <c r="AF503" t="n">
        <v>10</v>
      </c>
      <c r="AG503" t="n">
        <v>13</v>
      </c>
      <c r="AH503" t="n">
        <v>1</v>
      </c>
      <c r="AI503" t="n">
        <v>2</v>
      </c>
      <c r="AJ503" t="n">
        <v>2</v>
      </c>
      <c r="AK503" t="n">
        <v>3</v>
      </c>
      <c r="AL503" t="n">
        <v>6</v>
      </c>
      <c r="AM503" t="n">
        <v>7</v>
      </c>
      <c r="AN503" t="n">
        <v>2</v>
      </c>
      <c r="AO503" t="n">
        <v>3</v>
      </c>
      <c r="AP503" t="n">
        <v>0</v>
      </c>
      <c r="AQ503" t="n">
        <v>0</v>
      </c>
      <c r="AR503" t="inlineStr">
        <is>
          <t>No</t>
        </is>
      </c>
      <c r="AS503" t="inlineStr">
        <is>
          <t>Yes</t>
        </is>
      </c>
      <c r="AT503">
        <f>HYPERLINK("http://catalog.hathitrust.org/Record/000927956","HathiTrust Record")</f>
        <v/>
      </c>
      <c r="AU503">
        <f>HYPERLINK("https://creighton-primo.hosted.exlibrisgroup.com/primo-explore/search?tab=default_tab&amp;search_scope=EVERYTHING&amp;vid=01CRU&amp;lang=en_US&amp;offset=0&amp;query=any,contains,991001418729702656","Catalog Record")</f>
        <v/>
      </c>
      <c r="AV503">
        <f>HYPERLINK("http://www.worldcat.org/oclc/17618508","WorldCat Record")</f>
        <v/>
      </c>
      <c r="AW503" t="inlineStr">
        <is>
          <t>1082551031:eng</t>
        </is>
      </c>
      <c r="AX503" t="inlineStr">
        <is>
          <t>17618508</t>
        </is>
      </c>
      <c r="AY503" t="inlineStr">
        <is>
          <t>991001418729702656</t>
        </is>
      </c>
      <c r="AZ503" t="inlineStr">
        <is>
          <t>991001418729702656</t>
        </is>
      </c>
      <c r="BA503" t="inlineStr">
        <is>
          <t>2260518520002656</t>
        </is>
      </c>
      <c r="BB503" t="inlineStr">
        <is>
          <t>BOOK</t>
        </is>
      </c>
      <c r="BD503" t="inlineStr">
        <is>
          <t>9780838542965</t>
        </is>
      </c>
      <c r="BE503" t="inlineStr">
        <is>
          <t>30001001181587</t>
        </is>
      </c>
      <c r="BF503" t="inlineStr">
        <is>
          <t>893149190</t>
        </is>
      </c>
    </row>
    <row r="504">
      <c r="A504" t="inlineStr">
        <is>
          <t>No</t>
        </is>
      </c>
      <c r="B504" t="inlineStr">
        <is>
          <t>CUHSL</t>
        </is>
      </c>
      <c r="C504" t="inlineStr">
        <is>
          <t>SHELVES</t>
        </is>
      </c>
      <c r="D504" t="inlineStr">
        <is>
          <t>WY 20.5 I59 1997</t>
        </is>
      </c>
      <c r="E504" t="inlineStr">
        <is>
          <t>0                      WY 0020500I  59          1997</t>
        </is>
      </c>
      <c r="F504" t="inlineStr">
        <is>
          <t>Instruments for clinical health-care research / editors, Marilyn Frank-Stromborg, Sharon Olsen ; with foreword by Nola J. Pender.</t>
        </is>
      </c>
      <c r="H504" t="inlineStr">
        <is>
          <t>No</t>
        </is>
      </c>
      <c r="I504" t="inlineStr">
        <is>
          <t>1</t>
        </is>
      </c>
      <c r="J504" t="inlineStr">
        <is>
          <t>No</t>
        </is>
      </c>
      <c r="K504" t="inlineStr">
        <is>
          <t>Yes</t>
        </is>
      </c>
      <c r="L504" t="inlineStr">
        <is>
          <t>0</t>
        </is>
      </c>
      <c r="N504" t="inlineStr">
        <is>
          <t>Boston : Jones and Bartlett Publishers, c1997.</t>
        </is>
      </c>
      <c r="O504" t="inlineStr">
        <is>
          <t>1997</t>
        </is>
      </c>
      <c r="P504" t="inlineStr">
        <is>
          <t>2nd ed.</t>
        </is>
      </c>
      <c r="Q504" t="inlineStr">
        <is>
          <t>eng</t>
        </is>
      </c>
      <c r="R504" t="inlineStr">
        <is>
          <t>mau</t>
        </is>
      </c>
      <c r="S504" t="inlineStr">
        <is>
          <t>Jones and Bartlett series in oncology</t>
        </is>
      </c>
      <c r="T504" t="inlineStr">
        <is>
          <t xml:space="preserve">WY </t>
        </is>
      </c>
      <c r="U504" t="n">
        <v>79</v>
      </c>
      <c r="V504" t="n">
        <v>79</v>
      </c>
      <c r="W504" t="inlineStr">
        <is>
          <t>2005-04-19</t>
        </is>
      </c>
      <c r="X504" t="inlineStr">
        <is>
          <t>2005-04-19</t>
        </is>
      </c>
      <c r="Y504" t="inlineStr">
        <is>
          <t>1997-05-12</t>
        </is>
      </c>
      <c r="Z504" t="inlineStr">
        <is>
          <t>1997-05-12</t>
        </is>
      </c>
      <c r="AA504" t="n">
        <v>322</v>
      </c>
      <c r="AB504" t="n">
        <v>259</v>
      </c>
      <c r="AC504" t="n">
        <v>920</v>
      </c>
      <c r="AD504" t="n">
        <v>3</v>
      </c>
      <c r="AE504" t="n">
        <v>6</v>
      </c>
      <c r="AF504" t="n">
        <v>13</v>
      </c>
      <c r="AG504" t="n">
        <v>31</v>
      </c>
      <c r="AH504" t="n">
        <v>5</v>
      </c>
      <c r="AI504" t="n">
        <v>14</v>
      </c>
      <c r="AJ504" t="n">
        <v>2</v>
      </c>
      <c r="AK504" t="n">
        <v>6</v>
      </c>
      <c r="AL504" t="n">
        <v>8</v>
      </c>
      <c r="AM504" t="n">
        <v>14</v>
      </c>
      <c r="AN504" t="n">
        <v>1</v>
      </c>
      <c r="AO504" t="n">
        <v>4</v>
      </c>
      <c r="AP504" t="n">
        <v>0</v>
      </c>
      <c r="AQ504" t="n">
        <v>0</v>
      </c>
      <c r="AR504" t="inlineStr">
        <is>
          <t>No</t>
        </is>
      </c>
      <c r="AS504" t="inlineStr">
        <is>
          <t>Yes</t>
        </is>
      </c>
      <c r="AT504">
        <f>HYPERLINK("http://catalog.hathitrust.org/Record/003148929","HathiTrust Record")</f>
        <v/>
      </c>
      <c r="AU504">
        <f>HYPERLINK("https://creighton-primo.hosted.exlibrisgroup.com/primo-explore/search?tab=default_tab&amp;search_scope=EVERYTHING&amp;vid=01CRU&amp;lang=en_US&amp;offset=0&amp;query=any,contains,991001060309702656","Catalog Record")</f>
        <v/>
      </c>
      <c r="AV504">
        <f>HYPERLINK("http://www.worldcat.org/oclc/36511846","WorldCat Record")</f>
        <v/>
      </c>
      <c r="AW504" t="inlineStr">
        <is>
          <t>416526510:eng</t>
        </is>
      </c>
      <c r="AX504" t="inlineStr">
        <is>
          <t>36511846</t>
        </is>
      </c>
      <c r="AY504" t="inlineStr">
        <is>
          <t>991001060309702656</t>
        </is>
      </c>
      <c r="AZ504" t="inlineStr">
        <is>
          <t>991001060309702656</t>
        </is>
      </c>
      <c r="BA504" t="inlineStr">
        <is>
          <t>2267206550002656</t>
        </is>
      </c>
      <c r="BB504" t="inlineStr">
        <is>
          <t>BOOK</t>
        </is>
      </c>
      <c r="BD504" t="inlineStr">
        <is>
          <t>9780763703165</t>
        </is>
      </c>
      <c r="BE504" t="inlineStr">
        <is>
          <t>30001003589605</t>
        </is>
      </c>
      <c r="BF504" t="inlineStr">
        <is>
          <t>893826419</t>
        </is>
      </c>
    </row>
    <row r="505">
      <c r="A505" t="inlineStr">
        <is>
          <t>No</t>
        </is>
      </c>
      <c r="B505" t="inlineStr">
        <is>
          <t>CUHSL</t>
        </is>
      </c>
      <c r="C505" t="inlineStr">
        <is>
          <t>SHELVES</t>
        </is>
      </c>
      <c r="D505" t="inlineStr">
        <is>
          <t>WY 20.5 I61 1987n</t>
        </is>
      </c>
      <c r="E505" t="inlineStr">
        <is>
          <t>0                      WY 0020500I  61          1987n</t>
        </is>
      </c>
      <c r="F505" t="inlineStr">
        <is>
          <t>Nursing advances in health : models, methods, and applications : 1987 International Nursing Research Conference abstracts.</t>
        </is>
      </c>
      <c r="H505" t="inlineStr">
        <is>
          <t>No</t>
        </is>
      </c>
      <c r="I505" t="inlineStr">
        <is>
          <t>1</t>
        </is>
      </c>
      <c r="J505" t="inlineStr">
        <is>
          <t>No</t>
        </is>
      </c>
      <c r="K505" t="inlineStr">
        <is>
          <t>No</t>
        </is>
      </c>
      <c r="L505" t="inlineStr">
        <is>
          <t>0</t>
        </is>
      </c>
      <c r="M505" t="inlineStr">
        <is>
          <t>International Nursing Research Conference (1987 : Arlington, Va.)</t>
        </is>
      </c>
      <c r="N505" t="inlineStr">
        <is>
          <t>Kansas City, Mo. : American Nurses' Association, c1987.</t>
        </is>
      </c>
      <c r="O505" t="inlineStr">
        <is>
          <t>1987</t>
        </is>
      </c>
      <c r="Q505" t="inlineStr">
        <is>
          <t>eng</t>
        </is>
      </c>
      <c r="R505" t="inlineStr">
        <is>
          <t>mou</t>
        </is>
      </c>
      <c r="S505" t="inlineStr">
        <is>
          <t>D-91 1.5M</t>
        </is>
      </c>
      <c r="T505" t="inlineStr">
        <is>
          <t xml:space="preserve">WY </t>
        </is>
      </c>
      <c r="U505" t="n">
        <v>4</v>
      </c>
      <c r="V505" t="n">
        <v>4</v>
      </c>
      <c r="W505" t="inlineStr">
        <is>
          <t>1989-02-09</t>
        </is>
      </c>
      <c r="X505" t="inlineStr">
        <is>
          <t>1989-02-09</t>
        </is>
      </c>
      <c r="Y505" t="inlineStr">
        <is>
          <t>1988-03-23</t>
        </is>
      </c>
      <c r="Z505" t="inlineStr">
        <is>
          <t>1988-03-23</t>
        </is>
      </c>
      <c r="AA505" t="n">
        <v>65</v>
      </c>
      <c r="AB505" t="n">
        <v>64</v>
      </c>
      <c r="AC505" t="n">
        <v>64</v>
      </c>
      <c r="AD505" t="n">
        <v>1</v>
      </c>
      <c r="AE505" t="n">
        <v>1</v>
      </c>
      <c r="AF505" t="n">
        <v>2</v>
      </c>
      <c r="AG505" t="n">
        <v>2</v>
      </c>
      <c r="AH505" t="n">
        <v>0</v>
      </c>
      <c r="AI505" t="n">
        <v>0</v>
      </c>
      <c r="AJ505" t="n">
        <v>0</v>
      </c>
      <c r="AK505" t="n">
        <v>0</v>
      </c>
      <c r="AL505" t="n">
        <v>2</v>
      </c>
      <c r="AM505" t="n">
        <v>2</v>
      </c>
      <c r="AN505" t="n">
        <v>0</v>
      </c>
      <c r="AO505" t="n">
        <v>0</v>
      </c>
      <c r="AP505" t="n">
        <v>0</v>
      </c>
      <c r="AQ505" t="n">
        <v>0</v>
      </c>
      <c r="AR505" t="inlineStr">
        <is>
          <t>No</t>
        </is>
      </c>
      <c r="AS505" t="inlineStr">
        <is>
          <t>No</t>
        </is>
      </c>
      <c r="AU505">
        <f>HYPERLINK("https://creighton-primo.hosted.exlibrisgroup.com/primo-explore/search?tab=default_tab&amp;search_scope=EVERYTHING&amp;vid=01CRU&amp;lang=en_US&amp;offset=0&amp;query=any,contains,991001179559702656","Catalog Record")</f>
        <v/>
      </c>
      <c r="AV505">
        <f>HYPERLINK("http://www.worldcat.org/oclc/17604790","WorldCat Record")</f>
        <v/>
      </c>
      <c r="AW505" t="inlineStr">
        <is>
          <t>11914985:eng</t>
        </is>
      </c>
      <c r="AX505" t="inlineStr">
        <is>
          <t>17604790</t>
        </is>
      </c>
      <c r="AY505" t="inlineStr">
        <is>
          <t>991001179559702656</t>
        </is>
      </c>
      <c r="AZ505" t="inlineStr">
        <is>
          <t>991001179559702656</t>
        </is>
      </c>
      <c r="BA505" t="inlineStr">
        <is>
          <t>2255232370002656</t>
        </is>
      </c>
      <c r="BB505" t="inlineStr">
        <is>
          <t>BOOK</t>
        </is>
      </c>
      <c r="BE505" t="inlineStr">
        <is>
          <t>30001000976698</t>
        </is>
      </c>
      <c r="BF505" t="inlineStr">
        <is>
          <t>893740844</t>
        </is>
      </c>
    </row>
    <row r="506">
      <c r="A506" t="inlineStr">
        <is>
          <t>No</t>
        </is>
      </c>
      <c r="B506" t="inlineStr">
        <is>
          <t>CUHSL</t>
        </is>
      </c>
      <c r="C506" t="inlineStr">
        <is>
          <t>SHELVES</t>
        </is>
      </c>
      <c r="D506" t="inlineStr">
        <is>
          <t>WY20.5 I619 2004</t>
        </is>
      </c>
      <c r="E506" t="inlineStr">
        <is>
          <t>0                      WY 0020500I  619         2004</t>
        </is>
      </c>
      <c r="F506" t="inlineStr">
        <is>
          <t>Internet for nursing research : a guide to strategies, skills, and resources / Joyce J. Fitzpatrick, Kristen S. Montgomery, editors.</t>
        </is>
      </c>
      <c r="H506" t="inlineStr">
        <is>
          <t>No</t>
        </is>
      </c>
      <c r="I506" t="inlineStr">
        <is>
          <t>1</t>
        </is>
      </c>
      <c r="J506" t="inlineStr">
        <is>
          <t>No</t>
        </is>
      </c>
      <c r="K506" t="inlineStr">
        <is>
          <t>No</t>
        </is>
      </c>
      <c r="L506" t="inlineStr">
        <is>
          <t>1</t>
        </is>
      </c>
      <c r="N506" t="inlineStr">
        <is>
          <t>New York, NY : Springer Pub., c2004.</t>
        </is>
      </c>
      <c r="O506" t="inlineStr">
        <is>
          <t>2004</t>
        </is>
      </c>
      <c r="Q506" t="inlineStr">
        <is>
          <t>eng</t>
        </is>
      </c>
      <c r="R506" t="inlineStr">
        <is>
          <t>nyu</t>
        </is>
      </c>
      <c r="T506" t="inlineStr">
        <is>
          <t xml:space="preserve">WY </t>
        </is>
      </c>
      <c r="U506" t="n">
        <v>0</v>
      </c>
      <c r="V506" t="n">
        <v>0</v>
      </c>
      <c r="W506" t="inlineStr">
        <is>
          <t>2005-02-01</t>
        </is>
      </c>
      <c r="X506" t="inlineStr">
        <is>
          <t>2005-02-01</t>
        </is>
      </c>
      <c r="Y506" t="inlineStr">
        <is>
          <t>2005-01-14</t>
        </is>
      </c>
      <c r="Z506" t="inlineStr">
        <is>
          <t>2005-01-14</t>
        </is>
      </c>
      <c r="AA506" t="n">
        <v>396</v>
      </c>
      <c r="AB506" t="n">
        <v>330</v>
      </c>
      <c r="AC506" t="n">
        <v>1284</v>
      </c>
      <c r="AD506" t="n">
        <v>1</v>
      </c>
      <c r="AE506" t="n">
        <v>14</v>
      </c>
      <c r="AF506" t="n">
        <v>16</v>
      </c>
      <c r="AG506" t="n">
        <v>52</v>
      </c>
      <c r="AH506" t="n">
        <v>7</v>
      </c>
      <c r="AI506" t="n">
        <v>17</v>
      </c>
      <c r="AJ506" t="n">
        <v>3</v>
      </c>
      <c r="AK506" t="n">
        <v>11</v>
      </c>
      <c r="AL506" t="n">
        <v>11</v>
      </c>
      <c r="AM506" t="n">
        <v>20</v>
      </c>
      <c r="AN506" t="n">
        <v>0</v>
      </c>
      <c r="AO506" t="n">
        <v>12</v>
      </c>
      <c r="AP506" t="n">
        <v>0</v>
      </c>
      <c r="AQ506" t="n">
        <v>2</v>
      </c>
      <c r="AR506" t="inlineStr">
        <is>
          <t>No</t>
        </is>
      </c>
      <c r="AS506" t="inlineStr">
        <is>
          <t>Yes</t>
        </is>
      </c>
      <c r="AT506">
        <f>HYPERLINK("http://catalog.hathitrust.org/Record/004929813","HathiTrust Record")</f>
        <v/>
      </c>
      <c r="AU506">
        <f>HYPERLINK("https://creighton-primo.hosted.exlibrisgroup.com/primo-explore/search?tab=default_tab&amp;search_scope=EVERYTHING&amp;vid=01CRU&amp;lang=en_US&amp;offset=0&amp;query=any,contains,991001731979702656","Catalog Record")</f>
        <v/>
      </c>
      <c r="AV506">
        <f>HYPERLINK("http://www.worldcat.org/oclc/55990253","WorldCat Record")</f>
        <v/>
      </c>
      <c r="AW506" t="inlineStr">
        <is>
          <t>800708526:eng</t>
        </is>
      </c>
      <c r="AX506" t="inlineStr">
        <is>
          <t>55990253</t>
        </is>
      </c>
      <c r="AY506" t="inlineStr">
        <is>
          <t>991001731979702656</t>
        </is>
      </c>
      <c r="AZ506" t="inlineStr">
        <is>
          <t>991001731979702656</t>
        </is>
      </c>
      <c r="BA506" t="inlineStr">
        <is>
          <t>2255514410002656</t>
        </is>
      </c>
      <c r="BB506" t="inlineStr">
        <is>
          <t>BOOK</t>
        </is>
      </c>
      <c r="BD506" t="inlineStr">
        <is>
          <t>9780826145451</t>
        </is>
      </c>
      <c r="BE506" t="inlineStr">
        <is>
          <t>30001004926442</t>
        </is>
      </c>
      <c r="BF506" t="inlineStr">
        <is>
          <t>893732248</t>
        </is>
      </c>
    </row>
    <row r="507">
      <c r="A507" t="inlineStr">
        <is>
          <t>No</t>
        </is>
      </c>
      <c r="B507" t="inlineStr">
        <is>
          <t>CUHSL</t>
        </is>
      </c>
      <c r="C507" t="inlineStr">
        <is>
          <t>SHELVES</t>
        </is>
      </c>
      <c r="D507" t="inlineStr">
        <is>
          <t>WY 20.5 I86 1979</t>
        </is>
      </c>
      <c r="E507" t="inlineStr">
        <is>
          <t>0                      WY 0020500I  86          1979</t>
        </is>
      </c>
      <c r="F507" t="inlineStr">
        <is>
          <t>Issues in nursing research / Florence S. Downs, Juanita W. Fleming ; [contributors, Virginia S. Cleland et al.].</t>
        </is>
      </c>
      <c r="H507" t="inlineStr">
        <is>
          <t>No</t>
        </is>
      </c>
      <c r="I507" t="inlineStr">
        <is>
          <t>1</t>
        </is>
      </c>
      <c r="J507" t="inlineStr">
        <is>
          <t>No</t>
        </is>
      </c>
      <c r="K507" t="inlineStr">
        <is>
          <t>No</t>
        </is>
      </c>
      <c r="L507" t="inlineStr">
        <is>
          <t>0</t>
        </is>
      </c>
      <c r="N507" t="inlineStr">
        <is>
          <t>New York : Appleton-Century-Crofts, c1979.</t>
        </is>
      </c>
      <c r="O507" t="inlineStr">
        <is>
          <t>1979</t>
        </is>
      </c>
      <c r="Q507" t="inlineStr">
        <is>
          <t>eng</t>
        </is>
      </c>
      <c r="R507" t="inlineStr">
        <is>
          <t>nyu</t>
        </is>
      </c>
      <c r="T507" t="inlineStr">
        <is>
          <t xml:space="preserve">WY </t>
        </is>
      </c>
      <c r="U507" t="n">
        <v>2</v>
      </c>
      <c r="V507" t="n">
        <v>2</v>
      </c>
      <c r="W507" t="inlineStr">
        <is>
          <t>1991-03-25</t>
        </is>
      </c>
      <c r="X507" t="inlineStr">
        <is>
          <t>1991-03-25</t>
        </is>
      </c>
      <c r="Y507" t="inlineStr">
        <is>
          <t>1987-12-28</t>
        </is>
      </c>
      <c r="Z507" t="inlineStr">
        <is>
          <t>1987-12-28</t>
        </is>
      </c>
      <c r="AA507" t="n">
        <v>223</v>
      </c>
      <c r="AB507" t="n">
        <v>172</v>
      </c>
      <c r="AC507" t="n">
        <v>174</v>
      </c>
      <c r="AD507" t="n">
        <v>2</v>
      </c>
      <c r="AE507" t="n">
        <v>2</v>
      </c>
      <c r="AF507" t="n">
        <v>7</v>
      </c>
      <c r="AG507" t="n">
        <v>7</v>
      </c>
      <c r="AH507" t="n">
        <v>2</v>
      </c>
      <c r="AI507" t="n">
        <v>2</v>
      </c>
      <c r="AJ507" t="n">
        <v>2</v>
      </c>
      <c r="AK507" t="n">
        <v>2</v>
      </c>
      <c r="AL507" t="n">
        <v>3</v>
      </c>
      <c r="AM507" t="n">
        <v>3</v>
      </c>
      <c r="AN507" t="n">
        <v>1</v>
      </c>
      <c r="AO507" t="n">
        <v>1</v>
      </c>
      <c r="AP507" t="n">
        <v>0</v>
      </c>
      <c r="AQ507" t="n">
        <v>0</v>
      </c>
      <c r="AR507" t="inlineStr">
        <is>
          <t>No</t>
        </is>
      </c>
      <c r="AS507" t="inlineStr">
        <is>
          <t>No</t>
        </is>
      </c>
      <c r="AU507">
        <f>HYPERLINK("https://creighton-primo.hosted.exlibrisgroup.com/primo-explore/search?tab=default_tab&amp;search_scope=EVERYTHING&amp;vid=01CRU&amp;lang=en_US&amp;offset=0&amp;query=any,contains,991001045269702656","Catalog Record")</f>
        <v/>
      </c>
      <c r="AV507">
        <f>HYPERLINK("http://www.worldcat.org/oclc/4497198","WorldCat Record")</f>
        <v/>
      </c>
      <c r="AW507" t="inlineStr">
        <is>
          <t>14777620:eng</t>
        </is>
      </c>
      <c r="AX507" t="inlineStr">
        <is>
          <t>4497198</t>
        </is>
      </c>
      <c r="AY507" t="inlineStr">
        <is>
          <t>991001045269702656</t>
        </is>
      </c>
      <c r="AZ507" t="inlineStr">
        <is>
          <t>991001045269702656</t>
        </is>
      </c>
      <c r="BA507" t="inlineStr">
        <is>
          <t>2266967100002656</t>
        </is>
      </c>
      <c r="BB507" t="inlineStr">
        <is>
          <t>BOOK</t>
        </is>
      </c>
      <c r="BD507" t="inlineStr">
        <is>
          <t>9780838544365</t>
        </is>
      </c>
      <c r="BE507" t="inlineStr">
        <is>
          <t>30001000244063</t>
        </is>
      </c>
      <c r="BF507" t="inlineStr">
        <is>
          <t>893743614</t>
        </is>
      </c>
    </row>
    <row r="508">
      <c r="A508" t="inlineStr">
        <is>
          <t>No</t>
        </is>
      </c>
      <c r="B508" t="inlineStr">
        <is>
          <t>CUHSL</t>
        </is>
      </c>
      <c r="C508" t="inlineStr">
        <is>
          <t>SHELVES</t>
        </is>
      </c>
      <c r="D508" t="inlineStr">
        <is>
          <t>WY 20.5 K67q 1998</t>
        </is>
      </c>
      <c r="E508" t="inlineStr">
        <is>
          <t>0                      WY 0020500K  67q         1998</t>
        </is>
      </c>
      <c r="F508" t="inlineStr">
        <is>
          <t>Quantitative nursing research / Thomas R. Knapp.</t>
        </is>
      </c>
      <c r="H508" t="inlineStr">
        <is>
          <t>No</t>
        </is>
      </c>
      <c r="I508" t="inlineStr">
        <is>
          <t>1</t>
        </is>
      </c>
      <c r="J508" t="inlineStr">
        <is>
          <t>No</t>
        </is>
      </c>
      <c r="K508" t="inlineStr">
        <is>
          <t>No</t>
        </is>
      </c>
      <c r="L508" t="inlineStr">
        <is>
          <t>1</t>
        </is>
      </c>
      <c r="M508" t="inlineStr">
        <is>
          <t>Knapp, Thomas R., 1930-</t>
        </is>
      </c>
      <c r="N508" t="inlineStr">
        <is>
          <t>Thousand Oaks, Calif. : Sage Publications, c1998.</t>
        </is>
      </c>
      <c r="O508" t="inlineStr">
        <is>
          <t>1998</t>
        </is>
      </c>
      <c r="Q508" t="inlineStr">
        <is>
          <t>eng</t>
        </is>
      </c>
      <c r="R508" t="inlineStr">
        <is>
          <t>cau</t>
        </is>
      </c>
      <c r="T508" t="inlineStr">
        <is>
          <t xml:space="preserve">WY </t>
        </is>
      </c>
      <c r="U508" t="n">
        <v>5</v>
      </c>
      <c r="V508" t="n">
        <v>5</v>
      </c>
      <c r="W508" t="inlineStr">
        <is>
          <t>2002-11-15</t>
        </is>
      </c>
      <c r="X508" t="inlineStr">
        <is>
          <t>2002-11-15</t>
        </is>
      </c>
      <c r="Y508" t="inlineStr">
        <is>
          <t>2000-03-03</t>
        </is>
      </c>
      <c r="Z508" t="inlineStr">
        <is>
          <t>2000-03-03</t>
        </is>
      </c>
      <c r="AA508" t="n">
        <v>269</v>
      </c>
      <c r="AB508" t="n">
        <v>178</v>
      </c>
      <c r="AC508" t="n">
        <v>961</v>
      </c>
      <c r="AD508" t="n">
        <v>1</v>
      </c>
      <c r="AE508" t="n">
        <v>14</v>
      </c>
      <c r="AF508" t="n">
        <v>10</v>
      </c>
      <c r="AG508" t="n">
        <v>39</v>
      </c>
      <c r="AH508" t="n">
        <v>4</v>
      </c>
      <c r="AI508" t="n">
        <v>12</v>
      </c>
      <c r="AJ508" t="n">
        <v>2</v>
      </c>
      <c r="AK508" t="n">
        <v>7</v>
      </c>
      <c r="AL508" t="n">
        <v>7</v>
      </c>
      <c r="AM508" t="n">
        <v>15</v>
      </c>
      <c r="AN508" t="n">
        <v>0</v>
      </c>
      <c r="AO508" t="n">
        <v>12</v>
      </c>
      <c r="AP508" t="n">
        <v>0</v>
      </c>
      <c r="AQ508" t="n">
        <v>1</v>
      </c>
      <c r="AR508" t="inlineStr">
        <is>
          <t>No</t>
        </is>
      </c>
      <c r="AS508" t="inlineStr">
        <is>
          <t>Yes</t>
        </is>
      </c>
      <c r="AT508">
        <f>HYPERLINK("http://catalog.hathitrust.org/Record/004540747","HathiTrust Record")</f>
        <v/>
      </c>
      <c r="AU508">
        <f>HYPERLINK("https://creighton-primo.hosted.exlibrisgroup.com/primo-explore/search?tab=default_tab&amp;search_scope=EVERYTHING&amp;vid=01CRU&amp;lang=en_US&amp;offset=0&amp;query=any,contains,991001441159702656","Catalog Record")</f>
        <v/>
      </c>
      <c r="AV508">
        <f>HYPERLINK("http://www.worldcat.org/oclc/37947196","WorldCat Record")</f>
        <v/>
      </c>
      <c r="AW508" t="inlineStr">
        <is>
          <t>590904:eng</t>
        </is>
      </c>
      <c r="AX508" t="inlineStr">
        <is>
          <t>37947196</t>
        </is>
      </c>
      <c r="AY508" t="inlineStr">
        <is>
          <t>991001441159702656</t>
        </is>
      </c>
      <c r="AZ508" t="inlineStr">
        <is>
          <t>991001441159702656</t>
        </is>
      </c>
      <c r="BA508" t="inlineStr">
        <is>
          <t>2268336550002656</t>
        </is>
      </c>
      <c r="BB508" t="inlineStr">
        <is>
          <t>BOOK</t>
        </is>
      </c>
      <c r="BD508" t="inlineStr">
        <is>
          <t>9780761913627</t>
        </is>
      </c>
      <c r="BE508" t="inlineStr">
        <is>
          <t>30001003882158</t>
        </is>
      </c>
      <c r="BF508" t="inlineStr">
        <is>
          <t>893274179</t>
        </is>
      </c>
    </row>
    <row r="509">
      <c r="A509" t="inlineStr">
        <is>
          <t>No</t>
        </is>
      </c>
      <c r="B509" t="inlineStr">
        <is>
          <t>CUHSL</t>
        </is>
      </c>
      <c r="C509" t="inlineStr">
        <is>
          <t>SHELVES</t>
        </is>
      </c>
      <c r="D509" t="inlineStr">
        <is>
          <t>WY 20.5 M425c 1991</t>
        </is>
      </c>
      <c r="E509" t="inlineStr">
        <is>
          <t>0                      WY 0020500M  425c        1991</t>
        </is>
      </c>
      <c r="F509" t="inlineStr">
        <is>
          <t>Conducting and using nursing research in the clinical setting / Magdalena A. Mateo, Karin T. Kirchhoff.</t>
        </is>
      </c>
      <c r="H509" t="inlineStr">
        <is>
          <t>No</t>
        </is>
      </c>
      <c r="I509" t="inlineStr">
        <is>
          <t>1</t>
        </is>
      </c>
      <c r="J509" t="inlineStr">
        <is>
          <t>No</t>
        </is>
      </c>
      <c r="K509" t="inlineStr">
        <is>
          <t>No</t>
        </is>
      </c>
      <c r="L509" t="inlineStr">
        <is>
          <t>0</t>
        </is>
      </c>
      <c r="M509" t="inlineStr">
        <is>
          <t>Mateo, Magdalena A.</t>
        </is>
      </c>
      <c r="N509" t="inlineStr">
        <is>
          <t>Baltimore : Williams &amp; Wilkins, c1991.</t>
        </is>
      </c>
      <c r="O509" t="inlineStr">
        <is>
          <t>1991</t>
        </is>
      </c>
      <c r="Q509" t="inlineStr">
        <is>
          <t>eng</t>
        </is>
      </c>
      <c r="R509" t="inlineStr">
        <is>
          <t>xxu</t>
        </is>
      </c>
      <c r="T509" t="inlineStr">
        <is>
          <t xml:space="preserve">WY </t>
        </is>
      </c>
      <c r="U509" t="n">
        <v>26</v>
      </c>
      <c r="V509" t="n">
        <v>26</v>
      </c>
      <c r="W509" t="inlineStr">
        <is>
          <t>2000-10-11</t>
        </is>
      </c>
      <c r="X509" t="inlineStr">
        <is>
          <t>2000-10-11</t>
        </is>
      </c>
      <c r="Y509" t="inlineStr">
        <is>
          <t>1991-03-02</t>
        </is>
      </c>
      <c r="Z509" t="inlineStr">
        <is>
          <t>1991-03-02</t>
        </is>
      </c>
      <c r="AA509" t="n">
        <v>274</v>
      </c>
      <c r="AB509" t="n">
        <v>211</v>
      </c>
      <c r="AC509" t="n">
        <v>218</v>
      </c>
      <c r="AD509" t="n">
        <v>1</v>
      </c>
      <c r="AE509" t="n">
        <v>1</v>
      </c>
      <c r="AF509" t="n">
        <v>12</v>
      </c>
      <c r="AG509" t="n">
        <v>12</v>
      </c>
      <c r="AH509" t="n">
        <v>5</v>
      </c>
      <c r="AI509" t="n">
        <v>5</v>
      </c>
      <c r="AJ509" t="n">
        <v>3</v>
      </c>
      <c r="AK509" t="n">
        <v>3</v>
      </c>
      <c r="AL509" t="n">
        <v>9</v>
      </c>
      <c r="AM509" t="n">
        <v>9</v>
      </c>
      <c r="AN509" t="n">
        <v>0</v>
      </c>
      <c r="AO509" t="n">
        <v>0</v>
      </c>
      <c r="AP509" t="n">
        <v>0</v>
      </c>
      <c r="AQ509" t="n">
        <v>0</v>
      </c>
      <c r="AR509" t="inlineStr">
        <is>
          <t>No</t>
        </is>
      </c>
      <c r="AS509" t="inlineStr">
        <is>
          <t>Yes</t>
        </is>
      </c>
      <c r="AT509">
        <f>HYPERLINK("http://catalog.hathitrust.org/Record/002233435","HathiTrust Record")</f>
        <v/>
      </c>
      <c r="AU509">
        <f>HYPERLINK("https://creighton-primo.hosted.exlibrisgroup.com/primo-explore/search?tab=default_tab&amp;search_scope=EVERYTHING&amp;vid=01CRU&amp;lang=en_US&amp;offset=0&amp;query=any,contains,991000823729702656","Catalog Record")</f>
        <v/>
      </c>
      <c r="AV509">
        <f>HYPERLINK("http://www.worldcat.org/oclc/21482261","WorldCat Record")</f>
        <v/>
      </c>
      <c r="AW509" t="inlineStr">
        <is>
          <t>3856384512:eng</t>
        </is>
      </c>
      <c r="AX509" t="inlineStr">
        <is>
          <t>21482261</t>
        </is>
      </c>
      <c r="AY509" t="inlineStr">
        <is>
          <t>991000823729702656</t>
        </is>
      </c>
      <c r="AZ509" t="inlineStr">
        <is>
          <t>991000823729702656</t>
        </is>
      </c>
      <c r="BA509" t="inlineStr">
        <is>
          <t>2257329890002656</t>
        </is>
      </c>
      <c r="BB509" t="inlineStr">
        <is>
          <t>BOOK</t>
        </is>
      </c>
      <c r="BD509" t="inlineStr">
        <is>
          <t>9780683056235</t>
        </is>
      </c>
      <c r="BE509" t="inlineStr">
        <is>
          <t>30001002088195</t>
        </is>
      </c>
      <c r="BF509" t="inlineStr">
        <is>
          <t>893825921</t>
        </is>
      </c>
    </row>
    <row r="510">
      <c r="A510" t="inlineStr">
        <is>
          <t>No</t>
        </is>
      </c>
      <c r="B510" t="inlineStr">
        <is>
          <t>CUHSL</t>
        </is>
      </c>
      <c r="C510" t="inlineStr">
        <is>
          <t>SHELVES</t>
        </is>
      </c>
      <c r="D510" t="inlineStr">
        <is>
          <t>WY 20.5 M478a 1990</t>
        </is>
      </c>
      <c r="E510" t="inlineStr">
        <is>
          <t>0                      WY 0020500M  478a        1990</t>
        </is>
      </c>
      <c r="F510" t="inlineStr">
        <is>
          <t>Advanced nursing and health care research : quantification approaches / Frank E. McLaughlin, Leonard A. Marascuilo.</t>
        </is>
      </c>
      <c r="H510" t="inlineStr">
        <is>
          <t>No</t>
        </is>
      </c>
      <c r="I510" t="inlineStr">
        <is>
          <t>1</t>
        </is>
      </c>
      <c r="J510" t="inlineStr">
        <is>
          <t>No</t>
        </is>
      </c>
      <c r="K510" t="inlineStr">
        <is>
          <t>No</t>
        </is>
      </c>
      <c r="L510" t="inlineStr">
        <is>
          <t>0</t>
        </is>
      </c>
      <c r="M510" t="inlineStr">
        <is>
          <t>McLaughlin, Frank E.</t>
        </is>
      </c>
      <c r="N510" t="inlineStr">
        <is>
          <t>Philadelphia : Saunders, c1990.</t>
        </is>
      </c>
      <c r="O510" t="inlineStr">
        <is>
          <t>1990</t>
        </is>
      </c>
      <c r="Q510" t="inlineStr">
        <is>
          <t>eng</t>
        </is>
      </c>
      <c r="R510" t="inlineStr">
        <is>
          <t>xxu</t>
        </is>
      </c>
      <c r="T510" t="inlineStr">
        <is>
          <t xml:space="preserve">WY </t>
        </is>
      </c>
      <c r="U510" t="n">
        <v>22</v>
      </c>
      <c r="V510" t="n">
        <v>22</v>
      </c>
      <c r="W510" t="inlineStr">
        <is>
          <t>1993-12-10</t>
        </is>
      </c>
      <c r="X510" t="inlineStr">
        <is>
          <t>1993-12-10</t>
        </is>
      </c>
      <c r="Y510" t="inlineStr">
        <is>
          <t>1990-08-16</t>
        </is>
      </c>
      <c r="Z510" t="inlineStr">
        <is>
          <t>1990-08-16</t>
        </is>
      </c>
      <c r="AA510" t="n">
        <v>280</v>
      </c>
      <c r="AB510" t="n">
        <v>212</v>
      </c>
      <c r="AC510" t="n">
        <v>219</v>
      </c>
      <c r="AD510" t="n">
        <v>2</v>
      </c>
      <c r="AE510" t="n">
        <v>2</v>
      </c>
      <c r="AF510" t="n">
        <v>13</v>
      </c>
      <c r="AG510" t="n">
        <v>13</v>
      </c>
      <c r="AH510" t="n">
        <v>5</v>
      </c>
      <c r="AI510" t="n">
        <v>5</v>
      </c>
      <c r="AJ510" t="n">
        <v>4</v>
      </c>
      <c r="AK510" t="n">
        <v>4</v>
      </c>
      <c r="AL510" t="n">
        <v>7</v>
      </c>
      <c r="AM510" t="n">
        <v>7</v>
      </c>
      <c r="AN510" t="n">
        <v>1</v>
      </c>
      <c r="AO510" t="n">
        <v>1</v>
      </c>
      <c r="AP510" t="n">
        <v>0</v>
      </c>
      <c r="AQ510" t="n">
        <v>0</v>
      </c>
      <c r="AR510" t="inlineStr">
        <is>
          <t>No</t>
        </is>
      </c>
      <c r="AS510" t="inlineStr">
        <is>
          <t>Yes</t>
        </is>
      </c>
      <c r="AT510">
        <f>HYPERLINK("http://catalog.hathitrust.org/Record/001947483","HathiTrust Record")</f>
        <v/>
      </c>
      <c r="AU510">
        <f>HYPERLINK("https://creighton-primo.hosted.exlibrisgroup.com/primo-explore/search?tab=default_tab&amp;search_scope=EVERYTHING&amp;vid=01CRU&amp;lang=en_US&amp;offset=0&amp;query=any,contains,991001453279702656","Catalog Record")</f>
        <v/>
      </c>
      <c r="AV510">
        <f>HYPERLINK("http://www.worldcat.org/oclc/20894537","WorldCat Record")</f>
        <v/>
      </c>
      <c r="AW510" t="inlineStr">
        <is>
          <t>836787042:eng</t>
        </is>
      </c>
      <c r="AX510" t="inlineStr">
        <is>
          <t>20894537</t>
        </is>
      </c>
      <c r="AY510" t="inlineStr">
        <is>
          <t>991001453279702656</t>
        </is>
      </c>
      <c r="AZ510" t="inlineStr">
        <is>
          <t>991001453279702656</t>
        </is>
      </c>
      <c r="BA510" t="inlineStr">
        <is>
          <t>2267254010002656</t>
        </is>
      </c>
      <c r="BB510" t="inlineStr">
        <is>
          <t>BOOK</t>
        </is>
      </c>
      <c r="BD510" t="inlineStr">
        <is>
          <t>9780721630984</t>
        </is>
      </c>
      <c r="BE510" t="inlineStr">
        <is>
          <t>30001001883984</t>
        </is>
      </c>
      <c r="BF510" t="inlineStr">
        <is>
          <t>893374600</t>
        </is>
      </c>
    </row>
    <row r="511">
      <c r="A511" t="inlineStr">
        <is>
          <t>No</t>
        </is>
      </c>
      <c r="B511" t="inlineStr">
        <is>
          <t>CUHSL</t>
        </is>
      </c>
      <c r="C511" t="inlineStr">
        <is>
          <t>SHELVES</t>
        </is>
      </c>
      <c r="D511" t="inlineStr">
        <is>
          <t>WY 20.5 M966q 2000</t>
        </is>
      </c>
      <c r="E511" t="inlineStr">
        <is>
          <t>0                      WY 0020500M  966q        2000</t>
        </is>
      </c>
      <c r="F511" t="inlineStr">
        <is>
          <t>Qualitative research proposals and reports : a guide / Patricia L. Munhall.</t>
        </is>
      </c>
      <c r="H511" t="inlineStr">
        <is>
          <t>No</t>
        </is>
      </c>
      <c r="I511" t="inlineStr">
        <is>
          <t>2</t>
        </is>
      </c>
      <c r="J511" t="inlineStr">
        <is>
          <t>Yes</t>
        </is>
      </c>
      <c r="K511" t="inlineStr">
        <is>
          <t>No</t>
        </is>
      </c>
      <c r="L511" t="inlineStr">
        <is>
          <t>0</t>
        </is>
      </c>
      <c r="M511" t="inlineStr">
        <is>
          <t>Munhall, Patricia L.</t>
        </is>
      </c>
      <c r="N511" t="inlineStr">
        <is>
          <t>Sudbury, Mass. : Jones and Bartlett, c2000.</t>
        </is>
      </c>
      <c r="O511" t="inlineStr">
        <is>
          <t>2000</t>
        </is>
      </c>
      <c r="P511" t="inlineStr">
        <is>
          <t>2nd ed.</t>
        </is>
      </c>
      <c r="Q511" t="inlineStr">
        <is>
          <t>eng</t>
        </is>
      </c>
      <c r="R511" t="inlineStr">
        <is>
          <t>mau</t>
        </is>
      </c>
      <c r="S511" t="inlineStr">
        <is>
          <t>NLN Pub. No. 14-1713</t>
        </is>
      </c>
      <c r="T511" t="inlineStr">
        <is>
          <t xml:space="preserve">WY </t>
        </is>
      </c>
      <c r="U511" t="n">
        <v>1</v>
      </c>
      <c r="V511" t="n">
        <v>2</v>
      </c>
      <c r="W511" t="inlineStr">
        <is>
          <t>2010-04-09</t>
        </is>
      </c>
      <c r="X511" t="inlineStr">
        <is>
          <t>2010-04-09</t>
        </is>
      </c>
      <c r="Y511" t="inlineStr">
        <is>
          <t>2002-05-29</t>
        </is>
      </c>
      <c r="Z511" t="inlineStr">
        <is>
          <t>2002-05-29</t>
        </is>
      </c>
      <c r="AA511" t="n">
        <v>274</v>
      </c>
      <c r="AB511" t="n">
        <v>236</v>
      </c>
      <c r="AC511" t="n">
        <v>358</v>
      </c>
      <c r="AD511" t="n">
        <v>2</v>
      </c>
      <c r="AE511" t="n">
        <v>4</v>
      </c>
      <c r="AF511" t="n">
        <v>9</v>
      </c>
      <c r="AG511" t="n">
        <v>20</v>
      </c>
      <c r="AH511" t="n">
        <v>3</v>
      </c>
      <c r="AI511" t="n">
        <v>8</v>
      </c>
      <c r="AJ511" t="n">
        <v>3</v>
      </c>
      <c r="AK511" t="n">
        <v>5</v>
      </c>
      <c r="AL511" t="n">
        <v>3</v>
      </c>
      <c r="AM511" t="n">
        <v>8</v>
      </c>
      <c r="AN511" t="n">
        <v>1</v>
      </c>
      <c r="AO511" t="n">
        <v>3</v>
      </c>
      <c r="AP511" t="n">
        <v>0</v>
      </c>
      <c r="AQ511" t="n">
        <v>0</v>
      </c>
      <c r="AR511" t="inlineStr">
        <is>
          <t>No</t>
        </is>
      </c>
      <c r="AS511" t="inlineStr">
        <is>
          <t>Yes</t>
        </is>
      </c>
      <c r="AT511">
        <f>HYPERLINK("http://catalog.hathitrust.org/Record/003509304","HathiTrust Record")</f>
        <v/>
      </c>
      <c r="AU511">
        <f>HYPERLINK("https://creighton-primo.hosted.exlibrisgroup.com/primo-explore/search?tab=default_tab&amp;search_scope=EVERYTHING&amp;vid=01CRU&amp;lang=en_US&amp;offset=0&amp;query=any,contains,991000295839702656","Catalog Record")</f>
        <v/>
      </c>
      <c r="AV511">
        <f>HYPERLINK("http://www.worldcat.org/oclc/43599088","WorldCat Record")</f>
        <v/>
      </c>
      <c r="AW511" t="inlineStr">
        <is>
          <t>31964647:eng</t>
        </is>
      </c>
      <c r="AX511" t="inlineStr">
        <is>
          <t>43599088</t>
        </is>
      </c>
      <c r="AY511" t="inlineStr">
        <is>
          <t>991000295839702656</t>
        </is>
      </c>
      <c r="AZ511" t="inlineStr">
        <is>
          <t>991000295839702656</t>
        </is>
      </c>
      <c r="BA511" t="inlineStr">
        <is>
          <t>2266594670002656</t>
        </is>
      </c>
      <c r="BB511" t="inlineStr">
        <is>
          <t>BOOK</t>
        </is>
      </c>
      <c r="BD511" t="inlineStr">
        <is>
          <t>9780763711719</t>
        </is>
      </c>
      <c r="BE511" t="inlineStr">
        <is>
          <t>30001003783976</t>
        </is>
      </c>
      <c r="BF511" t="inlineStr">
        <is>
          <t>893163205</t>
        </is>
      </c>
    </row>
    <row r="512">
      <c r="A512" t="inlineStr">
        <is>
          <t>No</t>
        </is>
      </c>
      <c r="B512" t="inlineStr">
        <is>
          <t>CUHSL</t>
        </is>
      </c>
      <c r="C512" t="inlineStr">
        <is>
          <t>SHELVES</t>
        </is>
      </c>
      <c r="D512" t="inlineStr">
        <is>
          <t>WY 20.5 N676f 1998</t>
        </is>
      </c>
      <c r="E512" t="inlineStr">
        <is>
          <t>0                      WY 0020500N  676f        1998</t>
        </is>
      </c>
      <c r="F512" t="inlineStr">
        <is>
          <t>Foundations of nursing research / Rose Marie Nieswiadomy.</t>
        </is>
      </c>
      <c r="H512" t="inlineStr">
        <is>
          <t>No</t>
        </is>
      </c>
      <c r="I512" t="inlineStr">
        <is>
          <t>1</t>
        </is>
      </c>
      <c r="J512" t="inlineStr">
        <is>
          <t>No</t>
        </is>
      </c>
      <c r="K512" t="inlineStr">
        <is>
          <t>Yes</t>
        </is>
      </c>
      <c r="L512" t="inlineStr">
        <is>
          <t>2</t>
        </is>
      </c>
      <c r="M512" t="inlineStr">
        <is>
          <t>Nieswiadomy, Rose Marie.</t>
        </is>
      </c>
      <c r="N512" t="inlineStr">
        <is>
          <t>Stamford, Conn. : Appleton &amp; Lange, c1998.</t>
        </is>
      </c>
      <c r="O512" t="inlineStr">
        <is>
          <t>1998</t>
        </is>
      </c>
      <c r="P512" t="inlineStr">
        <is>
          <t>3rd ed.</t>
        </is>
      </c>
      <c r="Q512" t="inlineStr">
        <is>
          <t>eng</t>
        </is>
      </c>
      <c r="R512" t="inlineStr">
        <is>
          <t>ctu</t>
        </is>
      </c>
      <c r="T512" t="inlineStr">
        <is>
          <t xml:space="preserve">WY </t>
        </is>
      </c>
      <c r="U512" t="n">
        <v>3</v>
      </c>
      <c r="V512" t="n">
        <v>3</v>
      </c>
      <c r="W512" t="inlineStr">
        <is>
          <t>1999-04-20</t>
        </is>
      </c>
      <c r="X512" t="inlineStr">
        <is>
          <t>1999-04-20</t>
        </is>
      </c>
      <c r="Y512" t="inlineStr">
        <is>
          <t>1999-04-13</t>
        </is>
      </c>
      <c r="Z512" t="inlineStr">
        <is>
          <t>1999-04-13</t>
        </is>
      </c>
      <c r="AA512" t="n">
        <v>206</v>
      </c>
      <c r="AB512" t="n">
        <v>145</v>
      </c>
      <c r="AC512" t="n">
        <v>703</v>
      </c>
      <c r="AD512" t="n">
        <v>1</v>
      </c>
      <c r="AE512" t="n">
        <v>3</v>
      </c>
      <c r="AF512" t="n">
        <v>6</v>
      </c>
      <c r="AG512" t="n">
        <v>28</v>
      </c>
      <c r="AH512" t="n">
        <v>1</v>
      </c>
      <c r="AI512" t="n">
        <v>10</v>
      </c>
      <c r="AJ512" t="n">
        <v>2</v>
      </c>
      <c r="AK512" t="n">
        <v>8</v>
      </c>
      <c r="AL512" t="n">
        <v>3</v>
      </c>
      <c r="AM512" t="n">
        <v>15</v>
      </c>
      <c r="AN512" t="n">
        <v>0</v>
      </c>
      <c r="AO512" t="n">
        <v>1</v>
      </c>
      <c r="AP512" t="n">
        <v>0</v>
      </c>
      <c r="AQ512" t="n">
        <v>0</v>
      </c>
      <c r="AR512" t="inlineStr">
        <is>
          <t>No</t>
        </is>
      </c>
      <c r="AS512" t="inlineStr">
        <is>
          <t>Yes</t>
        </is>
      </c>
      <c r="AT512">
        <f>HYPERLINK("http://catalog.hathitrust.org/Record/003962426","HathiTrust Record")</f>
        <v/>
      </c>
      <c r="AU512">
        <f>HYPERLINK("https://creighton-primo.hosted.exlibrisgroup.com/primo-explore/search?tab=default_tab&amp;search_scope=EVERYTHING&amp;vid=01CRU&amp;lang=en_US&amp;offset=0&amp;query=any,contains,991001572949702656","Catalog Record")</f>
        <v/>
      </c>
      <c r="AV512">
        <f>HYPERLINK("http://www.worldcat.org/oclc/37553768","WorldCat Record")</f>
        <v/>
      </c>
      <c r="AW512" t="inlineStr">
        <is>
          <t>632486:eng</t>
        </is>
      </c>
      <c r="AX512" t="inlineStr">
        <is>
          <t>37553768</t>
        </is>
      </c>
      <c r="AY512" t="inlineStr">
        <is>
          <t>991001572949702656</t>
        </is>
      </c>
      <c r="AZ512" t="inlineStr">
        <is>
          <t>991001572949702656</t>
        </is>
      </c>
      <c r="BA512" t="inlineStr">
        <is>
          <t>2258832580002656</t>
        </is>
      </c>
      <c r="BB512" t="inlineStr">
        <is>
          <t>BOOK</t>
        </is>
      </c>
      <c r="BD512" t="inlineStr">
        <is>
          <t>9780838526965</t>
        </is>
      </c>
      <c r="BE512" t="inlineStr">
        <is>
          <t>30001004071256</t>
        </is>
      </c>
      <c r="BF512" t="inlineStr">
        <is>
          <t>893374748</t>
        </is>
      </c>
    </row>
    <row r="513">
      <c r="A513" t="inlineStr">
        <is>
          <t>No</t>
        </is>
      </c>
      <c r="B513" t="inlineStr">
        <is>
          <t>CUHSL</t>
        </is>
      </c>
      <c r="C513" t="inlineStr">
        <is>
          <t>SHELVES</t>
        </is>
      </c>
      <c r="D513" t="inlineStr">
        <is>
          <t>WY20.5 N676f 2002</t>
        </is>
      </c>
      <c r="E513" t="inlineStr">
        <is>
          <t>0                      WY 0020500N  676f        2002</t>
        </is>
      </c>
      <c r="F513" t="inlineStr">
        <is>
          <t>Foundations of nursing research / Rose Marie Nieswiadomy.</t>
        </is>
      </c>
      <c r="H513" t="inlineStr">
        <is>
          <t>No</t>
        </is>
      </c>
      <c r="I513" t="inlineStr">
        <is>
          <t>1</t>
        </is>
      </c>
      <c r="J513" t="inlineStr">
        <is>
          <t>No</t>
        </is>
      </c>
      <c r="K513" t="inlineStr">
        <is>
          <t>Yes</t>
        </is>
      </c>
      <c r="L513" t="inlineStr">
        <is>
          <t>2</t>
        </is>
      </c>
      <c r="M513" t="inlineStr">
        <is>
          <t>Nieswiadomy, Rose Marie.</t>
        </is>
      </c>
      <c r="N513" t="inlineStr">
        <is>
          <t>Upper Saddle River, N.J. : Prentice Hall, c2002.</t>
        </is>
      </c>
      <c r="O513" t="inlineStr">
        <is>
          <t>2002</t>
        </is>
      </c>
      <c r="P513" t="inlineStr">
        <is>
          <t>4th ed.</t>
        </is>
      </c>
      <c r="Q513" t="inlineStr">
        <is>
          <t>eng</t>
        </is>
      </c>
      <c r="R513" t="inlineStr">
        <is>
          <t>nju</t>
        </is>
      </c>
      <c r="T513" t="inlineStr">
        <is>
          <t xml:space="preserve">WY </t>
        </is>
      </c>
      <c r="U513" t="n">
        <v>2</v>
      </c>
      <c r="V513" t="n">
        <v>2</v>
      </c>
      <c r="W513" t="inlineStr">
        <is>
          <t>2005-04-27</t>
        </is>
      </c>
      <c r="X513" t="inlineStr">
        <is>
          <t>2005-04-27</t>
        </is>
      </c>
      <c r="Y513" t="inlineStr">
        <is>
          <t>2002-01-11</t>
        </is>
      </c>
      <c r="Z513" t="inlineStr">
        <is>
          <t>2002-01-11</t>
        </is>
      </c>
      <c r="AA513" t="n">
        <v>325</v>
      </c>
      <c r="AB513" t="n">
        <v>245</v>
      </c>
      <c r="AC513" t="n">
        <v>703</v>
      </c>
      <c r="AD513" t="n">
        <v>1</v>
      </c>
      <c r="AE513" t="n">
        <v>3</v>
      </c>
      <c r="AF513" t="n">
        <v>10</v>
      </c>
      <c r="AG513" t="n">
        <v>28</v>
      </c>
      <c r="AH513" t="n">
        <v>4</v>
      </c>
      <c r="AI513" t="n">
        <v>10</v>
      </c>
      <c r="AJ513" t="n">
        <v>1</v>
      </c>
      <c r="AK513" t="n">
        <v>8</v>
      </c>
      <c r="AL513" t="n">
        <v>6</v>
      </c>
      <c r="AM513" t="n">
        <v>15</v>
      </c>
      <c r="AN513" t="n">
        <v>0</v>
      </c>
      <c r="AO513" t="n">
        <v>1</v>
      </c>
      <c r="AP513" t="n">
        <v>0</v>
      </c>
      <c r="AQ513" t="n">
        <v>0</v>
      </c>
      <c r="AR513" t="inlineStr">
        <is>
          <t>No</t>
        </is>
      </c>
      <c r="AS513" t="inlineStr">
        <is>
          <t>Yes</t>
        </is>
      </c>
      <c r="AT513">
        <f>HYPERLINK("http://catalog.hathitrust.org/Record/004206060","HathiTrust Record")</f>
        <v/>
      </c>
      <c r="AU513">
        <f>HYPERLINK("https://creighton-primo.hosted.exlibrisgroup.com/primo-explore/search?tab=default_tab&amp;search_scope=EVERYTHING&amp;vid=01CRU&amp;lang=en_US&amp;offset=0&amp;query=any,contains,991001711199702656","Catalog Record")</f>
        <v/>
      </c>
      <c r="AV513">
        <f>HYPERLINK("http://www.worldcat.org/oclc/47013919","WorldCat Record")</f>
        <v/>
      </c>
      <c r="AW513" t="inlineStr">
        <is>
          <t>632486:eng</t>
        </is>
      </c>
      <c r="AX513" t="inlineStr">
        <is>
          <t>47013919</t>
        </is>
      </c>
      <c r="AY513" t="inlineStr">
        <is>
          <t>991001711199702656</t>
        </is>
      </c>
      <c r="AZ513" t="inlineStr">
        <is>
          <t>991001711199702656</t>
        </is>
      </c>
      <c r="BA513" t="inlineStr">
        <is>
          <t>2255258180002656</t>
        </is>
      </c>
      <c r="BB513" t="inlineStr">
        <is>
          <t>BOOK</t>
        </is>
      </c>
      <c r="BD513" t="inlineStr">
        <is>
          <t>9780130339911</t>
        </is>
      </c>
      <c r="BE513" t="inlineStr">
        <is>
          <t>30001004236321</t>
        </is>
      </c>
      <c r="BF513" t="inlineStr">
        <is>
          <t>893558134</t>
        </is>
      </c>
    </row>
    <row r="514">
      <c r="A514" t="inlineStr">
        <is>
          <t>No</t>
        </is>
      </c>
      <c r="B514" t="inlineStr">
        <is>
          <t>CUHSL</t>
        </is>
      </c>
      <c r="C514" t="inlineStr">
        <is>
          <t>SHELVES</t>
        </is>
      </c>
      <c r="D514" t="inlineStr">
        <is>
          <t>WY 20.5 N9734 1997</t>
        </is>
      </c>
      <c r="E514" t="inlineStr">
        <is>
          <t>0                      WY 0020500N  9734        1997</t>
        </is>
      </c>
      <c r="F514" t="inlineStr">
        <is>
          <t>Nursing outcomes classification (NOC) : Iowa outcomes project / editors, Marion Johnson, Meridean Maas.</t>
        </is>
      </c>
      <c r="H514" t="inlineStr">
        <is>
          <t>No</t>
        </is>
      </c>
      <c r="I514" t="inlineStr">
        <is>
          <t>1</t>
        </is>
      </c>
      <c r="J514" t="inlineStr">
        <is>
          <t>No</t>
        </is>
      </c>
      <c r="K514" t="inlineStr">
        <is>
          <t>No</t>
        </is>
      </c>
      <c r="L514" t="inlineStr">
        <is>
          <t>0</t>
        </is>
      </c>
      <c r="N514" t="inlineStr">
        <is>
          <t>St. Louis : Mosby, c1997.</t>
        </is>
      </c>
      <c r="O514" t="inlineStr">
        <is>
          <t>1997</t>
        </is>
      </c>
      <c r="Q514" t="inlineStr">
        <is>
          <t>eng</t>
        </is>
      </c>
      <c r="R514" t="inlineStr">
        <is>
          <t>mou</t>
        </is>
      </c>
      <c r="T514" t="inlineStr">
        <is>
          <t xml:space="preserve">WY </t>
        </is>
      </c>
      <c r="U514" t="n">
        <v>6</v>
      </c>
      <c r="V514" t="n">
        <v>6</v>
      </c>
      <c r="W514" t="inlineStr">
        <is>
          <t>1998-09-10</t>
        </is>
      </c>
      <c r="X514" t="inlineStr">
        <is>
          <t>1998-09-10</t>
        </is>
      </c>
      <c r="Y514" t="inlineStr">
        <is>
          <t>1998-07-29</t>
        </is>
      </c>
      <c r="Z514" t="inlineStr">
        <is>
          <t>1998-07-29</t>
        </is>
      </c>
      <c r="AA514" t="n">
        <v>220</v>
      </c>
      <c r="AB514" t="n">
        <v>179</v>
      </c>
      <c r="AC514" t="n">
        <v>187</v>
      </c>
      <c r="AD514" t="n">
        <v>3</v>
      </c>
      <c r="AE514" t="n">
        <v>3</v>
      </c>
      <c r="AF514" t="n">
        <v>8</v>
      </c>
      <c r="AG514" t="n">
        <v>8</v>
      </c>
      <c r="AH514" t="n">
        <v>3</v>
      </c>
      <c r="AI514" t="n">
        <v>3</v>
      </c>
      <c r="AJ514" t="n">
        <v>1</v>
      </c>
      <c r="AK514" t="n">
        <v>1</v>
      </c>
      <c r="AL514" t="n">
        <v>5</v>
      </c>
      <c r="AM514" t="n">
        <v>5</v>
      </c>
      <c r="AN514" t="n">
        <v>1</v>
      </c>
      <c r="AO514" t="n">
        <v>1</v>
      </c>
      <c r="AP514" t="n">
        <v>0</v>
      </c>
      <c r="AQ514" t="n">
        <v>0</v>
      </c>
      <c r="AR514" t="inlineStr">
        <is>
          <t>No</t>
        </is>
      </c>
      <c r="AS514" t="inlineStr">
        <is>
          <t>Yes</t>
        </is>
      </c>
      <c r="AT514">
        <f>HYPERLINK("http://catalog.hathitrust.org/Record/003142416","HathiTrust Record")</f>
        <v/>
      </c>
      <c r="AU514">
        <f>HYPERLINK("https://creighton-primo.hosted.exlibrisgroup.com/primo-explore/search?tab=default_tab&amp;search_scope=EVERYTHING&amp;vid=01CRU&amp;lang=en_US&amp;offset=0&amp;query=any,contains,991001568769702656","Catalog Record")</f>
        <v/>
      </c>
      <c r="AV514">
        <f>HYPERLINK("http://www.worldcat.org/oclc/36051975","WorldCat Record")</f>
        <v/>
      </c>
      <c r="AW514" t="inlineStr">
        <is>
          <t>10677896797:eng</t>
        </is>
      </c>
      <c r="AX514" t="inlineStr">
        <is>
          <t>36051975</t>
        </is>
      </c>
      <c r="AY514" t="inlineStr">
        <is>
          <t>991001568769702656</t>
        </is>
      </c>
      <c r="AZ514" t="inlineStr">
        <is>
          <t>991001568769702656</t>
        </is>
      </c>
      <c r="BA514" t="inlineStr">
        <is>
          <t>2263824560002656</t>
        </is>
      </c>
      <c r="BB514" t="inlineStr">
        <is>
          <t>BOOK</t>
        </is>
      </c>
      <c r="BD514" t="inlineStr">
        <is>
          <t>9780815145462</t>
        </is>
      </c>
      <c r="BE514" t="inlineStr">
        <is>
          <t>30001004091015</t>
        </is>
      </c>
      <c r="BF514" t="inlineStr">
        <is>
          <t>893268652</t>
        </is>
      </c>
    </row>
    <row r="515">
      <c r="A515" t="inlineStr">
        <is>
          <t>No</t>
        </is>
      </c>
      <c r="B515" t="inlineStr">
        <is>
          <t>CUHSL</t>
        </is>
      </c>
      <c r="C515" t="inlineStr">
        <is>
          <t>SHELVES</t>
        </is>
      </c>
      <c r="D515" t="inlineStr">
        <is>
          <t>WY 20.5 N974 1993</t>
        </is>
      </c>
      <c r="E515" t="inlineStr">
        <is>
          <t>0                      WY 0020500N  974         1993</t>
        </is>
      </c>
      <c r="F515" t="inlineStr">
        <is>
          <t>The Nursing of families : theory, research, education, practice / Suzanne L. Feetham ... [et al.].</t>
        </is>
      </c>
      <c r="H515" t="inlineStr">
        <is>
          <t>No</t>
        </is>
      </c>
      <c r="I515" t="inlineStr">
        <is>
          <t>1</t>
        </is>
      </c>
      <c r="J515" t="inlineStr">
        <is>
          <t>No</t>
        </is>
      </c>
      <c r="K515" t="inlineStr">
        <is>
          <t>No</t>
        </is>
      </c>
      <c r="L515" t="inlineStr">
        <is>
          <t>0</t>
        </is>
      </c>
      <c r="N515" t="inlineStr">
        <is>
          <t>Newbury Park, Calif. : Sage Publications, c1992.</t>
        </is>
      </c>
      <c r="O515" t="inlineStr">
        <is>
          <t>1993</t>
        </is>
      </c>
      <c r="Q515" t="inlineStr">
        <is>
          <t>eng</t>
        </is>
      </c>
      <c r="R515" t="inlineStr">
        <is>
          <t>cau</t>
        </is>
      </c>
      <c r="T515" t="inlineStr">
        <is>
          <t xml:space="preserve">WY </t>
        </is>
      </c>
      <c r="U515" t="n">
        <v>8</v>
      </c>
      <c r="V515" t="n">
        <v>8</v>
      </c>
      <c r="W515" t="inlineStr">
        <is>
          <t>1992-11-19</t>
        </is>
      </c>
      <c r="X515" t="inlineStr">
        <is>
          <t>1992-11-19</t>
        </is>
      </c>
      <c r="Y515" t="inlineStr">
        <is>
          <t>1992-10-20</t>
        </is>
      </c>
      <c r="Z515" t="inlineStr">
        <is>
          <t>1992-10-20</t>
        </is>
      </c>
      <c r="AA515" t="n">
        <v>276</v>
      </c>
      <c r="AB515" t="n">
        <v>195</v>
      </c>
      <c r="AC515" t="n">
        <v>202</v>
      </c>
      <c r="AD515" t="n">
        <v>1</v>
      </c>
      <c r="AE515" t="n">
        <v>1</v>
      </c>
      <c r="AF515" t="n">
        <v>8</v>
      </c>
      <c r="AG515" t="n">
        <v>8</v>
      </c>
      <c r="AH515" t="n">
        <v>4</v>
      </c>
      <c r="AI515" t="n">
        <v>4</v>
      </c>
      <c r="AJ515" t="n">
        <v>1</v>
      </c>
      <c r="AK515" t="n">
        <v>1</v>
      </c>
      <c r="AL515" t="n">
        <v>6</v>
      </c>
      <c r="AM515" t="n">
        <v>6</v>
      </c>
      <c r="AN515" t="n">
        <v>0</v>
      </c>
      <c r="AO515" t="n">
        <v>0</v>
      </c>
      <c r="AP515" t="n">
        <v>0</v>
      </c>
      <c r="AQ515" t="n">
        <v>0</v>
      </c>
      <c r="AR515" t="inlineStr">
        <is>
          <t>No</t>
        </is>
      </c>
      <c r="AS515" t="inlineStr">
        <is>
          <t>Yes</t>
        </is>
      </c>
      <c r="AT515">
        <f>HYPERLINK("http://catalog.hathitrust.org/Record/002640605","HathiTrust Record")</f>
        <v/>
      </c>
      <c r="AU515">
        <f>HYPERLINK("https://creighton-primo.hosted.exlibrisgroup.com/primo-explore/search?tab=default_tab&amp;search_scope=EVERYTHING&amp;vid=01CRU&amp;lang=en_US&amp;offset=0&amp;query=any,contains,991001343439702656","Catalog Record")</f>
        <v/>
      </c>
      <c r="AV515">
        <f>HYPERLINK("http://www.worldcat.org/oclc/26401133","WorldCat Record")</f>
        <v/>
      </c>
      <c r="AW515" t="inlineStr">
        <is>
          <t>890599913:eng</t>
        </is>
      </c>
      <c r="AX515" t="inlineStr">
        <is>
          <t>26401133</t>
        </is>
      </c>
      <c r="AY515" t="inlineStr">
        <is>
          <t>991001343439702656</t>
        </is>
      </c>
      <c r="AZ515" t="inlineStr">
        <is>
          <t>991001343439702656</t>
        </is>
      </c>
      <c r="BA515" t="inlineStr">
        <is>
          <t>2265258020002656</t>
        </is>
      </c>
      <c r="BB515" t="inlineStr">
        <is>
          <t>BOOK</t>
        </is>
      </c>
      <c r="BD515" t="inlineStr">
        <is>
          <t>9780803942806</t>
        </is>
      </c>
      <c r="BE515" t="inlineStr">
        <is>
          <t>30001002456400</t>
        </is>
      </c>
      <c r="BF515" t="inlineStr">
        <is>
          <t>893149105</t>
        </is>
      </c>
    </row>
    <row r="516">
      <c r="A516" t="inlineStr">
        <is>
          <t>No</t>
        </is>
      </c>
      <c r="B516" t="inlineStr">
        <is>
          <t>CUHSL</t>
        </is>
      </c>
      <c r="C516" t="inlineStr">
        <is>
          <t>SHELVES</t>
        </is>
      </c>
      <c r="D516" t="inlineStr">
        <is>
          <t>WY 20.5 N9746 1986</t>
        </is>
      </c>
      <c r="E516" t="inlineStr">
        <is>
          <t>0                      WY 0020500N  9746        1986</t>
        </is>
      </c>
      <c r="F516" t="inlineStr">
        <is>
          <t>Nursing research methodology : issues and implementation / edited by Peggy L. Chinn.</t>
        </is>
      </c>
      <c r="H516" t="inlineStr">
        <is>
          <t>No</t>
        </is>
      </c>
      <c r="I516" t="inlineStr">
        <is>
          <t>1</t>
        </is>
      </c>
      <c r="J516" t="inlineStr">
        <is>
          <t>No</t>
        </is>
      </c>
      <c r="K516" t="inlineStr">
        <is>
          <t>No</t>
        </is>
      </c>
      <c r="L516" t="inlineStr">
        <is>
          <t>0</t>
        </is>
      </c>
      <c r="N516" t="inlineStr">
        <is>
          <t>Rockville, Md. : Aspen Publishers, c1986.</t>
        </is>
      </c>
      <c r="O516" t="inlineStr">
        <is>
          <t>1986</t>
        </is>
      </c>
      <c r="Q516" t="inlineStr">
        <is>
          <t>eng</t>
        </is>
      </c>
      <c r="R516" t="inlineStr">
        <is>
          <t>xxu</t>
        </is>
      </c>
      <c r="T516" t="inlineStr">
        <is>
          <t xml:space="preserve">WY </t>
        </is>
      </c>
      <c r="U516" t="n">
        <v>36</v>
      </c>
      <c r="V516" t="n">
        <v>36</v>
      </c>
      <c r="W516" t="inlineStr">
        <is>
          <t>2000-03-20</t>
        </is>
      </c>
      <c r="X516" t="inlineStr">
        <is>
          <t>2000-03-20</t>
        </is>
      </c>
      <c r="Y516" t="inlineStr">
        <is>
          <t>1987-12-28</t>
        </is>
      </c>
      <c r="Z516" t="inlineStr">
        <is>
          <t>1987-12-28</t>
        </is>
      </c>
      <c r="AA516" t="n">
        <v>238</v>
      </c>
      <c r="AB516" t="n">
        <v>197</v>
      </c>
      <c r="AC516" t="n">
        <v>199</v>
      </c>
      <c r="AD516" t="n">
        <v>2</v>
      </c>
      <c r="AE516" t="n">
        <v>2</v>
      </c>
      <c r="AF516" t="n">
        <v>7</v>
      </c>
      <c r="AG516" t="n">
        <v>7</v>
      </c>
      <c r="AH516" t="n">
        <v>3</v>
      </c>
      <c r="AI516" t="n">
        <v>3</v>
      </c>
      <c r="AJ516" t="n">
        <v>1</v>
      </c>
      <c r="AK516" t="n">
        <v>1</v>
      </c>
      <c r="AL516" t="n">
        <v>4</v>
      </c>
      <c r="AM516" t="n">
        <v>4</v>
      </c>
      <c r="AN516" t="n">
        <v>0</v>
      </c>
      <c r="AO516" t="n">
        <v>0</v>
      </c>
      <c r="AP516" t="n">
        <v>0</v>
      </c>
      <c r="AQ516" t="n">
        <v>0</v>
      </c>
      <c r="AR516" t="inlineStr">
        <is>
          <t>No</t>
        </is>
      </c>
      <c r="AS516" t="inlineStr">
        <is>
          <t>Yes</t>
        </is>
      </c>
      <c r="AT516">
        <f>HYPERLINK("http://catalog.hathitrust.org/Record/000397832","HathiTrust Record")</f>
        <v/>
      </c>
      <c r="AU516">
        <f>HYPERLINK("https://creighton-primo.hosted.exlibrisgroup.com/primo-explore/search?tab=default_tab&amp;search_scope=EVERYTHING&amp;vid=01CRU&amp;lang=en_US&amp;offset=0&amp;query=any,contains,991001045399702656","Catalog Record")</f>
        <v/>
      </c>
      <c r="AV516">
        <f>HYPERLINK("http://www.worldcat.org/oclc/13525738","WorldCat Record")</f>
        <v/>
      </c>
      <c r="AW516" t="inlineStr">
        <is>
          <t>7360943:eng</t>
        </is>
      </c>
      <c r="AX516" t="inlineStr">
        <is>
          <t>13525738</t>
        </is>
      </c>
      <c r="AY516" t="inlineStr">
        <is>
          <t>991001045399702656</t>
        </is>
      </c>
      <c r="AZ516" t="inlineStr">
        <is>
          <t>991001045399702656</t>
        </is>
      </c>
      <c r="BA516" t="inlineStr">
        <is>
          <t>2262051160002656</t>
        </is>
      </c>
      <c r="BB516" t="inlineStr">
        <is>
          <t>BOOK</t>
        </is>
      </c>
      <c r="BD516" t="inlineStr">
        <is>
          <t>9780871893734</t>
        </is>
      </c>
      <c r="BE516" t="inlineStr">
        <is>
          <t>30001000244139</t>
        </is>
      </c>
      <c r="BF516" t="inlineStr">
        <is>
          <t>893820880</t>
        </is>
      </c>
    </row>
    <row r="517">
      <c r="A517" t="inlineStr">
        <is>
          <t>No</t>
        </is>
      </c>
      <c r="B517" t="inlineStr">
        <is>
          <t>CUHSL</t>
        </is>
      </c>
      <c r="C517" t="inlineStr">
        <is>
          <t>SHELVES</t>
        </is>
      </c>
      <c r="D517" t="inlineStr">
        <is>
          <t>WY 20.5 P561c 1986</t>
        </is>
      </c>
      <c r="E517" t="inlineStr">
        <is>
          <t>0                      WY 0020500P  561c        1986</t>
        </is>
      </c>
      <c r="F517" t="inlineStr">
        <is>
          <t>A clinician's guide to the critique and utilization of nursing research / Linda R. Fraelich Phillips ; with the contributions of Carolyn Murdaugh, Mary Ann Schroeder, Laura W. MacLachlan.</t>
        </is>
      </c>
      <c r="H517" t="inlineStr">
        <is>
          <t>No</t>
        </is>
      </c>
      <c r="I517" t="inlineStr">
        <is>
          <t>1</t>
        </is>
      </c>
      <c r="J517" t="inlineStr">
        <is>
          <t>No</t>
        </is>
      </c>
      <c r="K517" t="inlineStr">
        <is>
          <t>No</t>
        </is>
      </c>
      <c r="L517" t="inlineStr">
        <is>
          <t>0</t>
        </is>
      </c>
      <c r="M517" t="inlineStr">
        <is>
          <t>Phillips, Linda Ree Fraelich, 1945-</t>
        </is>
      </c>
      <c r="N517" t="inlineStr">
        <is>
          <t>Norwalk, Conn. : Appleton-Century-Crofts, c1986.</t>
        </is>
      </c>
      <c r="O517" t="inlineStr">
        <is>
          <t>1986</t>
        </is>
      </c>
      <c r="Q517" t="inlineStr">
        <is>
          <t>eng</t>
        </is>
      </c>
      <c r="R517" t="inlineStr">
        <is>
          <t>ctu</t>
        </is>
      </c>
      <c r="T517" t="inlineStr">
        <is>
          <t xml:space="preserve">WY </t>
        </is>
      </c>
      <c r="U517" t="n">
        <v>21</v>
      </c>
      <c r="V517" t="n">
        <v>21</v>
      </c>
      <c r="W517" t="inlineStr">
        <is>
          <t>2002-11-15</t>
        </is>
      </c>
      <c r="X517" t="inlineStr">
        <is>
          <t>2002-11-15</t>
        </is>
      </c>
      <c r="Y517" t="inlineStr">
        <is>
          <t>1987-10-19</t>
        </is>
      </c>
      <c r="Z517" t="inlineStr">
        <is>
          <t>1987-10-19</t>
        </is>
      </c>
      <c r="AA517" t="n">
        <v>245</v>
      </c>
      <c r="AB517" t="n">
        <v>197</v>
      </c>
      <c r="AC517" t="n">
        <v>204</v>
      </c>
      <c r="AD517" t="n">
        <v>1</v>
      </c>
      <c r="AE517" t="n">
        <v>1</v>
      </c>
      <c r="AF517" t="n">
        <v>8</v>
      </c>
      <c r="AG517" t="n">
        <v>8</v>
      </c>
      <c r="AH517" t="n">
        <v>3</v>
      </c>
      <c r="AI517" t="n">
        <v>3</v>
      </c>
      <c r="AJ517" t="n">
        <v>1</v>
      </c>
      <c r="AK517" t="n">
        <v>1</v>
      </c>
      <c r="AL517" t="n">
        <v>4</v>
      </c>
      <c r="AM517" t="n">
        <v>4</v>
      </c>
      <c r="AN517" t="n">
        <v>0</v>
      </c>
      <c r="AO517" t="n">
        <v>0</v>
      </c>
      <c r="AP517" t="n">
        <v>0</v>
      </c>
      <c r="AQ517" t="n">
        <v>0</v>
      </c>
      <c r="AR517" t="inlineStr">
        <is>
          <t>No</t>
        </is>
      </c>
      <c r="AS517" t="inlineStr">
        <is>
          <t>Yes</t>
        </is>
      </c>
      <c r="AT517">
        <f>HYPERLINK("http://catalog.hathitrust.org/Record/000400241","HathiTrust Record")</f>
        <v/>
      </c>
      <c r="AU517">
        <f>HYPERLINK("https://creighton-primo.hosted.exlibrisgroup.com/primo-explore/search?tab=default_tab&amp;search_scope=EVERYTHING&amp;vid=01CRU&amp;lang=en_US&amp;offset=0&amp;query=any,contains,991000739569702656","Catalog Record")</f>
        <v/>
      </c>
      <c r="AV517">
        <f>HYPERLINK("http://www.worldcat.org/oclc/12314389","WorldCat Record")</f>
        <v/>
      </c>
      <c r="AW517" t="inlineStr">
        <is>
          <t>4962190:eng</t>
        </is>
      </c>
      <c r="AX517" t="inlineStr">
        <is>
          <t>12314389</t>
        </is>
      </c>
      <c r="AY517" t="inlineStr">
        <is>
          <t>991000739569702656</t>
        </is>
      </c>
      <c r="AZ517" t="inlineStr">
        <is>
          <t>991000739569702656</t>
        </is>
      </c>
      <c r="BA517" t="inlineStr">
        <is>
          <t>2271461490002656</t>
        </is>
      </c>
      <c r="BB517" t="inlineStr">
        <is>
          <t>BOOK</t>
        </is>
      </c>
      <c r="BD517" t="inlineStr">
        <is>
          <t>9780838511626</t>
        </is>
      </c>
      <c r="BE517" t="inlineStr">
        <is>
          <t>30001000043028</t>
        </is>
      </c>
      <c r="BF517" t="inlineStr">
        <is>
          <t>893464601</t>
        </is>
      </c>
    </row>
    <row r="518">
      <c r="A518" t="inlineStr">
        <is>
          <t>No</t>
        </is>
      </c>
      <c r="B518" t="inlineStr">
        <is>
          <t>CUHSL</t>
        </is>
      </c>
      <c r="C518" t="inlineStr">
        <is>
          <t>SHELVES</t>
        </is>
      </c>
      <c r="D518" t="inlineStr">
        <is>
          <t>WY 20.5 P769e 1997</t>
        </is>
      </c>
      <c r="E518" t="inlineStr">
        <is>
          <t>0                      WY 0020500P  769e        1997</t>
        </is>
      </c>
      <c r="F518" t="inlineStr">
        <is>
          <t>Essentials of nursing research : methods, appraisals, and utilization / Denise F. Polit, Bernadette P. Hungler.</t>
        </is>
      </c>
      <c r="H518" t="inlineStr">
        <is>
          <t>No</t>
        </is>
      </c>
      <c r="I518" t="inlineStr">
        <is>
          <t>1</t>
        </is>
      </c>
      <c r="J518" t="inlineStr">
        <is>
          <t>No</t>
        </is>
      </c>
      <c r="K518" t="inlineStr">
        <is>
          <t>Yes</t>
        </is>
      </c>
      <c r="L518" t="inlineStr">
        <is>
          <t>0</t>
        </is>
      </c>
      <c r="M518" t="inlineStr">
        <is>
          <t>Polit, Denise F.</t>
        </is>
      </c>
      <c r="N518" t="inlineStr">
        <is>
          <t>Philadelphia, Pa. : Lippincott-Raven, c1997.</t>
        </is>
      </c>
      <c r="O518" t="inlineStr">
        <is>
          <t>1997</t>
        </is>
      </c>
      <c r="P518" t="inlineStr">
        <is>
          <t>4th ed.</t>
        </is>
      </c>
      <c r="Q518" t="inlineStr">
        <is>
          <t>eng</t>
        </is>
      </c>
      <c r="R518" t="inlineStr">
        <is>
          <t>pau</t>
        </is>
      </c>
      <c r="T518" t="inlineStr">
        <is>
          <t xml:space="preserve">WY </t>
        </is>
      </c>
      <c r="U518" t="n">
        <v>67</v>
      </c>
      <c r="V518" t="n">
        <v>67</v>
      </c>
      <c r="W518" t="inlineStr">
        <is>
          <t>2005-10-28</t>
        </is>
      </c>
      <c r="X518" t="inlineStr">
        <is>
          <t>2005-10-28</t>
        </is>
      </c>
      <c r="Y518" t="inlineStr">
        <is>
          <t>1997-04-14</t>
        </is>
      </c>
      <c r="Z518" t="inlineStr">
        <is>
          <t>1997-04-14</t>
        </is>
      </c>
      <c r="AA518" t="n">
        <v>321</v>
      </c>
      <c r="AB518" t="n">
        <v>231</v>
      </c>
      <c r="AC518" t="n">
        <v>748</v>
      </c>
      <c r="AD518" t="n">
        <v>1</v>
      </c>
      <c r="AE518" t="n">
        <v>5</v>
      </c>
      <c r="AF518" t="n">
        <v>6</v>
      </c>
      <c r="AG518" t="n">
        <v>24</v>
      </c>
      <c r="AH518" t="n">
        <v>3</v>
      </c>
      <c r="AI518" t="n">
        <v>11</v>
      </c>
      <c r="AJ518" t="n">
        <v>0</v>
      </c>
      <c r="AK518" t="n">
        <v>3</v>
      </c>
      <c r="AL518" t="n">
        <v>4</v>
      </c>
      <c r="AM518" t="n">
        <v>11</v>
      </c>
      <c r="AN518" t="n">
        <v>0</v>
      </c>
      <c r="AO518" t="n">
        <v>3</v>
      </c>
      <c r="AP518" t="n">
        <v>0</v>
      </c>
      <c r="AQ518" t="n">
        <v>0</v>
      </c>
      <c r="AR518" t="inlineStr">
        <is>
          <t>No</t>
        </is>
      </c>
      <c r="AS518" t="inlineStr">
        <is>
          <t>Yes</t>
        </is>
      </c>
      <c r="AT518">
        <f>HYPERLINK("http://catalog.hathitrust.org/Record/003108545","HathiTrust Record")</f>
        <v/>
      </c>
      <c r="AU518">
        <f>HYPERLINK("https://creighton-primo.hosted.exlibrisgroup.com/primo-explore/search?tab=default_tab&amp;search_scope=EVERYTHING&amp;vid=01CRU&amp;lang=en_US&amp;offset=0&amp;query=any,contains,991000839239702656","Catalog Record")</f>
        <v/>
      </c>
      <c r="AV518">
        <f>HYPERLINK("http://www.worldcat.org/oclc/34958875","WorldCat Record")</f>
        <v/>
      </c>
      <c r="AW518" t="inlineStr">
        <is>
          <t>766871:eng</t>
        </is>
      </c>
      <c r="AX518" t="inlineStr">
        <is>
          <t>34958875</t>
        </is>
      </c>
      <c r="AY518" t="inlineStr">
        <is>
          <t>991000839239702656</t>
        </is>
      </c>
      <c r="AZ518" t="inlineStr">
        <is>
          <t>991000839239702656</t>
        </is>
      </c>
      <c r="BA518" t="inlineStr">
        <is>
          <t>2254942300002656</t>
        </is>
      </c>
      <c r="BB518" t="inlineStr">
        <is>
          <t>BOOK</t>
        </is>
      </c>
      <c r="BD518" t="inlineStr">
        <is>
          <t>9780397553686</t>
        </is>
      </c>
      <c r="BE518" t="inlineStr">
        <is>
          <t>30001003443639</t>
        </is>
      </c>
      <c r="BF518" t="inlineStr">
        <is>
          <t>893283916</t>
        </is>
      </c>
    </row>
    <row r="519">
      <c r="A519" t="inlineStr">
        <is>
          <t>No</t>
        </is>
      </c>
      <c r="B519" t="inlineStr">
        <is>
          <t>CUHSL</t>
        </is>
      </c>
      <c r="C519" t="inlineStr">
        <is>
          <t>SHELVES</t>
        </is>
      </c>
      <c r="D519" t="inlineStr">
        <is>
          <t>WY 20.5 P769e 2006</t>
        </is>
      </c>
      <c r="E519" t="inlineStr">
        <is>
          <t>0                      WY 0020500P  769e        2006</t>
        </is>
      </c>
      <c r="F519" t="inlineStr">
        <is>
          <t>Essentials of nursing research : methods, appraisal, and utilization / Denise F. Polit, Cheryl Tatano Beck.</t>
        </is>
      </c>
      <c r="H519" t="inlineStr">
        <is>
          <t>No</t>
        </is>
      </c>
      <c r="I519" t="inlineStr">
        <is>
          <t>1</t>
        </is>
      </c>
      <c r="J519" t="inlineStr">
        <is>
          <t>No</t>
        </is>
      </c>
      <c r="K519" t="inlineStr">
        <is>
          <t>Yes</t>
        </is>
      </c>
      <c r="L519" t="inlineStr">
        <is>
          <t>0</t>
        </is>
      </c>
      <c r="M519" t="inlineStr">
        <is>
          <t>Polit, Denise F.</t>
        </is>
      </c>
      <c r="N519" t="inlineStr">
        <is>
          <t>Philadelphia : Lippincott Williams &amp; Wilkins, c2006.</t>
        </is>
      </c>
      <c r="O519" t="inlineStr">
        <is>
          <t>2006</t>
        </is>
      </c>
      <c r="P519" t="inlineStr">
        <is>
          <t>6th ed.</t>
        </is>
      </c>
      <c r="Q519" t="inlineStr">
        <is>
          <t>eng</t>
        </is>
      </c>
      <c r="R519" t="inlineStr">
        <is>
          <t>pau</t>
        </is>
      </c>
      <c r="T519" t="inlineStr">
        <is>
          <t xml:space="preserve">WY </t>
        </is>
      </c>
      <c r="U519" t="n">
        <v>2</v>
      </c>
      <c r="V519" t="n">
        <v>2</v>
      </c>
      <c r="W519" t="inlineStr">
        <is>
          <t>2007-07-24</t>
        </is>
      </c>
      <c r="X519" t="inlineStr">
        <is>
          <t>2007-07-24</t>
        </is>
      </c>
      <c r="Y519" t="inlineStr">
        <is>
          <t>2006-02-23</t>
        </is>
      </c>
      <c r="Z519" t="inlineStr">
        <is>
          <t>2006-02-23</t>
        </is>
      </c>
      <c r="AA519" t="n">
        <v>519</v>
      </c>
      <c r="AB519" t="n">
        <v>364</v>
      </c>
      <c r="AC519" t="n">
        <v>748</v>
      </c>
      <c r="AD519" t="n">
        <v>3</v>
      </c>
      <c r="AE519" t="n">
        <v>5</v>
      </c>
      <c r="AF519" t="n">
        <v>11</v>
      </c>
      <c r="AG519" t="n">
        <v>24</v>
      </c>
      <c r="AH519" t="n">
        <v>5</v>
      </c>
      <c r="AI519" t="n">
        <v>11</v>
      </c>
      <c r="AJ519" t="n">
        <v>0</v>
      </c>
      <c r="AK519" t="n">
        <v>3</v>
      </c>
      <c r="AL519" t="n">
        <v>6</v>
      </c>
      <c r="AM519" t="n">
        <v>11</v>
      </c>
      <c r="AN519" t="n">
        <v>2</v>
      </c>
      <c r="AO519" t="n">
        <v>3</v>
      </c>
      <c r="AP519" t="n">
        <v>0</v>
      </c>
      <c r="AQ519" t="n">
        <v>0</v>
      </c>
      <c r="AR519" t="inlineStr">
        <is>
          <t>No</t>
        </is>
      </c>
      <c r="AS519" t="inlineStr">
        <is>
          <t>No</t>
        </is>
      </c>
      <c r="AU519">
        <f>HYPERLINK("https://creighton-primo.hosted.exlibrisgroup.com/primo-explore/search?tab=default_tab&amp;search_scope=EVERYTHING&amp;vid=01CRU&amp;lang=en_US&amp;offset=0&amp;query=any,contains,991001735649702656","Catalog Record")</f>
        <v/>
      </c>
      <c r="AV519">
        <f>HYPERLINK("http://www.worldcat.org/oclc/57123679","WorldCat Record")</f>
        <v/>
      </c>
      <c r="AW519" t="inlineStr">
        <is>
          <t>766871:eng</t>
        </is>
      </c>
      <c r="AX519" t="inlineStr">
        <is>
          <t>57123679</t>
        </is>
      </c>
      <c r="AY519" t="inlineStr">
        <is>
          <t>991001735649702656</t>
        </is>
      </c>
      <c r="AZ519" t="inlineStr">
        <is>
          <t>991001735649702656</t>
        </is>
      </c>
      <c r="BA519" t="inlineStr">
        <is>
          <t>2269244780002656</t>
        </is>
      </c>
      <c r="BB519" t="inlineStr">
        <is>
          <t>BOOK</t>
        </is>
      </c>
      <c r="BD519" t="inlineStr">
        <is>
          <t>9780781749725</t>
        </is>
      </c>
      <c r="BE519" t="inlineStr">
        <is>
          <t>30001004912319</t>
        </is>
      </c>
      <c r="BF519" t="inlineStr">
        <is>
          <t>893121797</t>
        </is>
      </c>
    </row>
    <row r="520">
      <c r="A520" t="inlineStr">
        <is>
          <t>No</t>
        </is>
      </c>
      <c r="B520" t="inlineStr">
        <is>
          <t>CUHSL</t>
        </is>
      </c>
      <c r="C520" t="inlineStr">
        <is>
          <t>SHELVES</t>
        </is>
      </c>
      <c r="D520" t="inlineStr">
        <is>
          <t>WY 20.5 P769n 1995</t>
        </is>
      </c>
      <c r="E520" t="inlineStr">
        <is>
          <t>0                      WY 0020500P  769n        1995</t>
        </is>
      </c>
      <c r="F520" t="inlineStr">
        <is>
          <t>Nursing research : principles and methods / Denise F. Polit, Bernadette P. Hungler.</t>
        </is>
      </c>
      <c r="H520" t="inlineStr">
        <is>
          <t>No</t>
        </is>
      </c>
      <c r="I520" t="inlineStr">
        <is>
          <t>1</t>
        </is>
      </c>
      <c r="J520" t="inlineStr">
        <is>
          <t>No</t>
        </is>
      </c>
      <c r="K520" t="inlineStr">
        <is>
          <t>Yes</t>
        </is>
      </c>
      <c r="L520" t="inlineStr">
        <is>
          <t>0</t>
        </is>
      </c>
      <c r="M520" t="inlineStr">
        <is>
          <t>Polit, Denise F.</t>
        </is>
      </c>
      <c r="N520" t="inlineStr">
        <is>
          <t>Philadelphia : Lippincott, c1995.</t>
        </is>
      </c>
      <c r="O520" t="inlineStr">
        <is>
          <t>1995</t>
        </is>
      </c>
      <c r="P520" t="inlineStr">
        <is>
          <t>5th ed.</t>
        </is>
      </c>
      <c r="Q520" t="inlineStr">
        <is>
          <t>eng</t>
        </is>
      </c>
      <c r="R520" t="inlineStr">
        <is>
          <t>pau</t>
        </is>
      </c>
      <c r="T520" t="inlineStr">
        <is>
          <t xml:space="preserve">WY </t>
        </is>
      </c>
      <c r="U520" t="n">
        <v>17</v>
      </c>
      <c r="V520" t="n">
        <v>17</v>
      </c>
      <c r="W520" t="inlineStr">
        <is>
          <t>2002-12-13</t>
        </is>
      </c>
      <c r="X520" t="inlineStr">
        <is>
          <t>2002-12-13</t>
        </is>
      </c>
      <c r="Y520" t="inlineStr">
        <is>
          <t>1995-01-19</t>
        </is>
      </c>
      <c r="Z520" t="inlineStr">
        <is>
          <t>1995-01-19</t>
        </is>
      </c>
      <c r="AA520" t="n">
        <v>357</v>
      </c>
      <c r="AB520" t="n">
        <v>229</v>
      </c>
      <c r="AC520" t="n">
        <v>785</v>
      </c>
      <c r="AD520" t="n">
        <v>2</v>
      </c>
      <c r="AE520" t="n">
        <v>8</v>
      </c>
      <c r="AF520" t="n">
        <v>8</v>
      </c>
      <c r="AG520" t="n">
        <v>25</v>
      </c>
      <c r="AH520" t="n">
        <v>3</v>
      </c>
      <c r="AI520" t="n">
        <v>10</v>
      </c>
      <c r="AJ520" t="n">
        <v>0</v>
      </c>
      <c r="AK520" t="n">
        <v>3</v>
      </c>
      <c r="AL520" t="n">
        <v>6</v>
      </c>
      <c r="AM520" t="n">
        <v>12</v>
      </c>
      <c r="AN520" t="n">
        <v>1</v>
      </c>
      <c r="AO520" t="n">
        <v>5</v>
      </c>
      <c r="AP520" t="n">
        <v>0</v>
      </c>
      <c r="AQ520" t="n">
        <v>0</v>
      </c>
      <c r="AR520" t="inlineStr">
        <is>
          <t>No</t>
        </is>
      </c>
      <c r="AS520" t="inlineStr">
        <is>
          <t>Yes</t>
        </is>
      </c>
      <c r="AT520">
        <f>HYPERLINK("http://catalog.hathitrust.org/Record/002910379","HathiTrust Record")</f>
        <v/>
      </c>
      <c r="AU520">
        <f>HYPERLINK("https://creighton-primo.hosted.exlibrisgroup.com/primo-explore/search?tab=default_tab&amp;search_scope=EVERYTHING&amp;vid=01CRU&amp;lang=en_US&amp;offset=0&amp;query=any,contains,991000685579702656","Catalog Record")</f>
        <v/>
      </c>
      <c r="AV520">
        <f>HYPERLINK("http://www.worldcat.org/oclc/30894274","WorldCat Record")</f>
        <v/>
      </c>
      <c r="AW520" t="inlineStr">
        <is>
          <t>4146083989:eng</t>
        </is>
      </c>
      <c r="AX520" t="inlineStr">
        <is>
          <t>30894274</t>
        </is>
      </c>
      <c r="AY520" t="inlineStr">
        <is>
          <t>991000685579702656</t>
        </is>
      </c>
      <c r="AZ520" t="inlineStr">
        <is>
          <t>991000685579702656</t>
        </is>
      </c>
      <c r="BA520" t="inlineStr">
        <is>
          <t>2271614580002656</t>
        </is>
      </c>
      <c r="BB520" t="inlineStr">
        <is>
          <t>BOOK</t>
        </is>
      </c>
      <c r="BD520" t="inlineStr">
        <is>
          <t>9780397551385</t>
        </is>
      </c>
      <c r="BE520" t="inlineStr">
        <is>
          <t>30001002698845</t>
        </is>
      </c>
      <c r="BF520" t="inlineStr">
        <is>
          <t>893459689</t>
        </is>
      </c>
    </row>
    <row r="521">
      <c r="A521" t="inlineStr">
        <is>
          <t>No</t>
        </is>
      </c>
      <c r="B521" t="inlineStr">
        <is>
          <t>CUHSL</t>
        </is>
      </c>
      <c r="C521" t="inlineStr">
        <is>
          <t>SHELVES</t>
        </is>
      </c>
      <c r="D521" t="inlineStr">
        <is>
          <t>WY 20.5 P769n 1995 Suppl.</t>
        </is>
      </c>
      <c r="E521" t="inlineStr">
        <is>
          <t>0                      WY 0020500P  769n        1995                                        Suppl.</t>
        </is>
      </c>
      <c r="F521" t="inlineStr">
        <is>
          <t>Study guide for Nursing research, principles and methods, fifth edition / Denise F. Polit, Bernadette P. Hungler.</t>
        </is>
      </c>
      <c r="G521" t="inlineStr">
        <is>
          <t>Suppl.*</t>
        </is>
      </c>
      <c r="H521" t="inlineStr">
        <is>
          <t>No</t>
        </is>
      </c>
      <c r="I521" t="inlineStr">
        <is>
          <t>1</t>
        </is>
      </c>
      <c r="J521" t="inlineStr">
        <is>
          <t>No</t>
        </is>
      </c>
      <c r="K521" t="inlineStr">
        <is>
          <t>No</t>
        </is>
      </c>
      <c r="L521" t="inlineStr">
        <is>
          <t>0</t>
        </is>
      </c>
      <c r="M521" t="inlineStr">
        <is>
          <t>Polit, Denise F.</t>
        </is>
      </c>
      <c r="N521" t="inlineStr">
        <is>
          <t>Philadelphia : Lippincott, c1995.</t>
        </is>
      </c>
      <c r="O521" t="inlineStr">
        <is>
          <t>1995</t>
        </is>
      </c>
      <c r="Q521" t="inlineStr">
        <is>
          <t>eng</t>
        </is>
      </c>
      <c r="R521" t="inlineStr">
        <is>
          <t>xxu</t>
        </is>
      </c>
      <c r="T521" t="inlineStr">
        <is>
          <t xml:space="preserve">WY </t>
        </is>
      </c>
      <c r="U521" t="n">
        <v>4</v>
      </c>
      <c r="V521" t="n">
        <v>4</v>
      </c>
      <c r="W521" t="inlineStr">
        <is>
          <t>1999-09-22</t>
        </is>
      </c>
      <c r="X521" t="inlineStr">
        <is>
          <t>1999-09-22</t>
        </is>
      </c>
      <c r="Y521" t="inlineStr">
        <is>
          <t>1996-10-22</t>
        </is>
      </c>
      <c r="Z521" t="inlineStr">
        <is>
          <t>1996-10-22</t>
        </is>
      </c>
      <c r="AA521" t="n">
        <v>43</v>
      </c>
      <c r="AB521" t="n">
        <v>26</v>
      </c>
      <c r="AC521" t="n">
        <v>26</v>
      </c>
      <c r="AD521" t="n">
        <v>1</v>
      </c>
      <c r="AE521" t="n">
        <v>1</v>
      </c>
      <c r="AF521" t="n">
        <v>0</v>
      </c>
      <c r="AG521" t="n">
        <v>0</v>
      </c>
      <c r="AH521" t="n">
        <v>0</v>
      </c>
      <c r="AI521" t="n">
        <v>0</v>
      </c>
      <c r="AJ521" t="n">
        <v>0</v>
      </c>
      <c r="AK521" t="n">
        <v>0</v>
      </c>
      <c r="AL521" t="n">
        <v>0</v>
      </c>
      <c r="AM521" t="n">
        <v>0</v>
      </c>
      <c r="AN521" t="n">
        <v>0</v>
      </c>
      <c r="AO521" t="n">
        <v>0</v>
      </c>
      <c r="AP521" t="n">
        <v>0</v>
      </c>
      <c r="AQ521" t="n">
        <v>0</v>
      </c>
      <c r="AR521" t="inlineStr">
        <is>
          <t>No</t>
        </is>
      </c>
      <c r="AS521" t="inlineStr">
        <is>
          <t>No</t>
        </is>
      </c>
      <c r="AU521">
        <f>HYPERLINK("https://creighton-primo.hosted.exlibrisgroup.com/primo-explore/search?tab=default_tab&amp;search_scope=EVERYTHING&amp;vid=01CRU&amp;lang=en_US&amp;offset=0&amp;query=any,contains,991000848979702656","Catalog Record")</f>
        <v/>
      </c>
      <c r="AV521">
        <f>HYPERLINK("http://www.worldcat.org/oclc/32052703","WorldCat Record")</f>
        <v/>
      </c>
      <c r="AW521" t="inlineStr">
        <is>
          <t>5612256349:eng</t>
        </is>
      </c>
      <c r="AX521" t="inlineStr">
        <is>
          <t>32052703</t>
        </is>
      </c>
      <c r="AY521" t="inlineStr">
        <is>
          <t>991000848979702656</t>
        </is>
      </c>
      <c r="AZ521" t="inlineStr">
        <is>
          <t>991000848979702656</t>
        </is>
      </c>
      <c r="BA521" t="inlineStr">
        <is>
          <t>2267383440002656</t>
        </is>
      </c>
      <c r="BB521" t="inlineStr">
        <is>
          <t>BOOK</t>
        </is>
      </c>
      <c r="BD521" t="inlineStr">
        <is>
          <t>9780397551392</t>
        </is>
      </c>
      <c r="BE521" t="inlineStr">
        <is>
          <t>30001003473040</t>
        </is>
      </c>
      <c r="BF521" t="inlineStr">
        <is>
          <t>893374002</t>
        </is>
      </c>
    </row>
    <row r="522">
      <c r="A522" t="inlineStr">
        <is>
          <t>No</t>
        </is>
      </c>
      <c r="B522" t="inlineStr">
        <is>
          <t>CUHSL</t>
        </is>
      </c>
      <c r="C522" t="inlineStr">
        <is>
          <t>SHELVES</t>
        </is>
      </c>
      <c r="D522" t="inlineStr">
        <is>
          <t>WY 20.5 P769n 1999</t>
        </is>
      </c>
      <c r="E522" t="inlineStr">
        <is>
          <t>0                      WY 0020500P  769n        1999</t>
        </is>
      </c>
      <c r="F522" t="inlineStr">
        <is>
          <t>Nursing research : principles and methods / Denise F. Polit, Bernadette P. Hungler.</t>
        </is>
      </c>
      <c r="H522" t="inlineStr">
        <is>
          <t>No</t>
        </is>
      </c>
      <c r="I522" t="inlineStr">
        <is>
          <t>1</t>
        </is>
      </c>
      <c r="J522" t="inlineStr">
        <is>
          <t>No</t>
        </is>
      </c>
      <c r="K522" t="inlineStr">
        <is>
          <t>Yes</t>
        </is>
      </c>
      <c r="L522" t="inlineStr">
        <is>
          <t>0</t>
        </is>
      </c>
      <c r="M522" t="inlineStr">
        <is>
          <t>Polit, Denise F.</t>
        </is>
      </c>
      <c r="N522" t="inlineStr">
        <is>
          <t>Philadelphia : Lippincott, c1999.</t>
        </is>
      </c>
      <c r="O522" t="inlineStr">
        <is>
          <t>1999</t>
        </is>
      </c>
      <c r="P522" t="inlineStr">
        <is>
          <t>6th ed.</t>
        </is>
      </c>
      <c r="Q522" t="inlineStr">
        <is>
          <t>eng</t>
        </is>
      </c>
      <c r="R522" t="inlineStr">
        <is>
          <t>pau</t>
        </is>
      </c>
      <c r="T522" t="inlineStr">
        <is>
          <t xml:space="preserve">WY </t>
        </is>
      </c>
      <c r="U522" t="n">
        <v>8</v>
      </c>
      <c r="V522" t="n">
        <v>8</v>
      </c>
      <c r="W522" t="inlineStr">
        <is>
          <t>2003-02-02</t>
        </is>
      </c>
      <c r="X522" t="inlineStr">
        <is>
          <t>2003-02-02</t>
        </is>
      </c>
      <c r="Y522" t="inlineStr">
        <is>
          <t>1998-12-17</t>
        </is>
      </c>
      <c r="Z522" t="inlineStr">
        <is>
          <t>1998-12-17</t>
        </is>
      </c>
      <c r="AA522" t="n">
        <v>399</v>
      </c>
      <c r="AB522" t="n">
        <v>261</v>
      </c>
      <c r="AC522" t="n">
        <v>785</v>
      </c>
      <c r="AD522" t="n">
        <v>1</v>
      </c>
      <c r="AE522" t="n">
        <v>8</v>
      </c>
      <c r="AF522" t="n">
        <v>5</v>
      </c>
      <c r="AG522" t="n">
        <v>25</v>
      </c>
      <c r="AH522" t="n">
        <v>0</v>
      </c>
      <c r="AI522" t="n">
        <v>10</v>
      </c>
      <c r="AJ522" t="n">
        <v>1</v>
      </c>
      <c r="AK522" t="n">
        <v>3</v>
      </c>
      <c r="AL522" t="n">
        <v>4</v>
      </c>
      <c r="AM522" t="n">
        <v>12</v>
      </c>
      <c r="AN522" t="n">
        <v>0</v>
      </c>
      <c r="AO522" t="n">
        <v>5</v>
      </c>
      <c r="AP522" t="n">
        <v>0</v>
      </c>
      <c r="AQ522" t="n">
        <v>0</v>
      </c>
      <c r="AR522" t="inlineStr">
        <is>
          <t>No</t>
        </is>
      </c>
      <c r="AS522" t="inlineStr">
        <is>
          <t>Yes</t>
        </is>
      </c>
      <c r="AT522">
        <f>HYPERLINK("http://catalog.hathitrust.org/Record/004011574","HathiTrust Record")</f>
        <v/>
      </c>
      <c r="AU522">
        <f>HYPERLINK("https://creighton-primo.hosted.exlibrisgroup.com/primo-explore/search?tab=default_tab&amp;search_scope=EVERYTHING&amp;vid=01CRU&amp;lang=en_US&amp;offset=0&amp;query=any,contains,991001806579702656","Catalog Record")</f>
        <v/>
      </c>
      <c r="AV522">
        <f>HYPERLINK("http://www.worldcat.org/oclc/39655929","WorldCat Record")</f>
        <v/>
      </c>
      <c r="AW522" t="inlineStr">
        <is>
          <t>4146083989:eng</t>
        </is>
      </c>
      <c r="AX522" t="inlineStr">
        <is>
          <t>39655929</t>
        </is>
      </c>
      <c r="AY522" t="inlineStr">
        <is>
          <t>991001806579702656</t>
        </is>
      </c>
      <c r="AZ522" t="inlineStr">
        <is>
          <t>991001806579702656</t>
        </is>
      </c>
      <c r="BA522" t="inlineStr">
        <is>
          <t>2265516430002656</t>
        </is>
      </c>
      <c r="BB522" t="inlineStr">
        <is>
          <t>BOOK</t>
        </is>
      </c>
      <c r="BD522" t="inlineStr">
        <is>
          <t>9780781715621</t>
        </is>
      </c>
      <c r="BE522" t="inlineStr">
        <is>
          <t>30001004037893</t>
        </is>
      </c>
      <c r="BF522" t="inlineStr">
        <is>
          <t>893163037</t>
        </is>
      </c>
    </row>
    <row r="523">
      <c r="A523" t="inlineStr">
        <is>
          <t>No</t>
        </is>
      </c>
      <c r="B523" t="inlineStr">
        <is>
          <t>CUHSL</t>
        </is>
      </c>
      <c r="C523" t="inlineStr">
        <is>
          <t>SHELVES</t>
        </is>
      </c>
      <c r="D523" t="inlineStr">
        <is>
          <t>WY20.5 P769n 2004</t>
        </is>
      </c>
      <c r="E523" t="inlineStr">
        <is>
          <t>0                      WY 0020500P  769n        2004</t>
        </is>
      </c>
      <c r="F523" t="inlineStr">
        <is>
          <t>Nursing research : principles and methods / Denise F. Polit, Cheryl Tatano Beck.</t>
        </is>
      </c>
      <c r="H523" t="inlineStr">
        <is>
          <t>No</t>
        </is>
      </c>
      <c r="I523" t="inlineStr">
        <is>
          <t>1</t>
        </is>
      </c>
      <c r="J523" t="inlineStr">
        <is>
          <t>No</t>
        </is>
      </c>
      <c r="K523" t="inlineStr">
        <is>
          <t>Yes</t>
        </is>
      </c>
      <c r="L523" t="inlineStr">
        <is>
          <t>0</t>
        </is>
      </c>
      <c r="M523" t="inlineStr">
        <is>
          <t>Polit, Denise F.</t>
        </is>
      </c>
      <c r="N523" t="inlineStr">
        <is>
          <t>Philadelphia : Lippincott Williams &amp; Wilkins, c2004.</t>
        </is>
      </c>
      <c r="O523" t="inlineStr">
        <is>
          <t>2004</t>
        </is>
      </c>
      <c r="P523" t="inlineStr">
        <is>
          <t>7th ed.</t>
        </is>
      </c>
      <c r="Q523" t="inlineStr">
        <is>
          <t>eng</t>
        </is>
      </c>
      <c r="R523" t="inlineStr">
        <is>
          <t>pau</t>
        </is>
      </c>
      <c r="T523" t="inlineStr">
        <is>
          <t xml:space="preserve">WY </t>
        </is>
      </c>
      <c r="U523" t="n">
        <v>4</v>
      </c>
      <c r="V523" t="n">
        <v>4</v>
      </c>
      <c r="W523" t="inlineStr">
        <is>
          <t>2006-10-31</t>
        </is>
      </c>
      <c r="X523" t="inlineStr">
        <is>
          <t>2006-10-31</t>
        </is>
      </c>
      <c r="Y523" t="inlineStr">
        <is>
          <t>2006-02-02</t>
        </is>
      </c>
      <c r="Z523" t="inlineStr">
        <is>
          <t>2006-02-02</t>
        </is>
      </c>
      <c r="AA523" t="n">
        <v>473</v>
      </c>
      <c r="AB523" t="n">
        <v>297</v>
      </c>
      <c r="AC523" t="n">
        <v>785</v>
      </c>
      <c r="AD523" t="n">
        <v>3</v>
      </c>
      <c r="AE523" t="n">
        <v>8</v>
      </c>
      <c r="AF523" t="n">
        <v>12</v>
      </c>
      <c r="AG523" t="n">
        <v>25</v>
      </c>
      <c r="AH523" t="n">
        <v>2</v>
      </c>
      <c r="AI523" t="n">
        <v>10</v>
      </c>
      <c r="AJ523" t="n">
        <v>1</v>
      </c>
      <c r="AK523" t="n">
        <v>3</v>
      </c>
      <c r="AL523" t="n">
        <v>8</v>
      </c>
      <c r="AM523" t="n">
        <v>12</v>
      </c>
      <c r="AN523" t="n">
        <v>2</v>
      </c>
      <c r="AO523" t="n">
        <v>5</v>
      </c>
      <c r="AP523" t="n">
        <v>0</v>
      </c>
      <c r="AQ523" t="n">
        <v>0</v>
      </c>
      <c r="AR523" t="inlineStr">
        <is>
          <t>No</t>
        </is>
      </c>
      <c r="AS523" t="inlineStr">
        <is>
          <t>No</t>
        </is>
      </c>
      <c r="AU523">
        <f>HYPERLINK("https://creighton-primo.hosted.exlibrisgroup.com/primo-explore/search?tab=default_tab&amp;search_scope=EVERYTHING&amp;vid=01CRU&amp;lang=en_US&amp;offset=0&amp;query=any,contains,991000462279702656","Catalog Record")</f>
        <v/>
      </c>
      <c r="AV523">
        <f>HYPERLINK("http://www.worldcat.org/oclc/51304384","WorldCat Record")</f>
        <v/>
      </c>
      <c r="AW523" t="inlineStr">
        <is>
          <t>4146083989:eng</t>
        </is>
      </c>
      <c r="AX523" t="inlineStr">
        <is>
          <t>51304384</t>
        </is>
      </c>
      <c r="AY523" t="inlineStr">
        <is>
          <t>991000462279702656</t>
        </is>
      </c>
      <c r="AZ523" t="inlineStr">
        <is>
          <t>991000462279702656</t>
        </is>
      </c>
      <c r="BA523" t="inlineStr">
        <is>
          <t>2254783770002656</t>
        </is>
      </c>
      <c r="BB523" t="inlineStr">
        <is>
          <t>BOOK</t>
        </is>
      </c>
      <c r="BD523" t="inlineStr">
        <is>
          <t>9780781737333</t>
        </is>
      </c>
      <c r="BE523" t="inlineStr">
        <is>
          <t>30001004911881</t>
        </is>
      </c>
      <c r="BF523" t="inlineStr">
        <is>
          <t>893354377</t>
        </is>
      </c>
    </row>
    <row r="524">
      <c r="A524" t="inlineStr">
        <is>
          <t>No</t>
        </is>
      </c>
      <c r="B524" t="inlineStr">
        <is>
          <t>CUHSL</t>
        </is>
      </c>
      <c r="C524" t="inlineStr">
        <is>
          <t>SHELVES</t>
        </is>
      </c>
      <c r="D524" t="inlineStr">
        <is>
          <t>WY 20.5 P791f 1982</t>
        </is>
      </c>
      <c r="E524" t="inlineStr">
        <is>
          <t>0                      WY 0020500P  791f        1982</t>
        </is>
      </c>
      <c r="F524" t="inlineStr">
        <is>
          <t>Fundamentals of research in nursing / David J. Fox.</t>
        </is>
      </c>
      <c r="H524" t="inlineStr">
        <is>
          <t>No</t>
        </is>
      </c>
      <c r="I524" t="inlineStr">
        <is>
          <t>1</t>
        </is>
      </c>
      <c r="J524" t="inlineStr">
        <is>
          <t>No</t>
        </is>
      </c>
      <c r="K524" t="inlineStr">
        <is>
          <t>Yes</t>
        </is>
      </c>
      <c r="L524" t="inlineStr">
        <is>
          <t>0</t>
        </is>
      </c>
      <c r="M524" t="inlineStr">
        <is>
          <t>Fox, David J.</t>
        </is>
      </c>
      <c r="N524" t="inlineStr">
        <is>
          <t>New York : Appleton-Century-Crofts, c1982.</t>
        </is>
      </c>
      <c r="O524" t="inlineStr">
        <is>
          <t>1982</t>
        </is>
      </c>
      <c r="P524" t="inlineStr">
        <is>
          <t>4th ed.</t>
        </is>
      </c>
      <c r="Q524" t="inlineStr">
        <is>
          <t>eng</t>
        </is>
      </c>
      <c r="R524" t="inlineStr">
        <is>
          <t>xxu</t>
        </is>
      </c>
      <c r="T524" t="inlineStr">
        <is>
          <t xml:space="preserve">WY </t>
        </is>
      </c>
      <c r="U524" t="n">
        <v>5</v>
      </c>
      <c r="V524" t="n">
        <v>5</v>
      </c>
      <c r="W524" t="inlineStr">
        <is>
          <t>1994-11-26</t>
        </is>
      </c>
      <c r="X524" t="inlineStr">
        <is>
          <t>1994-11-26</t>
        </is>
      </c>
      <c r="Y524" t="inlineStr">
        <is>
          <t>1987-10-22</t>
        </is>
      </c>
      <c r="Z524" t="inlineStr">
        <is>
          <t>1987-10-22</t>
        </is>
      </c>
      <c r="AA524" t="n">
        <v>264</v>
      </c>
      <c r="AB524" t="n">
        <v>200</v>
      </c>
      <c r="AC524" t="n">
        <v>330</v>
      </c>
      <c r="AD524" t="n">
        <v>2</v>
      </c>
      <c r="AE524" t="n">
        <v>5</v>
      </c>
      <c r="AF524" t="n">
        <v>7</v>
      </c>
      <c r="AG524" t="n">
        <v>16</v>
      </c>
      <c r="AH524" t="n">
        <v>4</v>
      </c>
      <c r="AI524" t="n">
        <v>5</v>
      </c>
      <c r="AJ524" t="n">
        <v>1</v>
      </c>
      <c r="AK524" t="n">
        <v>3</v>
      </c>
      <c r="AL524" t="n">
        <v>2</v>
      </c>
      <c r="AM524" t="n">
        <v>7</v>
      </c>
      <c r="AN524" t="n">
        <v>0</v>
      </c>
      <c r="AO524" t="n">
        <v>3</v>
      </c>
      <c r="AP524" t="n">
        <v>0</v>
      </c>
      <c r="AQ524" t="n">
        <v>0</v>
      </c>
      <c r="AR524" t="inlineStr">
        <is>
          <t>No</t>
        </is>
      </c>
      <c r="AS524" t="inlineStr">
        <is>
          <t>Yes</t>
        </is>
      </c>
      <c r="AT524">
        <f>HYPERLINK("http://catalog.hathitrust.org/Record/000230323","HathiTrust Record")</f>
        <v/>
      </c>
      <c r="AU524">
        <f>HYPERLINK("https://creighton-primo.hosted.exlibrisgroup.com/primo-explore/search?tab=default_tab&amp;search_scope=EVERYTHING&amp;vid=01CRU&amp;lang=en_US&amp;offset=0&amp;query=any,contains,991000739759702656","Catalog Record")</f>
        <v/>
      </c>
      <c r="AV524">
        <f>HYPERLINK("http://www.worldcat.org/oclc/7946521","WorldCat Record")</f>
        <v/>
      </c>
      <c r="AW524" t="inlineStr">
        <is>
          <t>1295735:eng</t>
        </is>
      </c>
      <c r="AX524" t="inlineStr">
        <is>
          <t>7946521</t>
        </is>
      </c>
      <c r="AY524" t="inlineStr">
        <is>
          <t>991000739759702656</t>
        </is>
      </c>
      <c r="AZ524" t="inlineStr">
        <is>
          <t>991000739759702656</t>
        </is>
      </c>
      <c r="BA524" t="inlineStr">
        <is>
          <t>2264065300002656</t>
        </is>
      </c>
      <c r="BB524" t="inlineStr">
        <is>
          <t>BOOK</t>
        </is>
      </c>
      <c r="BD524" t="inlineStr">
        <is>
          <t>9780838527979</t>
        </is>
      </c>
      <c r="BE524" t="inlineStr">
        <is>
          <t>30001000043069</t>
        </is>
      </c>
      <c r="BF524" t="inlineStr">
        <is>
          <t>893731035</t>
        </is>
      </c>
    </row>
    <row r="525">
      <c r="A525" t="inlineStr">
        <is>
          <t>No</t>
        </is>
      </c>
      <c r="B525" t="inlineStr">
        <is>
          <t>CUHSL</t>
        </is>
      </c>
      <c r="C525" t="inlineStr">
        <is>
          <t>SHELVES</t>
        </is>
      </c>
      <c r="D525" t="inlineStr">
        <is>
          <t>WY 20.5 Q12 1992</t>
        </is>
      </c>
      <c r="E525" t="inlineStr">
        <is>
          <t>0                      WY 0020500Q  12          1992</t>
        </is>
      </c>
      <c r="F525" t="inlineStr">
        <is>
          <t>Qualitative health research / [edited by] Janice M. Morse.</t>
        </is>
      </c>
      <c r="H525" t="inlineStr">
        <is>
          <t>No</t>
        </is>
      </c>
      <c r="I525" t="inlineStr">
        <is>
          <t>1</t>
        </is>
      </c>
      <c r="J525" t="inlineStr">
        <is>
          <t>No</t>
        </is>
      </c>
      <c r="K525" t="inlineStr">
        <is>
          <t>No</t>
        </is>
      </c>
      <c r="L525" t="inlineStr">
        <is>
          <t>1</t>
        </is>
      </c>
      <c r="N525" t="inlineStr">
        <is>
          <t>Newbury Park, Calif. : SAGE Publications, c1992.</t>
        </is>
      </c>
      <c r="O525" t="inlineStr">
        <is>
          <t>1992</t>
        </is>
      </c>
      <c r="Q525" t="inlineStr">
        <is>
          <t>eng</t>
        </is>
      </c>
      <c r="R525" t="inlineStr">
        <is>
          <t>cau</t>
        </is>
      </c>
      <c r="T525" t="inlineStr">
        <is>
          <t xml:space="preserve">WY </t>
        </is>
      </c>
      <c r="U525" t="n">
        <v>17</v>
      </c>
      <c r="V525" t="n">
        <v>17</v>
      </c>
      <c r="W525" t="inlineStr">
        <is>
          <t>2001-11-29</t>
        </is>
      </c>
      <c r="X525" t="inlineStr">
        <is>
          <t>2001-11-29</t>
        </is>
      </c>
      <c r="Y525" t="inlineStr">
        <is>
          <t>1992-10-20</t>
        </is>
      </c>
      <c r="Z525" t="inlineStr">
        <is>
          <t>1992-10-20</t>
        </is>
      </c>
      <c r="AA525" t="n">
        <v>326</v>
      </c>
      <c r="AB525" t="n">
        <v>186</v>
      </c>
      <c r="AC525" t="n">
        <v>1124</v>
      </c>
      <c r="AD525" t="n">
        <v>1</v>
      </c>
      <c r="AE525" t="n">
        <v>13</v>
      </c>
      <c r="AF525" t="n">
        <v>13</v>
      </c>
      <c r="AG525" t="n">
        <v>47</v>
      </c>
      <c r="AH525" t="n">
        <v>4</v>
      </c>
      <c r="AI525" t="n">
        <v>15</v>
      </c>
      <c r="AJ525" t="n">
        <v>3</v>
      </c>
      <c r="AK525" t="n">
        <v>10</v>
      </c>
      <c r="AL525" t="n">
        <v>12</v>
      </c>
      <c r="AM525" t="n">
        <v>19</v>
      </c>
      <c r="AN525" t="n">
        <v>0</v>
      </c>
      <c r="AO525" t="n">
        <v>11</v>
      </c>
      <c r="AP525" t="n">
        <v>0</v>
      </c>
      <c r="AQ525" t="n">
        <v>2</v>
      </c>
      <c r="AR525" t="inlineStr">
        <is>
          <t>No</t>
        </is>
      </c>
      <c r="AS525" t="inlineStr">
        <is>
          <t>Yes</t>
        </is>
      </c>
      <c r="AT525">
        <f>HYPERLINK("http://catalog.hathitrust.org/Record/002568960","HathiTrust Record")</f>
        <v/>
      </c>
      <c r="AU525">
        <f>HYPERLINK("https://creighton-primo.hosted.exlibrisgroup.com/primo-explore/search?tab=default_tab&amp;search_scope=EVERYTHING&amp;vid=01CRU&amp;lang=en_US&amp;offset=0&amp;query=any,contains,991001342649702656","Catalog Record")</f>
        <v/>
      </c>
      <c r="AV525">
        <f>HYPERLINK("http://www.worldcat.org/oclc/26097683","WorldCat Record")</f>
        <v/>
      </c>
      <c r="AW525" t="inlineStr">
        <is>
          <t>54919981:eng</t>
        </is>
      </c>
      <c r="AX525" t="inlineStr">
        <is>
          <t>26097683</t>
        </is>
      </c>
      <c r="AY525" t="inlineStr">
        <is>
          <t>991001342649702656</t>
        </is>
      </c>
      <c r="AZ525" t="inlineStr">
        <is>
          <t>991001342649702656</t>
        </is>
      </c>
      <c r="BA525" t="inlineStr">
        <is>
          <t>2268828420002656</t>
        </is>
      </c>
      <c r="BB525" t="inlineStr">
        <is>
          <t>BOOK</t>
        </is>
      </c>
      <c r="BD525" t="inlineStr">
        <is>
          <t>9780803947740</t>
        </is>
      </c>
      <c r="BE525" t="inlineStr">
        <is>
          <t>30001002456343</t>
        </is>
      </c>
      <c r="BF525" t="inlineStr">
        <is>
          <t>893743749</t>
        </is>
      </c>
    </row>
    <row r="526">
      <c r="A526" t="inlineStr">
        <is>
          <t>No</t>
        </is>
      </c>
      <c r="B526" t="inlineStr">
        <is>
          <t>CUHSL</t>
        </is>
      </c>
      <c r="C526" t="inlineStr">
        <is>
          <t>SHELVES</t>
        </is>
      </c>
      <c r="D526" t="inlineStr">
        <is>
          <t>WY 20.5 Q15 1985</t>
        </is>
      </c>
      <c r="E526" t="inlineStr">
        <is>
          <t>0                      WY 0020500Q  15          1985</t>
        </is>
      </c>
      <c r="F526" t="inlineStr">
        <is>
          <t>Qualitative research methods in nursing / edited by Madeleine M. Leininger.</t>
        </is>
      </c>
      <c r="H526" t="inlineStr">
        <is>
          <t>No</t>
        </is>
      </c>
      <c r="I526" t="inlineStr">
        <is>
          <t>1</t>
        </is>
      </c>
      <c r="J526" t="inlineStr">
        <is>
          <t>No</t>
        </is>
      </c>
      <c r="K526" t="inlineStr">
        <is>
          <t>No</t>
        </is>
      </c>
      <c r="L526" t="inlineStr">
        <is>
          <t>0</t>
        </is>
      </c>
      <c r="N526" t="inlineStr">
        <is>
          <t>Orlando, Fla. : Grune &amp; Stratton, c1985.</t>
        </is>
      </c>
      <c r="O526" t="inlineStr">
        <is>
          <t>1985</t>
        </is>
      </c>
      <c r="Q526" t="inlineStr">
        <is>
          <t>eng</t>
        </is>
      </c>
      <c r="R526" t="inlineStr">
        <is>
          <t xml:space="preserve">xx </t>
        </is>
      </c>
      <c r="T526" t="inlineStr">
        <is>
          <t xml:space="preserve">WY </t>
        </is>
      </c>
      <c r="U526" t="n">
        <v>23</v>
      </c>
      <c r="V526" t="n">
        <v>23</v>
      </c>
      <c r="W526" t="inlineStr">
        <is>
          <t>2009-10-19</t>
        </is>
      </c>
      <c r="X526" t="inlineStr">
        <is>
          <t>2009-10-19</t>
        </is>
      </c>
      <c r="Y526" t="inlineStr">
        <is>
          <t>1987-12-28</t>
        </is>
      </c>
      <c r="Z526" t="inlineStr">
        <is>
          <t>1987-12-28</t>
        </is>
      </c>
      <c r="AA526" t="n">
        <v>354</v>
      </c>
      <c r="AB526" t="n">
        <v>279</v>
      </c>
      <c r="AC526" t="n">
        <v>294</v>
      </c>
      <c r="AD526" t="n">
        <v>3</v>
      </c>
      <c r="AE526" t="n">
        <v>3</v>
      </c>
      <c r="AF526" t="n">
        <v>13</v>
      </c>
      <c r="AG526" t="n">
        <v>15</v>
      </c>
      <c r="AH526" t="n">
        <v>6</v>
      </c>
      <c r="AI526" t="n">
        <v>8</v>
      </c>
      <c r="AJ526" t="n">
        <v>2</v>
      </c>
      <c r="AK526" t="n">
        <v>2</v>
      </c>
      <c r="AL526" t="n">
        <v>6</v>
      </c>
      <c r="AM526" t="n">
        <v>6</v>
      </c>
      <c r="AN526" t="n">
        <v>2</v>
      </c>
      <c r="AO526" t="n">
        <v>2</v>
      </c>
      <c r="AP526" t="n">
        <v>0</v>
      </c>
      <c r="AQ526" t="n">
        <v>0</v>
      </c>
      <c r="AR526" t="inlineStr">
        <is>
          <t>No</t>
        </is>
      </c>
      <c r="AS526" t="inlineStr">
        <is>
          <t>Yes</t>
        </is>
      </c>
      <c r="AT526">
        <f>HYPERLINK("http://catalog.hathitrust.org/Record/000562018","HathiTrust Record")</f>
        <v/>
      </c>
      <c r="AU526">
        <f>HYPERLINK("https://creighton-primo.hosted.exlibrisgroup.com/primo-explore/search?tab=default_tab&amp;search_scope=EVERYTHING&amp;vid=01CRU&amp;lang=en_US&amp;offset=0&amp;query=any,contains,991001045509702656","Catalog Record")</f>
        <v/>
      </c>
      <c r="AV526">
        <f>HYPERLINK("http://www.worldcat.org/oclc/10780707","WorldCat Record")</f>
        <v/>
      </c>
      <c r="AW526" t="inlineStr">
        <is>
          <t>54643329:eng</t>
        </is>
      </c>
      <c r="AX526" t="inlineStr">
        <is>
          <t>10780707</t>
        </is>
      </c>
      <c r="AY526" t="inlineStr">
        <is>
          <t>991001045509702656</t>
        </is>
      </c>
      <c r="AZ526" t="inlineStr">
        <is>
          <t>991001045509702656</t>
        </is>
      </c>
      <c r="BA526" t="inlineStr">
        <is>
          <t>2263845000002656</t>
        </is>
      </c>
      <c r="BB526" t="inlineStr">
        <is>
          <t>BOOK</t>
        </is>
      </c>
      <c r="BD526" t="inlineStr">
        <is>
          <t>9780808916765</t>
        </is>
      </c>
      <c r="BE526" t="inlineStr">
        <is>
          <t>30001000244196</t>
        </is>
      </c>
      <c r="BF526" t="inlineStr">
        <is>
          <t>893369059</t>
        </is>
      </c>
    </row>
    <row r="527">
      <c r="A527" t="inlineStr">
        <is>
          <t>No</t>
        </is>
      </c>
      <c r="B527" t="inlineStr">
        <is>
          <t>CUHSL</t>
        </is>
      </c>
      <c r="C527" t="inlineStr">
        <is>
          <t>SHELVES</t>
        </is>
      </c>
      <c r="D527" t="inlineStr">
        <is>
          <t>WY 20.5 R287 1981</t>
        </is>
      </c>
      <c r="E527" t="inlineStr">
        <is>
          <t>0                      WY 0020500R  287         1981</t>
        </is>
      </c>
      <c r="F527" t="inlineStr">
        <is>
          <t>Readings for nursing research / edited by Sydney D. Krampitz, Natalie Pavlovich.</t>
        </is>
      </c>
      <c r="H527" t="inlineStr">
        <is>
          <t>No</t>
        </is>
      </c>
      <c r="I527" t="inlineStr">
        <is>
          <t>1</t>
        </is>
      </c>
      <c r="J527" t="inlineStr">
        <is>
          <t>No</t>
        </is>
      </c>
      <c r="K527" t="inlineStr">
        <is>
          <t>No</t>
        </is>
      </c>
      <c r="L527" t="inlineStr">
        <is>
          <t>0</t>
        </is>
      </c>
      <c r="N527" t="inlineStr">
        <is>
          <t>St. Louis : Mosby, 1980.</t>
        </is>
      </c>
      <c r="O527" t="inlineStr">
        <is>
          <t>1980</t>
        </is>
      </c>
      <c r="Q527" t="inlineStr">
        <is>
          <t>eng</t>
        </is>
      </c>
      <c r="R527" t="inlineStr">
        <is>
          <t>xxu</t>
        </is>
      </c>
      <c r="T527" t="inlineStr">
        <is>
          <t xml:space="preserve">WY </t>
        </is>
      </c>
      <c r="U527" t="n">
        <v>11</v>
      </c>
      <c r="V527" t="n">
        <v>11</v>
      </c>
      <c r="W527" t="inlineStr">
        <is>
          <t>1994-10-25</t>
        </is>
      </c>
      <c r="X527" t="inlineStr">
        <is>
          <t>1994-10-25</t>
        </is>
      </c>
      <c r="Y527" t="inlineStr">
        <is>
          <t>1987-12-28</t>
        </is>
      </c>
      <c r="Z527" t="inlineStr">
        <is>
          <t>1987-12-28</t>
        </is>
      </c>
      <c r="AA527" t="n">
        <v>204</v>
      </c>
      <c r="AB527" t="n">
        <v>146</v>
      </c>
      <c r="AC527" t="n">
        <v>149</v>
      </c>
      <c r="AD527" t="n">
        <v>1</v>
      </c>
      <c r="AE527" t="n">
        <v>1</v>
      </c>
      <c r="AF527" t="n">
        <v>3</v>
      </c>
      <c r="AG527" t="n">
        <v>3</v>
      </c>
      <c r="AH527" t="n">
        <v>0</v>
      </c>
      <c r="AI527" t="n">
        <v>0</v>
      </c>
      <c r="AJ527" t="n">
        <v>1</v>
      </c>
      <c r="AK527" t="n">
        <v>1</v>
      </c>
      <c r="AL527" t="n">
        <v>2</v>
      </c>
      <c r="AM527" t="n">
        <v>2</v>
      </c>
      <c r="AN527" t="n">
        <v>0</v>
      </c>
      <c r="AO527" t="n">
        <v>0</v>
      </c>
      <c r="AP527" t="n">
        <v>0</v>
      </c>
      <c r="AQ527" t="n">
        <v>0</v>
      </c>
      <c r="AR527" t="inlineStr">
        <is>
          <t>No</t>
        </is>
      </c>
      <c r="AS527" t="inlineStr">
        <is>
          <t>Yes</t>
        </is>
      </c>
      <c r="AT527">
        <f>HYPERLINK("http://catalog.hathitrust.org/Record/000729639","HathiTrust Record")</f>
        <v/>
      </c>
      <c r="AU527">
        <f>HYPERLINK("https://creighton-primo.hosted.exlibrisgroup.com/primo-explore/search?tab=default_tab&amp;search_scope=EVERYTHING&amp;vid=01CRU&amp;lang=en_US&amp;offset=0&amp;query=any,contains,991001045589702656","Catalog Record")</f>
        <v/>
      </c>
      <c r="AV527">
        <f>HYPERLINK("http://www.worldcat.org/oclc/6486875","WorldCat Record")</f>
        <v/>
      </c>
      <c r="AW527" t="inlineStr">
        <is>
          <t>355447346:eng</t>
        </is>
      </c>
      <c r="AX527" t="inlineStr">
        <is>
          <t>6486875</t>
        </is>
      </c>
      <c r="AY527" t="inlineStr">
        <is>
          <t>991001045589702656</t>
        </is>
      </c>
      <c r="AZ527" t="inlineStr">
        <is>
          <t>991001045589702656</t>
        </is>
      </c>
      <c r="BA527" t="inlineStr">
        <is>
          <t>2271861600002656</t>
        </is>
      </c>
      <c r="BB527" t="inlineStr">
        <is>
          <t>BOOK</t>
        </is>
      </c>
      <c r="BD527" t="inlineStr">
        <is>
          <t>9780801627477</t>
        </is>
      </c>
      <c r="BE527" t="inlineStr">
        <is>
          <t>30001000244204</t>
        </is>
      </c>
      <c r="BF527" t="inlineStr">
        <is>
          <t>893278654</t>
        </is>
      </c>
    </row>
    <row r="528">
      <c r="A528" t="inlineStr">
        <is>
          <t>No</t>
        </is>
      </c>
      <c r="B528" t="inlineStr">
        <is>
          <t>CUHSL</t>
        </is>
      </c>
      <c r="C528" t="inlineStr">
        <is>
          <t>SHELVES</t>
        </is>
      </c>
      <c r="D528" t="inlineStr">
        <is>
          <t>WY 20.5 R432 1981</t>
        </is>
      </c>
      <c r="E528" t="inlineStr">
        <is>
          <t>0                      WY 0020500R  432         1981</t>
        </is>
      </c>
      <c r="F528" t="inlineStr">
        <is>
          <t>Research methodology and its application to nursing / edited by Yvonne M. Williamson.</t>
        </is>
      </c>
      <c r="H528" t="inlineStr">
        <is>
          <t>No</t>
        </is>
      </c>
      <c r="I528" t="inlineStr">
        <is>
          <t>1</t>
        </is>
      </c>
      <c r="J528" t="inlineStr">
        <is>
          <t>No</t>
        </is>
      </c>
      <c r="K528" t="inlineStr">
        <is>
          <t>No</t>
        </is>
      </c>
      <c r="L528" t="inlineStr">
        <is>
          <t>0</t>
        </is>
      </c>
      <c r="N528" t="inlineStr">
        <is>
          <t>New York : Wiley, c1981.</t>
        </is>
      </c>
      <c r="O528" t="inlineStr">
        <is>
          <t>1981</t>
        </is>
      </c>
      <c r="Q528" t="inlineStr">
        <is>
          <t>eng</t>
        </is>
      </c>
      <c r="R528" t="inlineStr">
        <is>
          <t>xxu</t>
        </is>
      </c>
      <c r="S528" t="inlineStr">
        <is>
          <t>A Wiley medical publication</t>
        </is>
      </c>
      <c r="T528" t="inlineStr">
        <is>
          <t xml:space="preserve">WY </t>
        </is>
      </c>
      <c r="U528" t="n">
        <v>13</v>
      </c>
      <c r="V528" t="n">
        <v>13</v>
      </c>
      <c r="W528" t="inlineStr">
        <is>
          <t>2000-10-29</t>
        </is>
      </c>
      <c r="X528" t="inlineStr">
        <is>
          <t>2000-10-29</t>
        </is>
      </c>
      <c r="Y528" t="inlineStr">
        <is>
          <t>1987-12-28</t>
        </is>
      </c>
      <c r="Z528" t="inlineStr">
        <is>
          <t>1987-12-28</t>
        </is>
      </c>
      <c r="AA528" t="n">
        <v>228</v>
      </c>
      <c r="AB528" t="n">
        <v>170</v>
      </c>
      <c r="AC528" t="n">
        <v>177</v>
      </c>
      <c r="AD528" t="n">
        <v>3</v>
      </c>
      <c r="AE528" t="n">
        <v>3</v>
      </c>
      <c r="AF528" t="n">
        <v>8</v>
      </c>
      <c r="AG528" t="n">
        <v>8</v>
      </c>
      <c r="AH528" t="n">
        <v>1</v>
      </c>
      <c r="AI528" t="n">
        <v>1</v>
      </c>
      <c r="AJ528" t="n">
        <v>2</v>
      </c>
      <c r="AK528" t="n">
        <v>2</v>
      </c>
      <c r="AL528" t="n">
        <v>4</v>
      </c>
      <c r="AM528" t="n">
        <v>4</v>
      </c>
      <c r="AN528" t="n">
        <v>2</v>
      </c>
      <c r="AO528" t="n">
        <v>2</v>
      </c>
      <c r="AP528" t="n">
        <v>0</v>
      </c>
      <c r="AQ528" t="n">
        <v>0</v>
      </c>
      <c r="AR528" t="inlineStr">
        <is>
          <t>No</t>
        </is>
      </c>
      <c r="AS528" t="inlineStr">
        <is>
          <t>Yes</t>
        </is>
      </c>
      <c r="AT528">
        <f>HYPERLINK("http://catalog.hathitrust.org/Record/000767237","HathiTrust Record")</f>
        <v/>
      </c>
      <c r="AU528">
        <f>HYPERLINK("https://creighton-primo.hosted.exlibrisgroup.com/primo-explore/search?tab=default_tab&amp;search_scope=EVERYTHING&amp;vid=01CRU&amp;lang=en_US&amp;offset=0&amp;query=any,contains,991001045549702656","Catalog Record")</f>
        <v/>
      </c>
      <c r="AV528">
        <f>HYPERLINK("http://www.worldcat.org/oclc/6789670","WorldCat Record")</f>
        <v/>
      </c>
      <c r="AW528" t="inlineStr">
        <is>
          <t>24386739:eng</t>
        </is>
      </c>
      <c r="AX528" t="inlineStr">
        <is>
          <t>6789670</t>
        </is>
      </c>
      <c r="AY528" t="inlineStr">
        <is>
          <t>991001045549702656</t>
        </is>
      </c>
      <c r="AZ528" t="inlineStr">
        <is>
          <t>991001045549702656</t>
        </is>
      </c>
      <c r="BA528" t="inlineStr">
        <is>
          <t>2267837680002656</t>
        </is>
      </c>
      <c r="BB528" t="inlineStr">
        <is>
          <t>BOOK</t>
        </is>
      </c>
      <c r="BD528" t="inlineStr">
        <is>
          <t>9780471033134</t>
        </is>
      </c>
      <c r="BE528" t="inlineStr">
        <is>
          <t>30001000244212</t>
        </is>
      </c>
      <c r="BF528" t="inlineStr">
        <is>
          <t>893816063</t>
        </is>
      </c>
    </row>
    <row r="529">
      <c r="A529" t="inlineStr">
        <is>
          <t>No</t>
        </is>
      </c>
      <c r="B529" t="inlineStr">
        <is>
          <t>CUHSL</t>
        </is>
      </c>
      <c r="C529" t="inlineStr">
        <is>
          <t>SHELVES</t>
        </is>
      </c>
      <c r="D529" t="inlineStr">
        <is>
          <t>WY 20.5 R639n 1989</t>
        </is>
      </c>
      <c r="E529" t="inlineStr">
        <is>
          <t>0                      WY 0020500R  639n        1989</t>
        </is>
      </c>
      <c r="F529" t="inlineStr">
        <is>
          <t>Nursing research : a quantitative and qualitative approach / Carol A. Roberts, Sharon Ogden Burke.</t>
        </is>
      </c>
      <c r="H529" t="inlineStr">
        <is>
          <t>No</t>
        </is>
      </c>
      <c r="I529" t="inlineStr">
        <is>
          <t>1</t>
        </is>
      </c>
      <c r="J529" t="inlineStr">
        <is>
          <t>No</t>
        </is>
      </c>
      <c r="K529" t="inlineStr">
        <is>
          <t>No</t>
        </is>
      </c>
      <c r="L529" t="inlineStr">
        <is>
          <t>0</t>
        </is>
      </c>
      <c r="M529" t="inlineStr">
        <is>
          <t>Roberts, Carol A.</t>
        </is>
      </c>
      <c r="N529" t="inlineStr">
        <is>
          <t>Boston : Jones and Bartlett, c1989.</t>
        </is>
      </c>
      <c r="O529" t="inlineStr">
        <is>
          <t>1989</t>
        </is>
      </c>
      <c r="Q529" t="inlineStr">
        <is>
          <t>eng</t>
        </is>
      </c>
      <c r="R529" t="inlineStr">
        <is>
          <t>xxu</t>
        </is>
      </c>
      <c r="T529" t="inlineStr">
        <is>
          <t xml:space="preserve">WY </t>
        </is>
      </c>
      <c r="U529" t="n">
        <v>36</v>
      </c>
      <c r="V529" t="n">
        <v>36</v>
      </c>
      <c r="W529" t="inlineStr">
        <is>
          <t>1998-12-01</t>
        </is>
      </c>
      <c r="X529" t="inlineStr">
        <is>
          <t>1998-12-01</t>
        </is>
      </c>
      <c r="Y529" t="inlineStr">
        <is>
          <t>1989-07-07</t>
        </is>
      </c>
      <c r="Z529" t="inlineStr">
        <is>
          <t>1989-07-07</t>
        </is>
      </c>
      <c r="AA529" t="n">
        <v>252</v>
      </c>
      <c r="AB529" t="n">
        <v>177</v>
      </c>
      <c r="AC529" t="n">
        <v>179</v>
      </c>
      <c r="AD529" t="n">
        <v>3</v>
      </c>
      <c r="AE529" t="n">
        <v>3</v>
      </c>
      <c r="AF529" t="n">
        <v>8</v>
      </c>
      <c r="AG529" t="n">
        <v>8</v>
      </c>
      <c r="AH529" t="n">
        <v>3</v>
      </c>
      <c r="AI529" t="n">
        <v>3</v>
      </c>
      <c r="AJ529" t="n">
        <v>1</v>
      </c>
      <c r="AK529" t="n">
        <v>1</v>
      </c>
      <c r="AL529" t="n">
        <v>3</v>
      </c>
      <c r="AM529" t="n">
        <v>3</v>
      </c>
      <c r="AN529" t="n">
        <v>2</v>
      </c>
      <c r="AO529" t="n">
        <v>2</v>
      </c>
      <c r="AP529" t="n">
        <v>0</v>
      </c>
      <c r="AQ529" t="n">
        <v>0</v>
      </c>
      <c r="AR529" t="inlineStr">
        <is>
          <t>No</t>
        </is>
      </c>
      <c r="AS529" t="inlineStr">
        <is>
          <t>Yes</t>
        </is>
      </c>
      <c r="AT529">
        <f>HYPERLINK("http://catalog.hathitrust.org/Record/001103270","HathiTrust Record")</f>
        <v/>
      </c>
      <c r="AU529">
        <f>HYPERLINK("https://creighton-primo.hosted.exlibrisgroup.com/primo-explore/search?tab=default_tab&amp;search_scope=EVERYTHING&amp;vid=01CRU&amp;lang=en_US&amp;offset=0&amp;query=any,contains,991001310809702656","Catalog Record")</f>
        <v/>
      </c>
      <c r="AV529">
        <f>HYPERLINK("http://www.worldcat.org/oclc/18833804","WorldCat Record")</f>
        <v/>
      </c>
      <c r="AW529" t="inlineStr">
        <is>
          <t>431810480:eng</t>
        </is>
      </c>
      <c r="AX529" t="inlineStr">
        <is>
          <t>18833804</t>
        </is>
      </c>
      <c r="AY529" t="inlineStr">
        <is>
          <t>991001310809702656</t>
        </is>
      </c>
      <c r="AZ529" t="inlineStr">
        <is>
          <t>991001310809702656</t>
        </is>
      </c>
      <c r="BA529" t="inlineStr">
        <is>
          <t>2255514910002656</t>
        </is>
      </c>
      <c r="BB529" t="inlineStr">
        <is>
          <t>BOOK</t>
        </is>
      </c>
      <c r="BD529" t="inlineStr">
        <is>
          <t>9780867204155</t>
        </is>
      </c>
      <c r="BE529" t="inlineStr">
        <is>
          <t>30001001750803</t>
        </is>
      </c>
      <c r="BF529" t="inlineStr">
        <is>
          <t>893460461</t>
        </is>
      </c>
    </row>
    <row r="530">
      <c r="A530" t="inlineStr">
        <is>
          <t>No</t>
        </is>
      </c>
      <c r="B530" t="inlineStr">
        <is>
          <t>CUHSL</t>
        </is>
      </c>
      <c r="C530" t="inlineStr">
        <is>
          <t>SHELVES</t>
        </is>
      </c>
      <c r="D530" t="inlineStr">
        <is>
          <t>WY 20.5 R728i 1970</t>
        </is>
      </c>
      <c r="E530" t="inlineStr">
        <is>
          <t>0                      WY 0020500R  728i        1970</t>
        </is>
      </c>
      <c r="F530" t="inlineStr">
        <is>
          <t>An introduction to the theoretical basis of nursing / by Martha E. Rogers.</t>
        </is>
      </c>
      <c r="H530" t="inlineStr">
        <is>
          <t>No</t>
        </is>
      </c>
      <c r="I530" t="inlineStr">
        <is>
          <t>1</t>
        </is>
      </c>
      <c r="J530" t="inlineStr">
        <is>
          <t>No</t>
        </is>
      </c>
      <c r="K530" t="inlineStr">
        <is>
          <t>No</t>
        </is>
      </c>
      <c r="L530" t="inlineStr">
        <is>
          <t>0</t>
        </is>
      </c>
      <c r="M530" t="inlineStr">
        <is>
          <t>Rogers, Martha E.</t>
        </is>
      </c>
      <c r="N530" t="inlineStr">
        <is>
          <t>Philadelphia : F.A. Davis Co., 1970.</t>
        </is>
      </c>
      <c r="O530" t="inlineStr">
        <is>
          <t>1970</t>
        </is>
      </c>
      <c r="Q530" t="inlineStr">
        <is>
          <t>eng</t>
        </is>
      </c>
      <c r="R530" t="inlineStr">
        <is>
          <t>pau</t>
        </is>
      </c>
      <c r="S530" t="inlineStr">
        <is>
          <t>Nursing science ; 1</t>
        </is>
      </c>
      <c r="T530" t="inlineStr">
        <is>
          <t xml:space="preserve">WY </t>
        </is>
      </c>
      <c r="U530" t="n">
        <v>14</v>
      </c>
      <c r="V530" t="n">
        <v>14</v>
      </c>
      <c r="W530" t="inlineStr">
        <is>
          <t>2005-09-06</t>
        </is>
      </c>
      <c r="X530" t="inlineStr">
        <is>
          <t>2005-09-06</t>
        </is>
      </c>
      <c r="Y530" t="inlineStr">
        <is>
          <t>1988-01-18</t>
        </is>
      </c>
      <c r="Z530" t="inlineStr">
        <is>
          <t>1988-01-18</t>
        </is>
      </c>
      <c r="AA530" t="n">
        <v>471</v>
      </c>
      <c r="AB530" t="n">
        <v>406</v>
      </c>
      <c r="AC530" t="n">
        <v>468</v>
      </c>
      <c r="AD530" t="n">
        <v>5</v>
      </c>
      <c r="AE530" t="n">
        <v>6</v>
      </c>
      <c r="AF530" t="n">
        <v>25</v>
      </c>
      <c r="AG530" t="n">
        <v>28</v>
      </c>
      <c r="AH530" t="n">
        <v>10</v>
      </c>
      <c r="AI530" t="n">
        <v>11</v>
      </c>
      <c r="AJ530" t="n">
        <v>4</v>
      </c>
      <c r="AK530" t="n">
        <v>4</v>
      </c>
      <c r="AL530" t="n">
        <v>13</v>
      </c>
      <c r="AM530" t="n">
        <v>14</v>
      </c>
      <c r="AN530" t="n">
        <v>4</v>
      </c>
      <c r="AO530" t="n">
        <v>5</v>
      </c>
      <c r="AP530" t="n">
        <v>0</v>
      </c>
      <c r="AQ530" t="n">
        <v>0</v>
      </c>
      <c r="AR530" t="inlineStr">
        <is>
          <t>No</t>
        </is>
      </c>
      <c r="AS530" t="inlineStr">
        <is>
          <t>Yes</t>
        </is>
      </c>
      <c r="AT530">
        <f>HYPERLINK("http://catalog.hathitrust.org/Record/001574330","HathiTrust Record")</f>
        <v/>
      </c>
      <c r="AU530">
        <f>HYPERLINK("https://creighton-primo.hosted.exlibrisgroup.com/primo-explore/search?tab=default_tab&amp;search_scope=EVERYTHING&amp;vid=01CRU&amp;lang=en_US&amp;offset=0&amp;query=any,contains,991001045639702656","Catalog Record")</f>
        <v/>
      </c>
      <c r="AV530">
        <f>HYPERLINK("http://www.worldcat.org/oclc/66304","WorldCat Record")</f>
        <v/>
      </c>
      <c r="AW530" t="inlineStr">
        <is>
          <t>455893:eng</t>
        </is>
      </c>
      <c r="AX530" t="inlineStr">
        <is>
          <t>66304</t>
        </is>
      </c>
      <c r="AY530" t="inlineStr">
        <is>
          <t>991001045639702656</t>
        </is>
      </c>
      <c r="AZ530" t="inlineStr">
        <is>
          <t>991001045639702656</t>
        </is>
      </c>
      <c r="BA530" t="inlineStr">
        <is>
          <t>2258659610002656</t>
        </is>
      </c>
      <c r="BB530" t="inlineStr">
        <is>
          <t>BOOK</t>
        </is>
      </c>
      <c r="BE530" t="inlineStr">
        <is>
          <t>30001000244220</t>
        </is>
      </c>
      <c r="BF530" t="inlineStr">
        <is>
          <t>893284346</t>
        </is>
      </c>
    </row>
    <row r="531">
      <c r="A531" t="inlineStr">
        <is>
          <t>No</t>
        </is>
      </c>
      <c r="B531" t="inlineStr">
        <is>
          <t>CUHSL</t>
        </is>
      </c>
      <c r="C531" t="inlineStr">
        <is>
          <t>SHELVES</t>
        </is>
      </c>
      <c r="D531" t="inlineStr">
        <is>
          <t>WY 20.5 S322r 1984</t>
        </is>
      </c>
      <c r="E531" t="inlineStr">
        <is>
          <t>0                      WY 0020500S  322r        1984</t>
        </is>
      </c>
      <c r="F531" t="inlineStr">
        <is>
          <t>Research methods in nursing and health / Sonya Iverson Shelley.</t>
        </is>
      </c>
      <c r="H531" t="inlineStr">
        <is>
          <t>No</t>
        </is>
      </c>
      <c r="I531" t="inlineStr">
        <is>
          <t>1</t>
        </is>
      </c>
      <c r="J531" t="inlineStr">
        <is>
          <t>No</t>
        </is>
      </c>
      <c r="K531" t="inlineStr">
        <is>
          <t>No</t>
        </is>
      </c>
      <c r="L531" t="inlineStr">
        <is>
          <t>0</t>
        </is>
      </c>
      <c r="M531" t="inlineStr">
        <is>
          <t>Shelley, Sonya Iverson.</t>
        </is>
      </c>
      <c r="N531" t="inlineStr">
        <is>
          <t>Boston : Little, Brown, c1984.</t>
        </is>
      </c>
      <c r="O531" t="inlineStr">
        <is>
          <t>1984</t>
        </is>
      </c>
      <c r="Q531" t="inlineStr">
        <is>
          <t>eng</t>
        </is>
      </c>
      <c r="R531" t="inlineStr">
        <is>
          <t>mau</t>
        </is>
      </c>
      <c r="T531" t="inlineStr">
        <is>
          <t xml:space="preserve">WY </t>
        </is>
      </c>
      <c r="U531" t="n">
        <v>17</v>
      </c>
      <c r="V531" t="n">
        <v>17</v>
      </c>
      <c r="W531" t="inlineStr">
        <is>
          <t>1997-11-12</t>
        </is>
      </c>
      <c r="X531" t="inlineStr">
        <is>
          <t>1997-11-12</t>
        </is>
      </c>
      <c r="Y531" t="inlineStr">
        <is>
          <t>1987-12-28</t>
        </is>
      </c>
      <c r="Z531" t="inlineStr">
        <is>
          <t>1987-12-28</t>
        </is>
      </c>
      <c r="AA531" t="n">
        <v>202</v>
      </c>
      <c r="AB531" t="n">
        <v>154</v>
      </c>
      <c r="AC531" t="n">
        <v>156</v>
      </c>
      <c r="AD531" t="n">
        <v>1</v>
      </c>
      <c r="AE531" t="n">
        <v>1</v>
      </c>
      <c r="AF531" t="n">
        <v>3</v>
      </c>
      <c r="AG531" t="n">
        <v>3</v>
      </c>
      <c r="AH531" t="n">
        <v>1</v>
      </c>
      <c r="AI531" t="n">
        <v>1</v>
      </c>
      <c r="AJ531" t="n">
        <v>0</v>
      </c>
      <c r="AK531" t="n">
        <v>0</v>
      </c>
      <c r="AL531" t="n">
        <v>2</v>
      </c>
      <c r="AM531" t="n">
        <v>2</v>
      </c>
      <c r="AN531" t="n">
        <v>0</v>
      </c>
      <c r="AO531" t="n">
        <v>0</v>
      </c>
      <c r="AP531" t="n">
        <v>0</v>
      </c>
      <c r="AQ531" t="n">
        <v>0</v>
      </c>
      <c r="AR531" t="inlineStr">
        <is>
          <t>No</t>
        </is>
      </c>
      <c r="AS531" t="inlineStr">
        <is>
          <t>Yes</t>
        </is>
      </c>
      <c r="AT531">
        <f>HYPERLINK("http://catalog.hathitrust.org/Record/000286787","HathiTrust Record")</f>
        <v/>
      </c>
      <c r="AU531">
        <f>HYPERLINK("https://creighton-primo.hosted.exlibrisgroup.com/primo-explore/search?tab=default_tab&amp;search_scope=EVERYTHING&amp;vid=01CRU&amp;lang=en_US&amp;offset=0&amp;query=any,contains,991001045679702656","Catalog Record")</f>
        <v/>
      </c>
      <c r="AV531">
        <f>HYPERLINK("http://www.worldcat.org/oclc/10674851","WorldCat Record")</f>
        <v/>
      </c>
      <c r="AW531" t="inlineStr">
        <is>
          <t>3154643:eng</t>
        </is>
      </c>
      <c r="AX531" t="inlineStr">
        <is>
          <t>10674851</t>
        </is>
      </c>
      <c r="AY531" t="inlineStr">
        <is>
          <t>991001045679702656</t>
        </is>
      </c>
      <c r="AZ531" t="inlineStr">
        <is>
          <t>991001045679702656</t>
        </is>
      </c>
      <c r="BA531" t="inlineStr">
        <is>
          <t>2269813290002656</t>
        </is>
      </c>
      <c r="BB531" t="inlineStr">
        <is>
          <t>BOOK</t>
        </is>
      </c>
      <c r="BD531" t="inlineStr">
        <is>
          <t>9780316784740</t>
        </is>
      </c>
      <c r="BE531" t="inlineStr">
        <is>
          <t>30001000244238</t>
        </is>
      </c>
      <c r="BF531" t="inlineStr">
        <is>
          <t>893834543</t>
        </is>
      </c>
    </row>
    <row r="532">
      <c r="A532" t="inlineStr">
        <is>
          <t>No</t>
        </is>
      </c>
      <c r="B532" t="inlineStr">
        <is>
          <t>CUHSL</t>
        </is>
      </c>
      <c r="C532" t="inlineStr">
        <is>
          <t>SHELVES</t>
        </is>
      </c>
      <c r="D532" t="inlineStr">
        <is>
          <t>WY 20.5 S438r 1982</t>
        </is>
      </c>
      <c r="E532" t="inlineStr">
        <is>
          <t>0                      WY 0020500S  438r        1982</t>
        </is>
      </c>
      <c r="F532" t="inlineStr">
        <is>
          <t>Research methods for undergraduate students in nursing / Catherine C.H. Seaman, Phyllis J. Verhonick.</t>
        </is>
      </c>
      <c r="H532" t="inlineStr">
        <is>
          <t>No</t>
        </is>
      </c>
      <c r="I532" t="inlineStr">
        <is>
          <t>1</t>
        </is>
      </c>
      <c r="J532" t="inlineStr">
        <is>
          <t>No</t>
        </is>
      </c>
      <c r="K532" t="inlineStr">
        <is>
          <t>No</t>
        </is>
      </c>
      <c r="L532" t="inlineStr">
        <is>
          <t>0</t>
        </is>
      </c>
      <c r="M532" t="inlineStr">
        <is>
          <t>Seaman, Catherine H. C.</t>
        </is>
      </c>
      <c r="N532" t="inlineStr">
        <is>
          <t>New York : Appleton-Century-Crofts, c1982.</t>
        </is>
      </c>
      <c r="O532" t="inlineStr">
        <is>
          <t>1982</t>
        </is>
      </c>
      <c r="P532" t="inlineStr">
        <is>
          <t>2nd ed.</t>
        </is>
      </c>
      <c r="Q532" t="inlineStr">
        <is>
          <t>eng</t>
        </is>
      </c>
      <c r="R532" t="inlineStr">
        <is>
          <t>xxu</t>
        </is>
      </c>
      <c r="T532" t="inlineStr">
        <is>
          <t xml:space="preserve">WY </t>
        </is>
      </c>
      <c r="U532" t="n">
        <v>10</v>
      </c>
      <c r="V532" t="n">
        <v>10</v>
      </c>
      <c r="W532" t="inlineStr">
        <is>
          <t>1994-11-22</t>
        </is>
      </c>
      <c r="X532" t="inlineStr">
        <is>
          <t>1994-11-22</t>
        </is>
      </c>
      <c r="Y532" t="inlineStr">
        <is>
          <t>1987-12-28</t>
        </is>
      </c>
      <c r="Z532" t="inlineStr">
        <is>
          <t>1987-12-28</t>
        </is>
      </c>
      <c r="AA532" t="n">
        <v>213</v>
      </c>
      <c r="AB532" t="n">
        <v>157</v>
      </c>
      <c r="AC532" t="n">
        <v>259</v>
      </c>
      <c r="AD532" t="n">
        <v>2</v>
      </c>
      <c r="AE532" t="n">
        <v>4</v>
      </c>
      <c r="AF532" t="n">
        <v>6</v>
      </c>
      <c r="AG532" t="n">
        <v>14</v>
      </c>
      <c r="AH532" t="n">
        <v>4</v>
      </c>
      <c r="AI532" t="n">
        <v>6</v>
      </c>
      <c r="AJ532" t="n">
        <v>0</v>
      </c>
      <c r="AK532" t="n">
        <v>1</v>
      </c>
      <c r="AL532" t="n">
        <v>3</v>
      </c>
      <c r="AM532" t="n">
        <v>6</v>
      </c>
      <c r="AN532" t="n">
        <v>0</v>
      </c>
      <c r="AO532" t="n">
        <v>2</v>
      </c>
      <c r="AP532" t="n">
        <v>0</v>
      </c>
      <c r="AQ532" t="n">
        <v>0</v>
      </c>
      <c r="AR532" t="inlineStr">
        <is>
          <t>No</t>
        </is>
      </c>
      <c r="AS532" t="inlineStr">
        <is>
          <t>Yes</t>
        </is>
      </c>
      <c r="AT532">
        <f>HYPERLINK("http://catalog.hathitrust.org/Record/000230579","HathiTrust Record")</f>
        <v/>
      </c>
      <c r="AU532">
        <f>HYPERLINK("https://creighton-primo.hosted.exlibrisgroup.com/primo-explore/search?tab=default_tab&amp;search_scope=EVERYTHING&amp;vid=01CRU&amp;lang=en_US&amp;offset=0&amp;query=any,contains,991001045709702656","Catalog Record")</f>
        <v/>
      </c>
      <c r="AV532">
        <f>HYPERLINK("http://www.worldcat.org/oclc/7998968","WorldCat Record")</f>
        <v/>
      </c>
      <c r="AW532" t="inlineStr">
        <is>
          <t>2564853761:eng</t>
        </is>
      </c>
      <c r="AX532" t="inlineStr">
        <is>
          <t>7998968</t>
        </is>
      </c>
      <c r="AY532" t="inlineStr">
        <is>
          <t>991001045709702656</t>
        </is>
      </c>
      <c r="AZ532" t="inlineStr">
        <is>
          <t>991001045709702656</t>
        </is>
      </c>
      <c r="BA532" t="inlineStr">
        <is>
          <t>2259604060002656</t>
        </is>
      </c>
      <c r="BB532" t="inlineStr">
        <is>
          <t>BOOK</t>
        </is>
      </c>
      <c r="BD532" t="inlineStr">
        <is>
          <t>9780838584095</t>
        </is>
      </c>
      <c r="BE532" t="inlineStr">
        <is>
          <t>30001000244246</t>
        </is>
      </c>
      <c r="BF532" t="inlineStr">
        <is>
          <t>893450805</t>
        </is>
      </c>
    </row>
    <row r="533">
      <c r="A533" t="inlineStr">
        <is>
          <t>No</t>
        </is>
      </c>
      <c r="B533" t="inlineStr">
        <is>
          <t>CUHSL</t>
        </is>
      </c>
      <c r="C533" t="inlineStr">
        <is>
          <t>SHELVES</t>
        </is>
      </c>
      <c r="D533" t="inlineStr">
        <is>
          <t>WY 20.5 S438r 1987</t>
        </is>
      </c>
      <c r="E533" t="inlineStr">
        <is>
          <t>0                      WY 0020500S  438r        1987</t>
        </is>
      </c>
      <c r="F533" t="inlineStr">
        <is>
          <t>Research methods : principles, practice, and theory for nursing / Catherine H.C. Seaman.</t>
        </is>
      </c>
      <c r="H533" t="inlineStr">
        <is>
          <t>No</t>
        </is>
      </c>
      <c r="I533" t="inlineStr">
        <is>
          <t>1</t>
        </is>
      </c>
      <c r="J533" t="inlineStr">
        <is>
          <t>No</t>
        </is>
      </c>
      <c r="K533" t="inlineStr">
        <is>
          <t>No</t>
        </is>
      </c>
      <c r="L533" t="inlineStr">
        <is>
          <t>0</t>
        </is>
      </c>
      <c r="M533" t="inlineStr">
        <is>
          <t>Seaman, Catherine H. C.</t>
        </is>
      </c>
      <c r="N533" t="inlineStr">
        <is>
          <t>Norwalk, Conn. : Appleton-Century-Crofts, c1987.</t>
        </is>
      </c>
      <c r="O533" t="inlineStr">
        <is>
          <t>1987</t>
        </is>
      </c>
      <c r="P533" t="inlineStr">
        <is>
          <t>3rd ed.</t>
        </is>
      </c>
      <c r="Q533" t="inlineStr">
        <is>
          <t>eng</t>
        </is>
      </c>
      <c r="R533" t="inlineStr">
        <is>
          <t>xxu</t>
        </is>
      </c>
      <c r="T533" t="inlineStr">
        <is>
          <t xml:space="preserve">WY </t>
        </is>
      </c>
      <c r="U533" t="n">
        <v>5</v>
      </c>
      <c r="V533" t="n">
        <v>5</v>
      </c>
      <c r="W533" t="inlineStr">
        <is>
          <t>1998-11-23</t>
        </is>
      </c>
      <c r="X533" t="inlineStr">
        <is>
          <t>1998-11-23</t>
        </is>
      </c>
      <c r="Y533" t="inlineStr">
        <is>
          <t>1987-10-19</t>
        </is>
      </c>
      <c r="Z533" t="inlineStr">
        <is>
          <t>1987-10-19</t>
        </is>
      </c>
      <c r="AA533" t="n">
        <v>256</v>
      </c>
      <c r="AB533" t="n">
        <v>150</v>
      </c>
      <c r="AC533" t="n">
        <v>155</v>
      </c>
      <c r="AD533" t="n">
        <v>2</v>
      </c>
      <c r="AE533" t="n">
        <v>2</v>
      </c>
      <c r="AF533" t="n">
        <v>6</v>
      </c>
      <c r="AG533" t="n">
        <v>6</v>
      </c>
      <c r="AH533" t="n">
        <v>1</v>
      </c>
      <c r="AI533" t="n">
        <v>1</v>
      </c>
      <c r="AJ533" t="n">
        <v>1</v>
      </c>
      <c r="AK533" t="n">
        <v>1</v>
      </c>
      <c r="AL533" t="n">
        <v>6</v>
      </c>
      <c r="AM533" t="n">
        <v>6</v>
      </c>
      <c r="AN533" t="n">
        <v>0</v>
      </c>
      <c r="AO533" t="n">
        <v>0</v>
      </c>
      <c r="AP533" t="n">
        <v>0</v>
      </c>
      <c r="AQ533" t="n">
        <v>0</v>
      </c>
      <c r="AR533" t="inlineStr">
        <is>
          <t>No</t>
        </is>
      </c>
      <c r="AS533" t="inlineStr">
        <is>
          <t>Yes</t>
        </is>
      </c>
      <c r="AT533">
        <f>HYPERLINK("http://catalog.hathitrust.org/Record/000810757","HathiTrust Record")</f>
        <v/>
      </c>
      <c r="AU533">
        <f>HYPERLINK("https://creighton-primo.hosted.exlibrisgroup.com/primo-explore/search?tab=default_tab&amp;search_scope=EVERYTHING&amp;vid=01CRU&amp;lang=en_US&amp;offset=0&amp;query=any,contains,991000739489702656","Catalog Record")</f>
        <v/>
      </c>
      <c r="AV533">
        <f>HYPERLINK("http://www.worldcat.org/oclc/14818308","WorldCat Record")</f>
        <v/>
      </c>
      <c r="AW533" t="inlineStr">
        <is>
          <t>836692433:eng</t>
        </is>
      </c>
      <c r="AX533" t="inlineStr">
        <is>
          <t>14818308</t>
        </is>
      </c>
      <c r="AY533" t="inlineStr">
        <is>
          <t>991000739489702656</t>
        </is>
      </c>
      <c r="AZ533" t="inlineStr">
        <is>
          <t>991000739489702656</t>
        </is>
      </c>
      <c r="BA533" t="inlineStr">
        <is>
          <t>2259424100002656</t>
        </is>
      </c>
      <c r="BB533" t="inlineStr">
        <is>
          <t>BOOK</t>
        </is>
      </c>
      <c r="BD533" t="inlineStr">
        <is>
          <t>9780838582756</t>
        </is>
      </c>
      <c r="BE533" t="inlineStr">
        <is>
          <t>30001000042996</t>
        </is>
      </c>
      <c r="BF533" t="inlineStr">
        <is>
          <t>893631951</t>
        </is>
      </c>
    </row>
    <row r="534">
      <c r="A534" t="inlineStr">
        <is>
          <t>No</t>
        </is>
      </c>
      <c r="B534" t="inlineStr">
        <is>
          <t>CUHSL</t>
        </is>
      </c>
      <c r="C534" t="inlineStr">
        <is>
          <t>SHELVES</t>
        </is>
      </c>
      <c r="D534" t="inlineStr">
        <is>
          <t>WY 20.5 S724 1984</t>
        </is>
      </c>
      <c r="E534" t="inlineStr">
        <is>
          <t>0                      WY 0020500S  724         1984</t>
        </is>
      </c>
      <c r="F534" t="inlineStr">
        <is>
          <t>A Source book of nursing research.</t>
        </is>
      </c>
      <c r="H534" t="inlineStr">
        <is>
          <t>No</t>
        </is>
      </c>
      <c r="I534" t="inlineStr">
        <is>
          <t>1</t>
        </is>
      </c>
      <c r="J534" t="inlineStr">
        <is>
          <t>No</t>
        </is>
      </c>
      <c r="K534" t="inlineStr">
        <is>
          <t>Yes</t>
        </is>
      </c>
      <c r="L534" t="inlineStr">
        <is>
          <t>0</t>
        </is>
      </c>
      <c r="N534" t="inlineStr">
        <is>
          <t>Philadelphia : Davis, c1984.</t>
        </is>
      </c>
      <c r="O534" t="inlineStr">
        <is>
          <t>1984</t>
        </is>
      </c>
      <c r="P534" t="inlineStr">
        <is>
          <t>Ed. 3 / [compiled by] Florence S. Downs.</t>
        </is>
      </c>
      <c r="Q534" t="inlineStr">
        <is>
          <t>eng</t>
        </is>
      </c>
      <c r="R534" t="inlineStr">
        <is>
          <t>xxu</t>
        </is>
      </c>
      <c r="T534" t="inlineStr">
        <is>
          <t xml:space="preserve">WY </t>
        </is>
      </c>
      <c r="U534" t="n">
        <v>2</v>
      </c>
      <c r="V534" t="n">
        <v>2</v>
      </c>
      <c r="W534" t="inlineStr">
        <is>
          <t>1993-02-05</t>
        </is>
      </c>
      <c r="X534" t="inlineStr">
        <is>
          <t>1993-02-05</t>
        </is>
      </c>
      <c r="Y534" t="inlineStr">
        <is>
          <t>1990-05-31</t>
        </is>
      </c>
      <c r="Z534" t="inlineStr">
        <is>
          <t>1990-05-31</t>
        </is>
      </c>
      <c r="AA534" t="n">
        <v>232</v>
      </c>
      <c r="AB534" t="n">
        <v>192</v>
      </c>
      <c r="AC534" t="n">
        <v>272</v>
      </c>
      <c r="AD534" t="n">
        <v>2</v>
      </c>
      <c r="AE534" t="n">
        <v>4</v>
      </c>
      <c r="AF534" t="n">
        <v>4</v>
      </c>
      <c r="AG534" t="n">
        <v>11</v>
      </c>
      <c r="AH534" t="n">
        <v>2</v>
      </c>
      <c r="AI534" t="n">
        <v>5</v>
      </c>
      <c r="AJ534" t="n">
        <v>0</v>
      </c>
      <c r="AK534" t="n">
        <v>2</v>
      </c>
      <c r="AL534" t="n">
        <v>2</v>
      </c>
      <c r="AM534" t="n">
        <v>4</v>
      </c>
      <c r="AN534" t="n">
        <v>0</v>
      </c>
      <c r="AO534" t="n">
        <v>1</v>
      </c>
      <c r="AP534" t="n">
        <v>0</v>
      </c>
      <c r="AQ534" t="n">
        <v>0</v>
      </c>
      <c r="AR534" t="inlineStr">
        <is>
          <t>No</t>
        </is>
      </c>
      <c r="AS534" t="inlineStr">
        <is>
          <t>Yes</t>
        </is>
      </c>
      <c r="AT534">
        <f>HYPERLINK("http://catalog.hathitrust.org/Record/000282988","HathiTrust Record")</f>
        <v/>
      </c>
      <c r="AU534">
        <f>HYPERLINK("https://creighton-primo.hosted.exlibrisgroup.com/primo-explore/search?tab=default_tab&amp;search_scope=EVERYTHING&amp;vid=01CRU&amp;lang=en_US&amp;offset=0&amp;query=any,contains,991000739389702656","Catalog Record")</f>
        <v/>
      </c>
      <c r="AV534">
        <f>HYPERLINK("http://www.worldcat.org/oclc/9683417","WorldCat Record")</f>
        <v/>
      </c>
      <c r="AW534" t="inlineStr">
        <is>
          <t>1641136:eng</t>
        </is>
      </c>
      <c r="AX534" t="inlineStr">
        <is>
          <t>9683417</t>
        </is>
      </c>
      <c r="AY534" t="inlineStr">
        <is>
          <t>991000739389702656</t>
        </is>
      </c>
      <c r="AZ534" t="inlineStr">
        <is>
          <t>991000739389702656</t>
        </is>
      </c>
      <c r="BA534" t="inlineStr">
        <is>
          <t>2262432000002656</t>
        </is>
      </c>
      <c r="BB534" t="inlineStr">
        <is>
          <t>BOOK</t>
        </is>
      </c>
      <c r="BD534" t="inlineStr">
        <is>
          <t>9780803627925</t>
        </is>
      </c>
      <c r="BE534" t="inlineStr">
        <is>
          <t>30001000042970</t>
        </is>
      </c>
      <c r="BF534" t="inlineStr">
        <is>
          <t>893464600</t>
        </is>
      </c>
    </row>
    <row r="535">
      <c r="A535" t="inlineStr">
        <is>
          <t>No</t>
        </is>
      </c>
      <c r="B535" t="inlineStr">
        <is>
          <t>CUHSL</t>
        </is>
      </c>
      <c r="C535" t="inlineStr">
        <is>
          <t>SHELVES</t>
        </is>
      </c>
      <c r="D535" t="inlineStr">
        <is>
          <t>WY 20.5 S797 1985</t>
        </is>
      </c>
      <c r="E535" t="inlineStr">
        <is>
          <t>0                      WY 0020500S  797         1985</t>
        </is>
      </c>
      <c r="F535" t="inlineStr">
        <is>
          <t>Statistics and quantitative methods in nursing : issues and strategies for research and education / Ivo L. Abraham, Deborah M. Nadzam, Joyce J. Fitzpatrick.</t>
        </is>
      </c>
      <c r="H535" t="inlineStr">
        <is>
          <t>No</t>
        </is>
      </c>
      <c r="I535" t="inlineStr">
        <is>
          <t>1</t>
        </is>
      </c>
      <c r="J535" t="inlineStr">
        <is>
          <t>No</t>
        </is>
      </c>
      <c r="K535" t="inlineStr">
        <is>
          <t>No</t>
        </is>
      </c>
      <c r="L535" t="inlineStr">
        <is>
          <t>0</t>
        </is>
      </c>
      <c r="N535" t="inlineStr">
        <is>
          <t>Philadelphia : Saunders, c1989.</t>
        </is>
      </c>
      <c r="O535" t="inlineStr">
        <is>
          <t>1989</t>
        </is>
      </c>
      <c r="Q535" t="inlineStr">
        <is>
          <t>eng</t>
        </is>
      </c>
      <c r="R535" t="inlineStr">
        <is>
          <t>pau</t>
        </is>
      </c>
      <c r="T535" t="inlineStr">
        <is>
          <t xml:space="preserve">WY </t>
        </is>
      </c>
      <c r="U535" t="n">
        <v>5</v>
      </c>
      <c r="V535" t="n">
        <v>5</v>
      </c>
      <c r="W535" t="inlineStr">
        <is>
          <t>1998-02-13</t>
        </is>
      </c>
      <c r="X535" t="inlineStr">
        <is>
          <t>1998-02-13</t>
        </is>
      </c>
      <c r="Y535" t="inlineStr">
        <is>
          <t>1989-12-07</t>
        </is>
      </c>
      <c r="Z535" t="inlineStr">
        <is>
          <t>1989-12-07</t>
        </is>
      </c>
      <c r="AA535" t="n">
        <v>278</v>
      </c>
      <c r="AB535" t="n">
        <v>214</v>
      </c>
      <c r="AC535" t="n">
        <v>221</v>
      </c>
      <c r="AD535" t="n">
        <v>1</v>
      </c>
      <c r="AE535" t="n">
        <v>1</v>
      </c>
      <c r="AF535" t="n">
        <v>9</v>
      </c>
      <c r="AG535" t="n">
        <v>9</v>
      </c>
      <c r="AH535" t="n">
        <v>2</v>
      </c>
      <c r="AI535" t="n">
        <v>2</v>
      </c>
      <c r="AJ535" t="n">
        <v>3</v>
      </c>
      <c r="AK535" t="n">
        <v>3</v>
      </c>
      <c r="AL535" t="n">
        <v>6</v>
      </c>
      <c r="AM535" t="n">
        <v>6</v>
      </c>
      <c r="AN535" t="n">
        <v>0</v>
      </c>
      <c r="AO535" t="n">
        <v>0</v>
      </c>
      <c r="AP535" t="n">
        <v>0</v>
      </c>
      <c r="AQ535" t="n">
        <v>0</v>
      </c>
      <c r="AR535" t="inlineStr">
        <is>
          <t>No</t>
        </is>
      </c>
      <c r="AS535" t="inlineStr">
        <is>
          <t>Yes</t>
        </is>
      </c>
      <c r="AT535">
        <f>HYPERLINK("http://catalog.hathitrust.org/Record/001550688","HathiTrust Record")</f>
        <v/>
      </c>
      <c r="AU535">
        <f>HYPERLINK("https://creighton-primo.hosted.exlibrisgroup.com/primo-explore/search?tab=default_tab&amp;search_scope=EVERYTHING&amp;vid=01CRU&amp;lang=en_US&amp;offset=0&amp;query=any,contains,991001378879702656","Catalog Record")</f>
        <v/>
      </c>
      <c r="AV535">
        <f>HYPERLINK("http://www.worldcat.org/oclc/19325399","WorldCat Record")</f>
        <v/>
      </c>
      <c r="AW535" t="inlineStr">
        <is>
          <t>431942059:eng</t>
        </is>
      </c>
      <c r="AX535" t="inlineStr">
        <is>
          <t>19325399</t>
        </is>
      </c>
      <c r="AY535" t="inlineStr">
        <is>
          <t>991001378879702656</t>
        </is>
      </c>
      <c r="AZ535" t="inlineStr">
        <is>
          <t>991001378879702656</t>
        </is>
      </c>
      <c r="BA535" t="inlineStr">
        <is>
          <t>2265484110002656</t>
        </is>
      </c>
      <c r="BB535" t="inlineStr">
        <is>
          <t>BOOK</t>
        </is>
      </c>
      <c r="BD535" t="inlineStr">
        <is>
          <t>9780721622248</t>
        </is>
      </c>
      <c r="BE535" t="inlineStr">
        <is>
          <t>30001001798521</t>
        </is>
      </c>
      <c r="BF535" t="inlineStr">
        <is>
          <t>893826691</t>
        </is>
      </c>
    </row>
    <row r="536">
      <c r="A536" t="inlineStr">
        <is>
          <t>No</t>
        </is>
      </c>
      <c r="B536" t="inlineStr">
        <is>
          <t>CUHSL</t>
        </is>
      </c>
      <c r="C536" t="inlineStr">
        <is>
          <t>SHELVES</t>
        </is>
      </c>
      <c r="D536" t="inlineStr">
        <is>
          <t>WY20.5 S876c 2004</t>
        </is>
      </c>
      <c r="E536" t="inlineStr">
        <is>
          <t>0                      WY 0020500S  876c        2004</t>
        </is>
      </c>
      <c r="F536" t="inlineStr">
        <is>
          <t>Clinical research : concepts and principles for advanced practice nurses / Manfred Stommel, Celia E. Wills.</t>
        </is>
      </c>
      <c r="H536" t="inlineStr">
        <is>
          <t>No</t>
        </is>
      </c>
      <c r="I536" t="inlineStr">
        <is>
          <t>1</t>
        </is>
      </c>
      <c r="J536" t="inlineStr">
        <is>
          <t>No</t>
        </is>
      </c>
      <c r="K536" t="inlineStr">
        <is>
          <t>No</t>
        </is>
      </c>
      <c r="L536" t="inlineStr">
        <is>
          <t>0</t>
        </is>
      </c>
      <c r="M536" t="inlineStr">
        <is>
          <t>Stommel, Manfred.</t>
        </is>
      </c>
      <c r="N536" t="inlineStr">
        <is>
          <t>Philadelphia : Lippincott Williams &amp; Wilkins, c2004.</t>
        </is>
      </c>
      <c r="O536" t="inlineStr">
        <is>
          <t>2004</t>
        </is>
      </c>
      <c r="Q536" t="inlineStr">
        <is>
          <t>eng</t>
        </is>
      </c>
      <c r="R536" t="inlineStr">
        <is>
          <t>pau</t>
        </is>
      </c>
      <c r="T536" t="inlineStr">
        <is>
          <t xml:space="preserve">WY </t>
        </is>
      </c>
      <c r="U536" t="n">
        <v>4</v>
      </c>
      <c r="V536" t="n">
        <v>4</v>
      </c>
      <c r="W536" t="inlineStr">
        <is>
          <t>2007-05-23</t>
        </is>
      </c>
      <c r="X536" t="inlineStr">
        <is>
          <t>2007-05-23</t>
        </is>
      </c>
      <c r="Y536" t="inlineStr">
        <is>
          <t>2004-02-24</t>
        </is>
      </c>
      <c r="Z536" t="inlineStr">
        <is>
          <t>2004-02-24</t>
        </is>
      </c>
      <c r="AA536" t="n">
        <v>307</v>
      </c>
      <c r="AB536" t="n">
        <v>220</v>
      </c>
      <c r="AC536" t="n">
        <v>220</v>
      </c>
      <c r="AD536" t="n">
        <v>1</v>
      </c>
      <c r="AE536" t="n">
        <v>1</v>
      </c>
      <c r="AF536" t="n">
        <v>10</v>
      </c>
      <c r="AG536" t="n">
        <v>10</v>
      </c>
      <c r="AH536" t="n">
        <v>4</v>
      </c>
      <c r="AI536" t="n">
        <v>4</v>
      </c>
      <c r="AJ536" t="n">
        <v>0</v>
      </c>
      <c r="AK536" t="n">
        <v>0</v>
      </c>
      <c r="AL536" t="n">
        <v>7</v>
      </c>
      <c r="AM536" t="n">
        <v>7</v>
      </c>
      <c r="AN536" t="n">
        <v>0</v>
      </c>
      <c r="AO536" t="n">
        <v>0</v>
      </c>
      <c r="AP536" t="n">
        <v>0</v>
      </c>
      <c r="AQ536" t="n">
        <v>0</v>
      </c>
      <c r="AR536" t="inlineStr">
        <is>
          <t>No</t>
        </is>
      </c>
      <c r="AS536" t="inlineStr">
        <is>
          <t>No</t>
        </is>
      </c>
      <c r="AU536">
        <f>HYPERLINK("https://creighton-primo.hosted.exlibrisgroup.com/primo-explore/search?tab=default_tab&amp;search_scope=EVERYTHING&amp;vid=01CRU&amp;lang=en_US&amp;offset=0&amp;query=any,contains,991000366489702656","Catalog Record")</f>
        <v/>
      </c>
      <c r="AV536">
        <f>HYPERLINK("http://www.worldcat.org/oclc/52041429","WorldCat Record")</f>
        <v/>
      </c>
      <c r="AW536" t="inlineStr">
        <is>
          <t>766503:eng</t>
        </is>
      </c>
      <c r="AX536" t="inlineStr">
        <is>
          <t>52041429</t>
        </is>
      </c>
      <c r="AY536" t="inlineStr">
        <is>
          <t>991000366489702656</t>
        </is>
      </c>
      <c r="AZ536" t="inlineStr">
        <is>
          <t>991000366489702656</t>
        </is>
      </c>
      <c r="BA536" t="inlineStr">
        <is>
          <t>2258841820002656</t>
        </is>
      </c>
      <c r="BB536" t="inlineStr">
        <is>
          <t>BOOK</t>
        </is>
      </c>
      <c r="BD536" t="inlineStr">
        <is>
          <t>9780781735186</t>
        </is>
      </c>
      <c r="BE536" t="inlineStr">
        <is>
          <t>30001004509354</t>
        </is>
      </c>
      <c r="BF536" t="inlineStr">
        <is>
          <t>893365369</t>
        </is>
      </c>
    </row>
    <row r="537">
      <c r="A537" t="inlineStr">
        <is>
          <t>No</t>
        </is>
      </c>
      <c r="B537" t="inlineStr">
        <is>
          <t>CUHSL</t>
        </is>
      </c>
      <c r="C537" t="inlineStr">
        <is>
          <t>SHELVES</t>
        </is>
      </c>
      <c r="D537" t="inlineStr">
        <is>
          <t>WY20.5 S915q 2003</t>
        </is>
      </c>
      <c r="E537" t="inlineStr">
        <is>
          <t>0                      WY 0020500S  915q        2003</t>
        </is>
      </c>
      <c r="F537" t="inlineStr">
        <is>
          <t>Qualitative research in nursing : advancing the humanistic imperative / Helen J. Streubert Speziale, Dona R. Carpenter.</t>
        </is>
      </c>
      <c r="H537" t="inlineStr">
        <is>
          <t>No</t>
        </is>
      </c>
      <c r="I537" t="inlineStr">
        <is>
          <t>1</t>
        </is>
      </c>
      <c r="J537" t="inlineStr">
        <is>
          <t>No</t>
        </is>
      </c>
      <c r="K537" t="inlineStr">
        <is>
          <t>Yes</t>
        </is>
      </c>
      <c r="L537" t="inlineStr">
        <is>
          <t>0</t>
        </is>
      </c>
      <c r="M537" t="inlineStr">
        <is>
          <t>Speziale, Helen Streubert.</t>
        </is>
      </c>
      <c r="N537" t="inlineStr">
        <is>
          <t>Philadelphia, PA : Lippincott Williams &amp; Wilkins, c2003.</t>
        </is>
      </c>
      <c r="O537" t="inlineStr">
        <is>
          <t>2003</t>
        </is>
      </c>
      <c r="P537" t="inlineStr">
        <is>
          <t>3rd ed.</t>
        </is>
      </c>
      <c r="Q537" t="inlineStr">
        <is>
          <t>eng</t>
        </is>
      </c>
      <c r="R537" t="inlineStr">
        <is>
          <t>pau</t>
        </is>
      </c>
      <c r="T537" t="inlineStr">
        <is>
          <t xml:space="preserve">WY </t>
        </is>
      </c>
      <c r="U537" t="n">
        <v>1</v>
      </c>
      <c r="V537" t="n">
        <v>1</v>
      </c>
      <c r="W537" t="inlineStr">
        <is>
          <t>2009-10-01</t>
        </is>
      </c>
      <c r="X537" t="inlineStr">
        <is>
          <t>2009-10-01</t>
        </is>
      </c>
      <c r="Y537" t="inlineStr">
        <is>
          <t>2003-06-10</t>
        </is>
      </c>
      <c r="Z537" t="inlineStr">
        <is>
          <t>2003-06-10</t>
        </is>
      </c>
      <c r="AA537" t="n">
        <v>340</v>
      </c>
      <c r="AB537" t="n">
        <v>214</v>
      </c>
      <c r="AC537" t="n">
        <v>632</v>
      </c>
      <c r="AD537" t="n">
        <v>3</v>
      </c>
      <c r="AE537" t="n">
        <v>3</v>
      </c>
      <c r="AF537" t="n">
        <v>9</v>
      </c>
      <c r="AG537" t="n">
        <v>27</v>
      </c>
      <c r="AH537" t="n">
        <v>4</v>
      </c>
      <c r="AI537" t="n">
        <v>9</v>
      </c>
      <c r="AJ537" t="n">
        <v>0</v>
      </c>
      <c r="AK537" t="n">
        <v>6</v>
      </c>
      <c r="AL537" t="n">
        <v>5</v>
      </c>
      <c r="AM537" t="n">
        <v>14</v>
      </c>
      <c r="AN537" t="n">
        <v>2</v>
      </c>
      <c r="AO537" t="n">
        <v>2</v>
      </c>
      <c r="AP537" t="n">
        <v>0</v>
      </c>
      <c r="AQ537" t="n">
        <v>0</v>
      </c>
      <c r="AR537" t="inlineStr">
        <is>
          <t>No</t>
        </is>
      </c>
      <c r="AS537" t="inlineStr">
        <is>
          <t>No</t>
        </is>
      </c>
      <c r="AU537">
        <f>HYPERLINK("https://creighton-primo.hosted.exlibrisgroup.com/primo-explore/search?tab=default_tab&amp;search_scope=EVERYTHING&amp;vid=01CRU&amp;lang=en_US&amp;offset=0&amp;query=any,contains,991000349649702656","Catalog Record")</f>
        <v/>
      </c>
      <c r="AV537">
        <f>HYPERLINK("http://www.worldcat.org/oclc/49679624","WorldCat Record")</f>
        <v/>
      </c>
      <c r="AW537" t="inlineStr">
        <is>
          <t>1049779:eng</t>
        </is>
      </c>
      <c r="AX537" t="inlineStr">
        <is>
          <t>49679624</t>
        </is>
      </c>
      <c r="AY537" t="inlineStr">
        <is>
          <t>991000349649702656</t>
        </is>
      </c>
      <c r="AZ537" t="inlineStr">
        <is>
          <t>991000349649702656</t>
        </is>
      </c>
      <c r="BA537" t="inlineStr">
        <is>
          <t>2264218520002656</t>
        </is>
      </c>
      <c r="BB537" t="inlineStr">
        <is>
          <t>BOOK</t>
        </is>
      </c>
      <c r="BD537" t="inlineStr">
        <is>
          <t>9780781734837</t>
        </is>
      </c>
      <c r="BE537" t="inlineStr">
        <is>
          <t>30001004501351</t>
        </is>
      </c>
      <c r="BF537" t="inlineStr">
        <is>
          <t>893737252</t>
        </is>
      </c>
    </row>
    <row r="538">
      <c r="A538" t="inlineStr">
        <is>
          <t>No</t>
        </is>
      </c>
      <c r="B538" t="inlineStr">
        <is>
          <t>CUHSL</t>
        </is>
      </c>
      <c r="C538" t="inlineStr">
        <is>
          <t>SHELVES</t>
        </is>
      </c>
      <c r="D538" t="inlineStr">
        <is>
          <t>WY 20.5 T441 1967</t>
        </is>
      </c>
      <c r="E538" t="inlineStr">
        <is>
          <t>0                      WY 0020500T  441         1967</t>
        </is>
      </c>
      <c r="F538" t="inlineStr">
        <is>
          <t>Guidelines for research in clinical nursing / Lorna W. Thigpen.</t>
        </is>
      </c>
      <c r="H538" t="inlineStr">
        <is>
          <t>No</t>
        </is>
      </c>
      <c r="I538" t="inlineStr">
        <is>
          <t>1</t>
        </is>
      </c>
      <c r="J538" t="inlineStr">
        <is>
          <t>No</t>
        </is>
      </c>
      <c r="K538" t="inlineStr">
        <is>
          <t>No</t>
        </is>
      </c>
      <c r="L538" t="inlineStr">
        <is>
          <t>0</t>
        </is>
      </c>
      <c r="M538" t="inlineStr">
        <is>
          <t>Thigpen, Lorna Woodward, 1904-</t>
        </is>
      </c>
      <c r="N538" t="inlineStr">
        <is>
          <t>New York : National League for Nursing, Division of Nursing Education, 1967.</t>
        </is>
      </c>
      <c r="O538" t="inlineStr">
        <is>
          <t>1967</t>
        </is>
      </c>
      <c r="Q538" t="inlineStr">
        <is>
          <t>eng</t>
        </is>
      </c>
      <c r="R538" t="inlineStr">
        <is>
          <t>nyu</t>
        </is>
      </c>
      <c r="S538" t="inlineStr">
        <is>
          <t>League exchange, no. 81</t>
        </is>
      </c>
      <c r="T538" t="inlineStr">
        <is>
          <t xml:space="preserve">WY </t>
        </is>
      </c>
      <c r="U538" t="n">
        <v>3</v>
      </c>
      <c r="V538" t="n">
        <v>3</v>
      </c>
      <c r="W538" t="inlineStr">
        <is>
          <t>1990-04-30</t>
        </is>
      </c>
      <c r="X538" t="inlineStr">
        <is>
          <t>1990-04-30</t>
        </is>
      </c>
      <c r="Y538" t="inlineStr">
        <is>
          <t>1987-10-14</t>
        </is>
      </c>
      <c r="Z538" t="inlineStr">
        <is>
          <t>1987-10-14</t>
        </is>
      </c>
      <c r="AA538" t="n">
        <v>52</v>
      </c>
      <c r="AB538" t="n">
        <v>48</v>
      </c>
      <c r="AC538" t="n">
        <v>48</v>
      </c>
      <c r="AD538" t="n">
        <v>1</v>
      </c>
      <c r="AE538" t="n">
        <v>1</v>
      </c>
      <c r="AF538" t="n">
        <v>1</v>
      </c>
      <c r="AG538" t="n">
        <v>1</v>
      </c>
      <c r="AH538" t="n">
        <v>0</v>
      </c>
      <c r="AI538" t="n">
        <v>0</v>
      </c>
      <c r="AJ538" t="n">
        <v>0</v>
      </c>
      <c r="AK538" t="n">
        <v>0</v>
      </c>
      <c r="AL538" t="n">
        <v>1</v>
      </c>
      <c r="AM538" t="n">
        <v>1</v>
      </c>
      <c r="AN538" t="n">
        <v>0</v>
      </c>
      <c r="AO538" t="n">
        <v>0</v>
      </c>
      <c r="AP538" t="n">
        <v>0</v>
      </c>
      <c r="AQ538" t="n">
        <v>0</v>
      </c>
      <c r="AR538" t="inlineStr">
        <is>
          <t>No</t>
        </is>
      </c>
      <c r="AS538" t="inlineStr">
        <is>
          <t>No</t>
        </is>
      </c>
      <c r="AU538">
        <f>HYPERLINK("https://creighton-primo.hosted.exlibrisgroup.com/primo-explore/search?tab=default_tab&amp;search_scope=EVERYTHING&amp;vid=01CRU&amp;lang=en_US&amp;offset=0&amp;query=any,contains,991001362549702656","Catalog Record")</f>
        <v/>
      </c>
      <c r="AV538">
        <f>HYPERLINK("http://www.worldcat.org/oclc/1268967","WorldCat Record")</f>
        <v/>
      </c>
      <c r="AW538" t="inlineStr">
        <is>
          <t>1780540483:eng</t>
        </is>
      </c>
      <c r="AX538" t="inlineStr">
        <is>
          <t>1268967</t>
        </is>
      </c>
      <c r="AY538" t="inlineStr">
        <is>
          <t>991001362549702656</t>
        </is>
      </c>
      <c r="AZ538" t="inlineStr">
        <is>
          <t>991001362549702656</t>
        </is>
      </c>
      <c r="BA538" t="inlineStr">
        <is>
          <t>2260202800002656</t>
        </is>
      </c>
      <c r="BB538" t="inlineStr">
        <is>
          <t>BOOK</t>
        </is>
      </c>
      <c r="BE538" t="inlineStr">
        <is>
          <t>30001000460966</t>
        </is>
      </c>
      <c r="BF538" t="inlineStr">
        <is>
          <t>893546627</t>
        </is>
      </c>
    </row>
    <row r="539">
      <c r="A539" t="inlineStr">
        <is>
          <t>No</t>
        </is>
      </c>
      <c r="B539" t="inlineStr">
        <is>
          <t>CUHSL</t>
        </is>
      </c>
      <c r="C539" t="inlineStr">
        <is>
          <t>SHELVES</t>
        </is>
      </c>
      <c r="D539" t="inlineStr">
        <is>
          <t>WY 20.5 U85 1983</t>
        </is>
      </c>
      <c r="E539" t="inlineStr">
        <is>
          <t>0                      WY 0020500U  85          1983</t>
        </is>
      </c>
      <c r="F539" t="inlineStr">
        <is>
          <t>Using research to improve nursing practice, a guide / CURN Project ; principal investigator, Jo Anne Horsley ; the manuscript for this book was prepared by Jo Anne Horsley ... [et al.].</t>
        </is>
      </c>
      <c r="H539" t="inlineStr">
        <is>
          <t>No</t>
        </is>
      </c>
      <c r="I539" t="inlineStr">
        <is>
          <t>1</t>
        </is>
      </c>
      <c r="J539" t="inlineStr">
        <is>
          <t>No</t>
        </is>
      </c>
      <c r="K539" t="inlineStr">
        <is>
          <t>No</t>
        </is>
      </c>
      <c r="L539" t="inlineStr">
        <is>
          <t>0</t>
        </is>
      </c>
      <c r="N539" t="inlineStr">
        <is>
          <t>New York : Grune &amp; Stratton, c1983.</t>
        </is>
      </c>
      <c r="O539" t="inlineStr">
        <is>
          <t>1983</t>
        </is>
      </c>
      <c r="Q539" t="inlineStr">
        <is>
          <t>eng</t>
        </is>
      </c>
      <c r="R539" t="inlineStr">
        <is>
          <t>nyu</t>
        </is>
      </c>
      <c r="S539" t="inlineStr">
        <is>
          <t>Using research to improve nursing practice</t>
        </is>
      </c>
      <c r="T539" t="inlineStr">
        <is>
          <t xml:space="preserve">WY </t>
        </is>
      </c>
      <c r="U539" t="n">
        <v>30</v>
      </c>
      <c r="V539" t="n">
        <v>30</v>
      </c>
      <c r="W539" t="inlineStr">
        <is>
          <t>2000-08-25</t>
        </is>
      </c>
      <c r="X539" t="inlineStr">
        <is>
          <t>2000-08-25</t>
        </is>
      </c>
      <c r="Y539" t="inlineStr">
        <is>
          <t>1991-11-25</t>
        </is>
      </c>
      <c r="Z539" t="inlineStr">
        <is>
          <t>1991-11-25</t>
        </is>
      </c>
      <c r="AA539" t="n">
        <v>213</v>
      </c>
      <c r="AB539" t="n">
        <v>160</v>
      </c>
      <c r="AC539" t="n">
        <v>165</v>
      </c>
      <c r="AD539" t="n">
        <v>1</v>
      </c>
      <c r="AE539" t="n">
        <v>1</v>
      </c>
      <c r="AF539" t="n">
        <v>3</v>
      </c>
      <c r="AG539" t="n">
        <v>3</v>
      </c>
      <c r="AH539" t="n">
        <v>1</v>
      </c>
      <c r="AI539" t="n">
        <v>1</v>
      </c>
      <c r="AJ539" t="n">
        <v>0</v>
      </c>
      <c r="AK539" t="n">
        <v>0</v>
      </c>
      <c r="AL539" t="n">
        <v>2</v>
      </c>
      <c r="AM539" t="n">
        <v>2</v>
      </c>
      <c r="AN539" t="n">
        <v>0</v>
      </c>
      <c r="AO539" t="n">
        <v>0</v>
      </c>
      <c r="AP539" t="n">
        <v>0</v>
      </c>
      <c r="AQ539" t="n">
        <v>0</v>
      </c>
      <c r="AR539" t="inlineStr">
        <is>
          <t>No</t>
        </is>
      </c>
      <c r="AS539" t="inlineStr">
        <is>
          <t>Yes</t>
        </is>
      </c>
      <c r="AT539">
        <f>HYPERLINK("http://catalog.hathitrust.org/Record/004413616","HathiTrust Record")</f>
        <v/>
      </c>
      <c r="AU539">
        <f>HYPERLINK("https://creighton-primo.hosted.exlibrisgroup.com/primo-explore/search?tab=default_tab&amp;search_scope=EVERYTHING&amp;vid=01CRU&amp;lang=en_US&amp;offset=0&amp;query=any,contains,991001181979702656","Catalog Record")</f>
        <v/>
      </c>
      <c r="AV539">
        <f>HYPERLINK("http://www.worldcat.org/oclc/8785972","WorldCat Record")</f>
        <v/>
      </c>
      <c r="AW539" t="inlineStr">
        <is>
          <t>375444752:eng</t>
        </is>
      </c>
      <c r="AX539" t="inlineStr">
        <is>
          <t>8785972</t>
        </is>
      </c>
      <c r="AY539" t="inlineStr">
        <is>
          <t>991001181979702656</t>
        </is>
      </c>
      <c r="AZ539" t="inlineStr">
        <is>
          <t>991001181979702656</t>
        </is>
      </c>
      <c r="BA539" t="inlineStr">
        <is>
          <t>2266775070002656</t>
        </is>
      </c>
      <c r="BB539" t="inlineStr">
        <is>
          <t>BOOK</t>
        </is>
      </c>
      <c r="BD539" t="inlineStr">
        <is>
          <t>9780808915102</t>
        </is>
      </c>
      <c r="BE539" t="inlineStr">
        <is>
          <t>30001002313155</t>
        </is>
      </c>
      <c r="BF539" t="inlineStr">
        <is>
          <t>893552207</t>
        </is>
      </c>
    </row>
    <row r="540">
      <c r="A540" t="inlineStr">
        <is>
          <t>No</t>
        </is>
      </c>
      <c r="B540" t="inlineStr">
        <is>
          <t>CUHSL</t>
        </is>
      </c>
      <c r="C540" t="inlineStr">
        <is>
          <t>SHELVES</t>
        </is>
      </c>
      <c r="D540" t="inlineStr">
        <is>
          <t>WY 20.5 U85t 1989</t>
        </is>
      </c>
      <c r="E540" t="inlineStr">
        <is>
          <t>0                      WY 0020500U  85t         1989</t>
        </is>
      </c>
      <c r="F540" t="inlineStr">
        <is>
          <t>Using nursing research / editors : Christine A. Tanner, Carol A. Lindeman.</t>
        </is>
      </c>
      <c r="H540" t="inlineStr">
        <is>
          <t>No</t>
        </is>
      </c>
      <c r="I540" t="inlineStr">
        <is>
          <t>1</t>
        </is>
      </c>
      <c r="J540" t="inlineStr">
        <is>
          <t>No</t>
        </is>
      </c>
      <c r="K540" t="inlineStr">
        <is>
          <t>No</t>
        </is>
      </c>
      <c r="L540" t="inlineStr">
        <is>
          <t>0</t>
        </is>
      </c>
      <c r="N540" t="inlineStr">
        <is>
          <t>New York : National League for Nursing, c1989.</t>
        </is>
      </c>
      <c r="O540" t="inlineStr">
        <is>
          <t>1989</t>
        </is>
      </c>
      <c r="Q540" t="inlineStr">
        <is>
          <t>eng</t>
        </is>
      </c>
      <c r="R540" t="inlineStr">
        <is>
          <t>nyu</t>
        </is>
      </c>
      <c r="S540" t="inlineStr">
        <is>
          <t>NLN pub. no. 15-2232</t>
        </is>
      </c>
      <c r="T540" t="inlineStr">
        <is>
          <t xml:space="preserve">WY </t>
        </is>
      </c>
      <c r="U540" t="n">
        <v>26</v>
      </c>
      <c r="V540" t="n">
        <v>26</v>
      </c>
      <c r="W540" t="inlineStr">
        <is>
          <t>1994-11-08</t>
        </is>
      </c>
      <c r="X540" t="inlineStr">
        <is>
          <t>1994-11-08</t>
        </is>
      </c>
      <c r="Y540" t="inlineStr">
        <is>
          <t>1989-08-21</t>
        </is>
      </c>
      <c r="Z540" t="inlineStr">
        <is>
          <t>1989-08-21</t>
        </is>
      </c>
      <c r="AA540" t="n">
        <v>255</v>
      </c>
      <c r="AB540" t="n">
        <v>213</v>
      </c>
      <c r="AC540" t="n">
        <v>220</v>
      </c>
      <c r="AD540" t="n">
        <v>2</v>
      </c>
      <c r="AE540" t="n">
        <v>2</v>
      </c>
      <c r="AF540" t="n">
        <v>14</v>
      </c>
      <c r="AG540" t="n">
        <v>14</v>
      </c>
      <c r="AH540" t="n">
        <v>5</v>
      </c>
      <c r="AI540" t="n">
        <v>5</v>
      </c>
      <c r="AJ540" t="n">
        <v>4</v>
      </c>
      <c r="AK540" t="n">
        <v>4</v>
      </c>
      <c r="AL540" t="n">
        <v>7</v>
      </c>
      <c r="AM540" t="n">
        <v>7</v>
      </c>
      <c r="AN540" t="n">
        <v>0</v>
      </c>
      <c r="AO540" t="n">
        <v>0</v>
      </c>
      <c r="AP540" t="n">
        <v>0</v>
      </c>
      <c r="AQ540" t="n">
        <v>0</v>
      </c>
      <c r="AR540" t="inlineStr">
        <is>
          <t>No</t>
        </is>
      </c>
      <c r="AS540" t="inlineStr">
        <is>
          <t>Yes</t>
        </is>
      </c>
      <c r="AT540">
        <f>HYPERLINK("http://catalog.hathitrust.org/Record/002506883","HathiTrust Record")</f>
        <v/>
      </c>
      <c r="AU540">
        <f>HYPERLINK("https://creighton-primo.hosted.exlibrisgroup.com/primo-explore/search?tab=default_tab&amp;search_scope=EVERYTHING&amp;vid=01CRU&amp;lang=en_US&amp;offset=0&amp;query=any,contains,991001313619702656","Catalog Record")</f>
        <v/>
      </c>
      <c r="AV540">
        <f>HYPERLINK("http://www.worldcat.org/oclc/22547127","WorldCat Record")</f>
        <v/>
      </c>
      <c r="AW540" t="inlineStr">
        <is>
          <t>426748864:eng</t>
        </is>
      </c>
      <c r="AX540" t="inlineStr">
        <is>
          <t>22547127</t>
        </is>
      </c>
      <c r="AY540" t="inlineStr">
        <is>
          <t>991001313619702656</t>
        </is>
      </c>
      <c r="AZ540" t="inlineStr">
        <is>
          <t>991001313619702656</t>
        </is>
      </c>
      <c r="BA540" t="inlineStr">
        <is>
          <t>2265310430002656</t>
        </is>
      </c>
      <c r="BB540" t="inlineStr">
        <is>
          <t>BOOK</t>
        </is>
      </c>
      <c r="BD540" t="inlineStr">
        <is>
          <t>9780887374142</t>
        </is>
      </c>
      <c r="BE540" t="inlineStr">
        <is>
          <t>30001001751934</t>
        </is>
      </c>
      <c r="BF540" t="inlineStr">
        <is>
          <t>893369313</t>
        </is>
      </c>
    </row>
    <row r="541">
      <c r="A541" t="inlineStr">
        <is>
          <t>No</t>
        </is>
      </c>
      <c r="B541" t="inlineStr">
        <is>
          <t>CUHSL</t>
        </is>
      </c>
      <c r="C541" t="inlineStr">
        <is>
          <t>SHELVES</t>
        </is>
      </c>
      <c r="D541" t="inlineStr">
        <is>
          <t>WY 20.5 V915m 1984</t>
        </is>
      </c>
      <c r="E541" t="inlineStr">
        <is>
          <t>0                      WY 0020500V  915m        1984</t>
        </is>
      </c>
      <c r="F541" t="inlineStr">
        <is>
          <t>Multivariate statistics for nursing research / Beverly J. Volicer.</t>
        </is>
      </c>
      <c r="H541" t="inlineStr">
        <is>
          <t>No</t>
        </is>
      </c>
      <c r="I541" t="inlineStr">
        <is>
          <t>1</t>
        </is>
      </c>
      <c r="J541" t="inlineStr">
        <is>
          <t>No</t>
        </is>
      </c>
      <c r="K541" t="inlineStr">
        <is>
          <t>No</t>
        </is>
      </c>
      <c r="L541" t="inlineStr">
        <is>
          <t>0</t>
        </is>
      </c>
      <c r="M541" t="inlineStr">
        <is>
          <t>Volicer, Beverly J.</t>
        </is>
      </c>
      <c r="N541" t="inlineStr">
        <is>
          <t>Orlando : Grune &amp; Stratton, c1984.</t>
        </is>
      </c>
      <c r="O541" t="inlineStr">
        <is>
          <t>1984</t>
        </is>
      </c>
      <c r="Q541" t="inlineStr">
        <is>
          <t>eng</t>
        </is>
      </c>
      <c r="R541" t="inlineStr">
        <is>
          <t>xxu</t>
        </is>
      </c>
      <c r="T541" t="inlineStr">
        <is>
          <t xml:space="preserve">WY </t>
        </is>
      </c>
      <c r="U541" t="n">
        <v>23</v>
      </c>
      <c r="V541" t="n">
        <v>23</v>
      </c>
      <c r="W541" t="inlineStr">
        <is>
          <t>2005-10-28</t>
        </is>
      </c>
      <c r="X541" t="inlineStr">
        <is>
          <t>2005-10-28</t>
        </is>
      </c>
      <c r="Y541" t="inlineStr">
        <is>
          <t>1987-12-28</t>
        </is>
      </c>
      <c r="Z541" t="inlineStr">
        <is>
          <t>1987-12-28</t>
        </is>
      </c>
      <c r="AA541" t="n">
        <v>219</v>
      </c>
      <c r="AB541" t="n">
        <v>185</v>
      </c>
      <c r="AC541" t="n">
        <v>192</v>
      </c>
      <c r="AD541" t="n">
        <v>1</v>
      </c>
      <c r="AE541" t="n">
        <v>1</v>
      </c>
      <c r="AF541" t="n">
        <v>7</v>
      </c>
      <c r="AG541" t="n">
        <v>7</v>
      </c>
      <c r="AH541" t="n">
        <v>1</v>
      </c>
      <c r="AI541" t="n">
        <v>1</v>
      </c>
      <c r="AJ541" t="n">
        <v>3</v>
      </c>
      <c r="AK541" t="n">
        <v>3</v>
      </c>
      <c r="AL541" t="n">
        <v>4</v>
      </c>
      <c r="AM541" t="n">
        <v>4</v>
      </c>
      <c r="AN541" t="n">
        <v>0</v>
      </c>
      <c r="AO541" t="n">
        <v>0</v>
      </c>
      <c r="AP541" t="n">
        <v>0</v>
      </c>
      <c r="AQ541" t="n">
        <v>0</v>
      </c>
      <c r="AR541" t="inlineStr">
        <is>
          <t>No</t>
        </is>
      </c>
      <c r="AS541" t="inlineStr">
        <is>
          <t>Yes</t>
        </is>
      </c>
      <c r="AT541">
        <f>HYPERLINK("http://catalog.hathitrust.org/Record/000209834","HathiTrust Record")</f>
        <v/>
      </c>
      <c r="AU541">
        <f>HYPERLINK("https://creighton-primo.hosted.exlibrisgroup.com/primo-explore/search?tab=default_tab&amp;search_scope=EVERYTHING&amp;vid=01CRU&amp;lang=en_US&amp;offset=0&amp;query=any,contains,991001044489702656","Catalog Record")</f>
        <v/>
      </c>
      <c r="AV541">
        <f>HYPERLINK("http://www.worldcat.org/oclc/10299788","WorldCat Record")</f>
        <v/>
      </c>
      <c r="AW541" t="inlineStr">
        <is>
          <t>3805267:eng</t>
        </is>
      </c>
      <c r="AX541" t="inlineStr">
        <is>
          <t>10299788</t>
        </is>
      </c>
      <c r="AY541" t="inlineStr">
        <is>
          <t>991001044489702656</t>
        </is>
      </c>
      <c r="AZ541" t="inlineStr">
        <is>
          <t>991001044489702656</t>
        </is>
      </c>
      <c r="BA541" t="inlineStr">
        <is>
          <t>2269033890002656</t>
        </is>
      </c>
      <c r="BB541" t="inlineStr">
        <is>
          <t>BOOK</t>
        </is>
      </c>
      <c r="BD541" t="inlineStr">
        <is>
          <t>9780808916390</t>
        </is>
      </c>
      <c r="BE541" t="inlineStr">
        <is>
          <t>30001000243537</t>
        </is>
      </c>
      <c r="BF541" t="inlineStr">
        <is>
          <t>893284344</t>
        </is>
      </c>
    </row>
    <row r="542">
      <c r="A542" t="inlineStr">
        <is>
          <t>No</t>
        </is>
      </c>
      <c r="B542" t="inlineStr">
        <is>
          <t>CUHSL</t>
        </is>
      </c>
      <c r="C542" t="inlineStr">
        <is>
          <t>SHELVES</t>
        </is>
      </c>
      <c r="D542" t="inlineStr">
        <is>
          <t>WY 20.5 W241n 1981</t>
        </is>
      </c>
      <c r="E542" t="inlineStr">
        <is>
          <t>0                      WY 0020500W  241n        1981</t>
        </is>
      </c>
      <c r="F542" t="inlineStr">
        <is>
          <t>Nursing research : design, statistics, and computer analysis / Carolyn Feher Waltz, R. Barker Bausell.</t>
        </is>
      </c>
      <c r="H542" t="inlineStr">
        <is>
          <t>No</t>
        </is>
      </c>
      <c r="I542" t="inlineStr">
        <is>
          <t>1</t>
        </is>
      </c>
      <c r="J542" t="inlineStr">
        <is>
          <t>No</t>
        </is>
      </c>
      <c r="K542" t="inlineStr">
        <is>
          <t>No</t>
        </is>
      </c>
      <c r="L542" t="inlineStr">
        <is>
          <t>0</t>
        </is>
      </c>
      <c r="M542" t="inlineStr">
        <is>
          <t>Waltz, Carolyn Feher.</t>
        </is>
      </c>
      <c r="N542" t="inlineStr">
        <is>
          <t>Philadelphia : Davis, c1981.</t>
        </is>
      </c>
      <c r="O542" t="inlineStr">
        <is>
          <t>1981</t>
        </is>
      </c>
      <c r="Q542" t="inlineStr">
        <is>
          <t>eng</t>
        </is>
      </c>
      <c r="R542" t="inlineStr">
        <is>
          <t>xxu</t>
        </is>
      </c>
      <c r="T542" t="inlineStr">
        <is>
          <t xml:space="preserve">WY </t>
        </is>
      </c>
      <c r="U542" t="n">
        <v>20</v>
      </c>
      <c r="V542" t="n">
        <v>20</v>
      </c>
      <c r="W542" t="inlineStr">
        <is>
          <t>1998-11-30</t>
        </is>
      </c>
      <c r="X542" t="inlineStr">
        <is>
          <t>1998-11-30</t>
        </is>
      </c>
      <c r="Y542" t="inlineStr">
        <is>
          <t>1987-10-19</t>
        </is>
      </c>
      <c r="Z542" t="inlineStr">
        <is>
          <t>1987-10-19</t>
        </is>
      </c>
      <c r="AA542" t="n">
        <v>243</v>
      </c>
      <c r="AB542" t="n">
        <v>194</v>
      </c>
      <c r="AC542" t="n">
        <v>196</v>
      </c>
      <c r="AD542" t="n">
        <v>2</v>
      </c>
      <c r="AE542" t="n">
        <v>2</v>
      </c>
      <c r="AF542" t="n">
        <v>9</v>
      </c>
      <c r="AG542" t="n">
        <v>9</v>
      </c>
      <c r="AH542" t="n">
        <v>3</v>
      </c>
      <c r="AI542" t="n">
        <v>3</v>
      </c>
      <c r="AJ542" t="n">
        <v>2</v>
      </c>
      <c r="AK542" t="n">
        <v>2</v>
      </c>
      <c r="AL542" t="n">
        <v>4</v>
      </c>
      <c r="AM542" t="n">
        <v>4</v>
      </c>
      <c r="AN542" t="n">
        <v>1</v>
      </c>
      <c r="AO542" t="n">
        <v>1</v>
      </c>
      <c r="AP542" t="n">
        <v>0</v>
      </c>
      <c r="AQ542" t="n">
        <v>0</v>
      </c>
      <c r="AR542" t="inlineStr">
        <is>
          <t>No</t>
        </is>
      </c>
      <c r="AS542" t="inlineStr">
        <is>
          <t>Yes</t>
        </is>
      </c>
      <c r="AT542">
        <f>HYPERLINK("http://catalog.hathitrust.org/Record/000099265","HathiTrust Record")</f>
        <v/>
      </c>
      <c r="AU542">
        <f>HYPERLINK("https://creighton-primo.hosted.exlibrisgroup.com/primo-explore/search?tab=default_tab&amp;search_scope=EVERYTHING&amp;vid=01CRU&amp;lang=en_US&amp;offset=0&amp;query=any,contains,991000739279702656","Catalog Record")</f>
        <v/>
      </c>
      <c r="AV542">
        <f>HYPERLINK("http://www.worldcat.org/oclc/6532273","WorldCat Record")</f>
        <v/>
      </c>
      <c r="AW542" t="inlineStr">
        <is>
          <t>426881088:eng</t>
        </is>
      </c>
      <c r="AX542" t="inlineStr">
        <is>
          <t>6532273</t>
        </is>
      </c>
      <c r="AY542" t="inlineStr">
        <is>
          <t>991000739279702656</t>
        </is>
      </c>
      <c r="AZ542" t="inlineStr">
        <is>
          <t>991000739279702656</t>
        </is>
      </c>
      <c r="BA542" t="inlineStr">
        <is>
          <t>2255131680002656</t>
        </is>
      </c>
      <c r="BB542" t="inlineStr">
        <is>
          <t>BOOK</t>
        </is>
      </c>
      <c r="BD542" t="inlineStr">
        <is>
          <t>9780803690400</t>
        </is>
      </c>
      <c r="BE542" t="inlineStr">
        <is>
          <t>30001000042939</t>
        </is>
      </c>
      <c r="BF542" t="inlineStr">
        <is>
          <t>893160973</t>
        </is>
      </c>
    </row>
    <row r="543">
      <c r="A543" t="inlineStr">
        <is>
          <t>No</t>
        </is>
      </c>
      <c r="B543" t="inlineStr">
        <is>
          <t>CUHSL</t>
        </is>
      </c>
      <c r="C543" t="inlineStr">
        <is>
          <t>SHELVES</t>
        </is>
      </c>
      <c r="D543" t="inlineStr">
        <is>
          <t>WY 20.5 W896n 1988</t>
        </is>
      </c>
      <c r="E543" t="inlineStr">
        <is>
          <t>0                      WY 0020500W  896n        1988</t>
        </is>
      </c>
      <c r="F543" t="inlineStr">
        <is>
          <t>Nursing research : a learning resource / Nancy Fugate Woods.</t>
        </is>
      </c>
      <c r="H543" t="inlineStr">
        <is>
          <t>No</t>
        </is>
      </c>
      <c r="I543" t="inlineStr">
        <is>
          <t>1</t>
        </is>
      </c>
      <c r="J543" t="inlineStr">
        <is>
          <t>No</t>
        </is>
      </c>
      <c r="K543" t="inlineStr">
        <is>
          <t>No</t>
        </is>
      </c>
      <c r="L543" t="inlineStr">
        <is>
          <t>0</t>
        </is>
      </c>
      <c r="M543" t="inlineStr">
        <is>
          <t>Woods, Nancy Fugate.</t>
        </is>
      </c>
      <c r="N543" t="inlineStr">
        <is>
          <t>St. Louis : Mosby, c1988.</t>
        </is>
      </c>
      <c r="O543" t="inlineStr">
        <is>
          <t>1988</t>
        </is>
      </c>
      <c r="Q543" t="inlineStr">
        <is>
          <t>eng</t>
        </is>
      </c>
      <c r="R543" t="inlineStr">
        <is>
          <t xml:space="preserve">xx </t>
        </is>
      </c>
      <c r="T543" t="inlineStr">
        <is>
          <t xml:space="preserve">WY </t>
        </is>
      </c>
      <c r="U543" t="n">
        <v>16</v>
      </c>
      <c r="V543" t="n">
        <v>16</v>
      </c>
      <c r="W543" t="inlineStr">
        <is>
          <t>2007-05-23</t>
        </is>
      </c>
      <c r="X543" t="inlineStr">
        <is>
          <t>2007-05-23</t>
        </is>
      </c>
      <c r="Y543" t="inlineStr">
        <is>
          <t>1988-07-07</t>
        </is>
      </c>
      <c r="Z543" t="inlineStr">
        <is>
          <t>1988-07-07</t>
        </is>
      </c>
      <c r="AA543" t="n">
        <v>49</v>
      </c>
      <c r="AB543" t="n">
        <v>29</v>
      </c>
      <c r="AC543" t="n">
        <v>31</v>
      </c>
      <c r="AD543" t="n">
        <v>2</v>
      </c>
      <c r="AE543" t="n">
        <v>2</v>
      </c>
      <c r="AF543" t="n">
        <v>3</v>
      </c>
      <c r="AG543" t="n">
        <v>3</v>
      </c>
      <c r="AH543" t="n">
        <v>0</v>
      </c>
      <c r="AI543" t="n">
        <v>0</v>
      </c>
      <c r="AJ543" t="n">
        <v>1</v>
      </c>
      <c r="AK543" t="n">
        <v>1</v>
      </c>
      <c r="AL543" t="n">
        <v>2</v>
      </c>
      <c r="AM543" t="n">
        <v>2</v>
      </c>
      <c r="AN543" t="n">
        <v>0</v>
      </c>
      <c r="AO543" t="n">
        <v>0</v>
      </c>
      <c r="AP543" t="n">
        <v>0</v>
      </c>
      <c r="AQ543" t="n">
        <v>0</v>
      </c>
      <c r="AR543" t="inlineStr">
        <is>
          <t>No</t>
        </is>
      </c>
      <c r="AS543" t="inlineStr">
        <is>
          <t>Yes</t>
        </is>
      </c>
      <c r="AT543">
        <f>HYPERLINK("http://catalog.hathitrust.org/Record/004432040","HathiTrust Record")</f>
        <v/>
      </c>
      <c r="AU543">
        <f>HYPERLINK("https://creighton-primo.hosted.exlibrisgroup.com/primo-explore/search?tab=default_tab&amp;search_scope=EVERYTHING&amp;vid=01CRU&amp;lang=en_US&amp;offset=0&amp;query=any,contains,991001417259702656","Catalog Record")</f>
        <v/>
      </c>
      <c r="AV543">
        <f>HYPERLINK("http://www.worldcat.org/oclc/17289132","WorldCat Record")</f>
        <v/>
      </c>
      <c r="AW543" t="inlineStr">
        <is>
          <t>2260878069:eng</t>
        </is>
      </c>
      <c r="AX543" t="inlineStr">
        <is>
          <t>17289132</t>
        </is>
      </c>
      <c r="AY543" t="inlineStr">
        <is>
          <t>991001417259702656</t>
        </is>
      </c>
      <c r="AZ543" t="inlineStr">
        <is>
          <t>991001417259702656</t>
        </is>
      </c>
      <c r="BA543" t="inlineStr">
        <is>
          <t>2261717790002656</t>
        </is>
      </c>
      <c r="BB543" t="inlineStr">
        <is>
          <t>BOOK</t>
        </is>
      </c>
      <c r="BD543" t="inlineStr">
        <is>
          <t>9780801657054</t>
        </is>
      </c>
      <c r="BE543" t="inlineStr">
        <is>
          <t>30001001181116</t>
        </is>
      </c>
      <c r="BF543" t="inlineStr">
        <is>
          <t>893284788</t>
        </is>
      </c>
    </row>
    <row r="544">
      <c r="A544" t="inlineStr">
        <is>
          <t>No</t>
        </is>
      </c>
      <c r="B544" t="inlineStr">
        <is>
          <t>CUHSL</t>
        </is>
      </c>
      <c r="C544" t="inlineStr">
        <is>
          <t>SHELVES</t>
        </is>
      </c>
      <c r="D544" t="inlineStr">
        <is>
          <t>WY 21 AA1 J7f 1994</t>
        </is>
      </c>
      <c r="E544" t="inlineStr">
        <is>
          <t>0                      WY 0021000AA 1                  J  7f          1994</t>
        </is>
      </c>
      <c r="F544" t="inlineStr">
        <is>
          <t>Framework for improving performance : a guide for nurses.</t>
        </is>
      </c>
      <c r="H544" t="inlineStr">
        <is>
          <t>No</t>
        </is>
      </c>
      <c r="I544" t="inlineStr">
        <is>
          <t>1</t>
        </is>
      </c>
      <c r="J544" t="inlineStr">
        <is>
          <t>No</t>
        </is>
      </c>
      <c r="K544" t="inlineStr">
        <is>
          <t>No</t>
        </is>
      </c>
      <c r="L544" t="inlineStr">
        <is>
          <t>0</t>
        </is>
      </c>
      <c r="M544" t="inlineStr">
        <is>
          <t>Joint Commission on Accreditation of Healthcare Organizations.</t>
        </is>
      </c>
      <c r="N544" t="inlineStr">
        <is>
          <t>Oakbrook Terrace, IL : Joint Commission on Accreditation of Healthcare Organizations, 1994.</t>
        </is>
      </c>
      <c r="O544" t="inlineStr">
        <is>
          <t>1994</t>
        </is>
      </c>
      <c r="Q544" t="inlineStr">
        <is>
          <t>eng</t>
        </is>
      </c>
      <c r="R544" t="inlineStr">
        <is>
          <t>ilu</t>
        </is>
      </c>
      <c r="T544" t="inlineStr">
        <is>
          <t xml:space="preserve">WY </t>
        </is>
      </c>
      <c r="U544" t="n">
        <v>1</v>
      </c>
      <c r="V544" t="n">
        <v>1</v>
      </c>
      <c r="W544" t="inlineStr">
        <is>
          <t>1998-01-13</t>
        </is>
      </c>
      <c r="X544" t="inlineStr">
        <is>
          <t>1998-01-13</t>
        </is>
      </c>
      <c r="Y544" t="inlineStr">
        <is>
          <t>1997-12-18</t>
        </is>
      </c>
      <c r="Z544" t="inlineStr">
        <is>
          <t>1997-12-18</t>
        </is>
      </c>
      <c r="AA544" t="n">
        <v>59</v>
      </c>
      <c r="AB544" t="n">
        <v>53</v>
      </c>
      <c r="AC544" t="n">
        <v>53</v>
      </c>
      <c r="AD544" t="n">
        <v>1</v>
      </c>
      <c r="AE544" t="n">
        <v>1</v>
      </c>
      <c r="AF544" t="n">
        <v>0</v>
      </c>
      <c r="AG544" t="n">
        <v>0</v>
      </c>
      <c r="AH544" t="n">
        <v>0</v>
      </c>
      <c r="AI544" t="n">
        <v>0</v>
      </c>
      <c r="AJ544" t="n">
        <v>0</v>
      </c>
      <c r="AK544" t="n">
        <v>0</v>
      </c>
      <c r="AL544" t="n">
        <v>0</v>
      </c>
      <c r="AM544" t="n">
        <v>0</v>
      </c>
      <c r="AN544" t="n">
        <v>0</v>
      </c>
      <c r="AO544" t="n">
        <v>0</v>
      </c>
      <c r="AP544" t="n">
        <v>0</v>
      </c>
      <c r="AQ544" t="n">
        <v>0</v>
      </c>
      <c r="AR544" t="inlineStr">
        <is>
          <t>No</t>
        </is>
      </c>
      <c r="AS544" t="inlineStr">
        <is>
          <t>No</t>
        </is>
      </c>
      <c r="AU544">
        <f>HYPERLINK("https://creighton-primo.hosted.exlibrisgroup.com/primo-explore/search?tab=default_tab&amp;search_scope=EVERYTHING&amp;vid=01CRU&amp;lang=en_US&amp;offset=0&amp;query=any,contains,991001562959702656","Catalog Record")</f>
        <v/>
      </c>
      <c r="AV544">
        <f>HYPERLINK("http://www.worldcat.org/oclc/31770497","WorldCat Record")</f>
        <v/>
      </c>
      <c r="AW544" t="inlineStr">
        <is>
          <t>33968047:eng</t>
        </is>
      </c>
      <c r="AX544" t="inlineStr">
        <is>
          <t>31770497</t>
        </is>
      </c>
      <c r="AY544" t="inlineStr">
        <is>
          <t>991001562959702656</t>
        </is>
      </c>
      <c r="AZ544" t="inlineStr">
        <is>
          <t>991001562959702656</t>
        </is>
      </c>
      <c r="BA544" t="inlineStr">
        <is>
          <t>2260853420002656</t>
        </is>
      </c>
      <c r="BB544" t="inlineStr">
        <is>
          <t>BOOK</t>
        </is>
      </c>
      <c r="BD544" t="inlineStr">
        <is>
          <t>9780866883931</t>
        </is>
      </c>
      <c r="BE544" t="inlineStr">
        <is>
          <t>30001003606300</t>
        </is>
      </c>
      <c r="BF544" t="inlineStr">
        <is>
          <t>893369478</t>
        </is>
      </c>
    </row>
    <row r="545">
      <c r="A545" t="inlineStr">
        <is>
          <t>No</t>
        </is>
      </c>
      <c r="B545" t="inlineStr">
        <is>
          <t>CUHSL</t>
        </is>
      </c>
      <c r="C545" t="inlineStr">
        <is>
          <t>SHELVES</t>
        </is>
      </c>
      <c r="D545" t="inlineStr">
        <is>
          <t>WY 21 AA1 L8 1986</t>
        </is>
      </c>
      <c r="E545" t="inlineStr">
        <is>
          <t>0                      WY 0021000AA 1                  L  8           1986</t>
        </is>
      </c>
      <c r="F545" t="inlineStr">
        <is>
          <t>Looking beyond the entry issue : implications for education and service.</t>
        </is>
      </c>
      <c r="H545" t="inlineStr">
        <is>
          <t>No</t>
        </is>
      </c>
      <c r="I545" t="inlineStr">
        <is>
          <t>1</t>
        </is>
      </c>
      <c r="J545" t="inlineStr">
        <is>
          <t>No</t>
        </is>
      </c>
      <c r="K545" t="inlineStr">
        <is>
          <t>No</t>
        </is>
      </c>
      <c r="L545" t="inlineStr">
        <is>
          <t>0</t>
        </is>
      </c>
      <c r="N545" t="inlineStr">
        <is>
          <t>New York : National League for Nursing, c1986.</t>
        </is>
      </c>
      <c r="O545" t="inlineStr">
        <is>
          <t>1986</t>
        </is>
      </c>
      <c r="Q545" t="inlineStr">
        <is>
          <t>eng</t>
        </is>
      </c>
      <c r="R545" t="inlineStr">
        <is>
          <t>xxu</t>
        </is>
      </c>
      <c r="S545" t="inlineStr">
        <is>
          <t>NLN pub. no. 41-2173</t>
        </is>
      </c>
      <c r="T545" t="inlineStr">
        <is>
          <t xml:space="preserve">WY </t>
        </is>
      </c>
      <c r="U545" t="n">
        <v>6</v>
      </c>
      <c r="V545" t="n">
        <v>6</v>
      </c>
      <c r="W545" t="inlineStr">
        <is>
          <t>2003-02-11</t>
        </is>
      </c>
      <c r="X545" t="inlineStr">
        <is>
          <t>2003-02-11</t>
        </is>
      </c>
      <c r="Y545" t="inlineStr">
        <is>
          <t>1987-11-12</t>
        </is>
      </c>
      <c r="Z545" t="inlineStr">
        <is>
          <t>1987-11-12</t>
        </is>
      </c>
      <c r="AA545" t="n">
        <v>204</v>
      </c>
      <c r="AB545" t="n">
        <v>185</v>
      </c>
      <c r="AC545" t="n">
        <v>192</v>
      </c>
      <c r="AD545" t="n">
        <v>3</v>
      </c>
      <c r="AE545" t="n">
        <v>3</v>
      </c>
      <c r="AF545" t="n">
        <v>12</v>
      </c>
      <c r="AG545" t="n">
        <v>12</v>
      </c>
      <c r="AH545" t="n">
        <v>4</v>
      </c>
      <c r="AI545" t="n">
        <v>4</v>
      </c>
      <c r="AJ545" t="n">
        <v>3</v>
      </c>
      <c r="AK545" t="n">
        <v>3</v>
      </c>
      <c r="AL545" t="n">
        <v>5</v>
      </c>
      <c r="AM545" t="n">
        <v>5</v>
      </c>
      <c r="AN545" t="n">
        <v>1</v>
      </c>
      <c r="AO545" t="n">
        <v>1</v>
      </c>
      <c r="AP545" t="n">
        <v>0</v>
      </c>
      <c r="AQ545" t="n">
        <v>0</v>
      </c>
      <c r="AR545" t="inlineStr">
        <is>
          <t>No</t>
        </is>
      </c>
      <c r="AS545" t="inlineStr">
        <is>
          <t>Yes</t>
        </is>
      </c>
      <c r="AT545">
        <f>HYPERLINK("http://catalog.hathitrust.org/Record/002506682","HathiTrust Record")</f>
        <v/>
      </c>
      <c r="AU545">
        <f>HYPERLINK("https://creighton-primo.hosted.exlibrisgroup.com/primo-explore/search?tab=default_tab&amp;search_scope=EVERYTHING&amp;vid=01CRU&amp;lang=en_US&amp;offset=0&amp;query=any,contains,991001390469702656","Catalog Record")</f>
        <v/>
      </c>
      <c r="AV545">
        <f>HYPERLINK("http://www.worldcat.org/oclc/15116807","WorldCat Record")</f>
        <v/>
      </c>
      <c r="AW545" t="inlineStr">
        <is>
          <t>8607351:eng</t>
        </is>
      </c>
      <c r="AX545" t="inlineStr">
        <is>
          <t>15116807</t>
        </is>
      </c>
      <c r="AY545" t="inlineStr">
        <is>
          <t>991001390469702656</t>
        </is>
      </c>
      <c r="AZ545" t="inlineStr">
        <is>
          <t>991001390469702656</t>
        </is>
      </c>
      <c r="BA545" t="inlineStr">
        <is>
          <t>2269457700002656</t>
        </is>
      </c>
      <c r="BB545" t="inlineStr">
        <is>
          <t>BOOK</t>
        </is>
      </c>
      <c r="BD545" t="inlineStr">
        <is>
          <t>9780887373435</t>
        </is>
      </c>
      <c r="BE545" t="inlineStr">
        <is>
          <t>30001000464968</t>
        </is>
      </c>
      <c r="BF545" t="inlineStr">
        <is>
          <t>893284742</t>
        </is>
      </c>
    </row>
    <row r="546">
      <c r="A546" t="inlineStr">
        <is>
          <t>No</t>
        </is>
      </c>
      <c r="B546" t="inlineStr">
        <is>
          <t>CUHSL</t>
        </is>
      </c>
      <c r="C546" t="inlineStr">
        <is>
          <t>SHELVES</t>
        </is>
      </c>
      <c r="D546" t="inlineStr">
        <is>
          <t>WY 21 AA1 R6e 1979</t>
        </is>
      </c>
      <c r="E546" t="inlineStr">
        <is>
          <t>0                      WY 0021000AA 1                  R  6e          1979</t>
        </is>
      </c>
      <c r="F546" t="inlineStr">
        <is>
          <t>Examining the validity of the State Board Test Pool Examination for registered nurse licensure / [prepared by Marguerite Robey, Carole Kingsbury, and Janet Kane].</t>
        </is>
      </c>
      <c r="H546" t="inlineStr">
        <is>
          <t>No</t>
        </is>
      </c>
      <c r="I546" t="inlineStr">
        <is>
          <t>1</t>
        </is>
      </c>
      <c r="J546" t="inlineStr">
        <is>
          <t>No</t>
        </is>
      </c>
      <c r="K546" t="inlineStr">
        <is>
          <t>No</t>
        </is>
      </c>
      <c r="L546" t="inlineStr">
        <is>
          <t>0</t>
        </is>
      </c>
      <c r="M546" t="inlineStr">
        <is>
          <t>Robey, Marguerite.</t>
        </is>
      </c>
      <c r="N546" t="inlineStr">
        <is>
          <t>Kansas City, Mo. : Council of State Boards of Nursing, American Nurses' Assn., 1979.</t>
        </is>
      </c>
      <c r="O546" t="inlineStr">
        <is>
          <t>1979</t>
        </is>
      </c>
      <c r="Q546" t="inlineStr">
        <is>
          <t>eng</t>
        </is>
      </c>
      <c r="R546" t="inlineStr">
        <is>
          <t xml:space="preserve">xx </t>
        </is>
      </c>
      <c r="S546" t="inlineStr">
        <is>
          <t>ANA. B-42</t>
        </is>
      </c>
      <c r="T546" t="inlineStr">
        <is>
          <t xml:space="preserve">WY </t>
        </is>
      </c>
      <c r="U546" t="n">
        <v>1</v>
      </c>
      <c r="V546" t="n">
        <v>1</v>
      </c>
      <c r="W546" t="inlineStr">
        <is>
          <t>1990-01-19</t>
        </is>
      </c>
      <c r="X546" t="inlineStr">
        <is>
          <t>1990-01-19</t>
        </is>
      </c>
      <c r="Y546" t="inlineStr">
        <is>
          <t>1987-12-28</t>
        </is>
      </c>
      <c r="Z546" t="inlineStr">
        <is>
          <t>1987-12-28</t>
        </is>
      </c>
      <c r="AA546" t="n">
        <v>65</v>
      </c>
      <c r="AB546" t="n">
        <v>59</v>
      </c>
      <c r="AC546" t="n">
        <v>60</v>
      </c>
      <c r="AD546" t="n">
        <v>2</v>
      </c>
      <c r="AE546" t="n">
        <v>2</v>
      </c>
      <c r="AF546" t="n">
        <v>3</v>
      </c>
      <c r="AG546" t="n">
        <v>3</v>
      </c>
      <c r="AH546" t="n">
        <v>0</v>
      </c>
      <c r="AI546" t="n">
        <v>0</v>
      </c>
      <c r="AJ546" t="n">
        <v>1</v>
      </c>
      <c r="AK546" t="n">
        <v>1</v>
      </c>
      <c r="AL546" t="n">
        <v>2</v>
      </c>
      <c r="AM546" t="n">
        <v>2</v>
      </c>
      <c r="AN546" t="n">
        <v>0</v>
      </c>
      <c r="AO546" t="n">
        <v>0</v>
      </c>
      <c r="AP546" t="n">
        <v>0</v>
      </c>
      <c r="AQ546" t="n">
        <v>0</v>
      </c>
      <c r="AR546" t="inlineStr">
        <is>
          <t>No</t>
        </is>
      </c>
      <c r="AS546" t="inlineStr">
        <is>
          <t>No</t>
        </is>
      </c>
      <c r="AU546">
        <f>HYPERLINK("https://creighton-primo.hosted.exlibrisgroup.com/primo-explore/search?tab=default_tab&amp;search_scope=EVERYTHING&amp;vid=01CRU&amp;lang=en_US&amp;offset=0&amp;query=any,contains,991001044599702656","Catalog Record")</f>
        <v/>
      </c>
      <c r="AV546">
        <f>HYPERLINK("http://www.worldcat.org/oclc/5172971","WorldCat Record")</f>
        <v/>
      </c>
      <c r="AW546" t="inlineStr">
        <is>
          <t>1788952492:eng</t>
        </is>
      </c>
      <c r="AX546" t="inlineStr">
        <is>
          <t>5172971</t>
        </is>
      </c>
      <c r="AY546" t="inlineStr">
        <is>
          <t>991001044599702656</t>
        </is>
      </c>
      <c r="AZ546" t="inlineStr">
        <is>
          <t>991001044599702656</t>
        </is>
      </c>
      <c r="BA546" t="inlineStr">
        <is>
          <t>2268219500002656</t>
        </is>
      </c>
      <c r="BB546" t="inlineStr">
        <is>
          <t>BOOK</t>
        </is>
      </c>
      <c r="BE546" t="inlineStr">
        <is>
          <t>30001000243594</t>
        </is>
      </c>
      <c r="BF546" t="inlineStr">
        <is>
          <t>893450803</t>
        </is>
      </c>
    </row>
    <row r="547">
      <c r="A547" t="inlineStr">
        <is>
          <t>No</t>
        </is>
      </c>
      <c r="B547" t="inlineStr">
        <is>
          <t>CUHSL</t>
        </is>
      </c>
      <c r="C547" t="inlineStr">
        <is>
          <t>SHELVES</t>
        </is>
      </c>
      <c r="D547" t="inlineStr">
        <is>
          <t>WY 21 AA1 T3 1981</t>
        </is>
      </c>
      <c r="E547" t="inlineStr">
        <is>
          <t>0                      WY 0021000AA 1                  T  3           1981</t>
        </is>
      </c>
      <c r="F547" t="inlineStr">
        <is>
          <t>Test plan of the RN licensure examination : changes, concerns, issues, process of test development.</t>
        </is>
      </c>
      <c r="H547" t="inlineStr">
        <is>
          <t>No</t>
        </is>
      </c>
      <c r="I547" t="inlineStr">
        <is>
          <t>1</t>
        </is>
      </c>
      <c r="J547" t="inlineStr">
        <is>
          <t>No</t>
        </is>
      </c>
      <c r="K547" t="inlineStr">
        <is>
          <t>No</t>
        </is>
      </c>
      <c r="L547" t="inlineStr">
        <is>
          <t>0</t>
        </is>
      </c>
      <c r="N547" t="inlineStr">
        <is>
          <t>New York : National League for Nursing, 1981.</t>
        </is>
      </c>
      <c r="O547" t="inlineStr">
        <is>
          <t>1981</t>
        </is>
      </c>
      <c r="Q547" t="inlineStr">
        <is>
          <t>eng</t>
        </is>
      </c>
      <c r="R547" t="inlineStr">
        <is>
          <t>xxu</t>
        </is>
      </c>
      <c r="S547" t="inlineStr">
        <is>
          <t>NLN pub. no. 23-1842</t>
        </is>
      </c>
      <c r="T547" t="inlineStr">
        <is>
          <t xml:space="preserve">WY </t>
        </is>
      </c>
      <c r="U547" t="n">
        <v>1</v>
      </c>
      <c r="V547" t="n">
        <v>1</v>
      </c>
      <c r="W547" t="inlineStr">
        <is>
          <t>1990-01-19</t>
        </is>
      </c>
      <c r="X547" t="inlineStr">
        <is>
          <t>1990-01-19</t>
        </is>
      </c>
      <c r="Y547" t="inlineStr">
        <is>
          <t>1987-11-09</t>
        </is>
      </c>
      <c r="Z547" t="inlineStr">
        <is>
          <t>1987-11-09</t>
        </is>
      </c>
      <c r="AA547" t="n">
        <v>69</v>
      </c>
      <c r="AB547" t="n">
        <v>62</v>
      </c>
      <c r="AC547" t="n">
        <v>64</v>
      </c>
      <c r="AD547" t="n">
        <v>1</v>
      </c>
      <c r="AE547" t="n">
        <v>1</v>
      </c>
      <c r="AF547" t="n">
        <v>1</v>
      </c>
      <c r="AG547" t="n">
        <v>1</v>
      </c>
      <c r="AH547" t="n">
        <v>0</v>
      </c>
      <c r="AI547" t="n">
        <v>0</v>
      </c>
      <c r="AJ547" t="n">
        <v>0</v>
      </c>
      <c r="AK547" t="n">
        <v>0</v>
      </c>
      <c r="AL547" t="n">
        <v>1</v>
      </c>
      <c r="AM547" t="n">
        <v>1</v>
      </c>
      <c r="AN547" t="n">
        <v>0</v>
      </c>
      <c r="AO547" t="n">
        <v>0</v>
      </c>
      <c r="AP547" t="n">
        <v>0</v>
      </c>
      <c r="AQ547" t="n">
        <v>0</v>
      </c>
      <c r="AR547" t="inlineStr">
        <is>
          <t>No</t>
        </is>
      </c>
      <c r="AS547" t="inlineStr">
        <is>
          <t>Yes</t>
        </is>
      </c>
      <c r="AT547">
        <f>HYPERLINK("http://catalog.hathitrust.org/Record/001548809","HathiTrust Record")</f>
        <v/>
      </c>
      <c r="AU547">
        <f>HYPERLINK("https://creighton-primo.hosted.exlibrisgroup.com/primo-explore/search?tab=default_tab&amp;search_scope=EVERYTHING&amp;vid=01CRU&amp;lang=en_US&amp;offset=0&amp;query=any,contains,991001388969702656","Catalog Record")</f>
        <v/>
      </c>
      <c r="AV547">
        <f>HYPERLINK("http://www.worldcat.org/oclc/7776372","WorldCat Record")</f>
        <v/>
      </c>
      <c r="AW547" t="inlineStr">
        <is>
          <t>29598966:eng</t>
        </is>
      </c>
      <c r="AX547" t="inlineStr">
        <is>
          <t>7776372</t>
        </is>
      </c>
      <c r="AY547" t="inlineStr">
        <is>
          <t>991001388969702656</t>
        </is>
      </c>
      <c r="AZ547" t="inlineStr">
        <is>
          <t>991001388969702656</t>
        </is>
      </c>
      <c r="BA547" t="inlineStr">
        <is>
          <t>2270955650002656</t>
        </is>
      </c>
      <c r="BB547" t="inlineStr">
        <is>
          <t>BOOK</t>
        </is>
      </c>
      <c r="BE547" t="inlineStr">
        <is>
          <t>30001000464471</t>
        </is>
      </c>
      <c r="BF547" t="inlineStr">
        <is>
          <t>893638284</t>
        </is>
      </c>
    </row>
    <row r="548">
      <c r="A548" t="inlineStr">
        <is>
          <t>No</t>
        </is>
      </c>
      <c r="B548" t="inlineStr">
        <is>
          <t>CUHSL</t>
        </is>
      </c>
      <c r="C548" t="inlineStr">
        <is>
          <t>SHELVES</t>
        </is>
      </c>
      <c r="D548" t="inlineStr">
        <is>
          <t>WY 21.1 F931 1979</t>
        </is>
      </c>
      <c r="E548" t="inlineStr">
        <is>
          <t>0                      WY 0021100F  931         1979</t>
        </is>
      </c>
      <c r="F548" t="inlineStr">
        <is>
          <t>From concept to standardized test : papers presented at the 1979 Invitational Conference for Boards of Nursing, January 25-26, 1979, New York, New York.</t>
        </is>
      </c>
      <c r="H548" t="inlineStr">
        <is>
          <t>No</t>
        </is>
      </c>
      <c r="I548" t="inlineStr">
        <is>
          <t>1</t>
        </is>
      </c>
      <c r="J548" t="inlineStr">
        <is>
          <t>No</t>
        </is>
      </c>
      <c r="K548" t="inlineStr">
        <is>
          <t>No</t>
        </is>
      </c>
      <c r="L548" t="inlineStr">
        <is>
          <t>0</t>
        </is>
      </c>
      <c r="N548" t="inlineStr">
        <is>
          <t>New York : National League for Nursing, c1979.</t>
        </is>
      </c>
      <c r="O548" t="inlineStr">
        <is>
          <t>1979</t>
        </is>
      </c>
      <c r="Q548" t="inlineStr">
        <is>
          <t>eng</t>
        </is>
      </c>
      <c r="R548" t="inlineStr">
        <is>
          <t>nyu</t>
        </is>
      </c>
      <c r="S548" t="inlineStr">
        <is>
          <t>NLN pub. no. 17-1796</t>
        </is>
      </c>
      <c r="T548" t="inlineStr">
        <is>
          <t xml:space="preserve">WY </t>
        </is>
      </c>
      <c r="U548" t="n">
        <v>1</v>
      </c>
      <c r="V548" t="n">
        <v>1</v>
      </c>
      <c r="W548" t="inlineStr">
        <is>
          <t>1990-08-29</t>
        </is>
      </c>
      <c r="X548" t="inlineStr">
        <is>
          <t>1990-08-29</t>
        </is>
      </c>
      <c r="Y548" t="inlineStr">
        <is>
          <t>1987-11-02</t>
        </is>
      </c>
      <c r="Z548" t="inlineStr">
        <is>
          <t>1987-11-02</t>
        </is>
      </c>
      <c r="AA548" t="n">
        <v>91</v>
      </c>
      <c r="AB548" t="n">
        <v>79</v>
      </c>
      <c r="AC548" t="n">
        <v>81</v>
      </c>
      <c r="AD548" t="n">
        <v>1</v>
      </c>
      <c r="AE548" t="n">
        <v>1</v>
      </c>
      <c r="AF548" t="n">
        <v>2</v>
      </c>
      <c r="AG548" t="n">
        <v>2</v>
      </c>
      <c r="AH548" t="n">
        <v>0</v>
      </c>
      <c r="AI548" t="n">
        <v>0</v>
      </c>
      <c r="AJ548" t="n">
        <v>0</v>
      </c>
      <c r="AK548" t="n">
        <v>0</v>
      </c>
      <c r="AL548" t="n">
        <v>2</v>
      </c>
      <c r="AM548" t="n">
        <v>2</v>
      </c>
      <c r="AN548" t="n">
        <v>0</v>
      </c>
      <c r="AO548" t="n">
        <v>0</v>
      </c>
      <c r="AP548" t="n">
        <v>0</v>
      </c>
      <c r="AQ548" t="n">
        <v>0</v>
      </c>
      <c r="AR548" t="inlineStr">
        <is>
          <t>No</t>
        </is>
      </c>
      <c r="AS548" t="inlineStr">
        <is>
          <t>Yes</t>
        </is>
      </c>
      <c r="AT548">
        <f>HYPERLINK("http://catalog.hathitrust.org/Record/000746531","HathiTrust Record")</f>
        <v/>
      </c>
      <c r="AU548">
        <f>HYPERLINK("https://creighton-primo.hosted.exlibrisgroup.com/primo-explore/search?tab=default_tab&amp;search_scope=EVERYTHING&amp;vid=01CRU&amp;lang=en_US&amp;offset=0&amp;query=any,contains,991001379069702656","Catalog Record")</f>
        <v/>
      </c>
      <c r="AV548">
        <f>HYPERLINK("http://www.worldcat.org/oclc/6127862","WorldCat Record")</f>
        <v/>
      </c>
      <c r="AW548" t="inlineStr">
        <is>
          <t>1155636646:eng</t>
        </is>
      </c>
      <c r="AX548" t="inlineStr">
        <is>
          <t>6127862</t>
        </is>
      </c>
      <c r="AY548" t="inlineStr">
        <is>
          <t>991001379069702656</t>
        </is>
      </c>
      <c r="AZ548" t="inlineStr">
        <is>
          <t>991001379069702656</t>
        </is>
      </c>
      <c r="BA548" t="inlineStr">
        <is>
          <t>2256607230002656</t>
        </is>
      </c>
      <c r="BB548" t="inlineStr">
        <is>
          <t>BOOK</t>
        </is>
      </c>
      <c r="BE548" t="inlineStr">
        <is>
          <t>30001000462541</t>
        </is>
      </c>
      <c r="BF548" t="inlineStr">
        <is>
          <t>893816342</t>
        </is>
      </c>
    </row>
    <row r="549">
      <c r="A549" t="inlineStr">
        <is>
          <t>No</t>
        </is>
      </c>
      <c r="B549" t="inlineStr">
        <is>
          <t>CUHSL</t>
        </is>
      </c>
      <c r="C549" t="inlineStr">
        <is>
          <t>SHELVES</t>
        </is>
      </c>
      <c r="D549" t="inlineStr">
        <is>
          <t>WY 21.1 L698 1977</t>
        </is>
      </c>
      <c r="E549" t="inlineStr">
        <is>
          <t>0                      WY 0021100L  698         1977</t>
        </is>
      </c>
      <c r="F549" t="inlineStr">
        <is>
          <t>Licensure and credentialing.</t>
        </is>
      </c>
      <c r="H549" t="inlineStr">
        <is>
          <t>No</t>
        </is>
      </c>
      <c r="I549" t="inlineStr">
        <is>
          <t>1</t>
        </is>
      </c>
      <c r="J549" t="inlineStr">
        <is>
          <t>No</t>
        </is>
      </c>
      <c r="K549" t="inlineStr">
        <is>
          <t>No</t>
        </is>
      </c>
      <c r="L549" t="inlineStr">
        <is>
          <t>0</t>
        </is>
      </c>
      <c r="N549" t="inlineStr">
        <is>
          <t>New York : National League for Nursing, c1978.</t>
        </is>
      </c>
      <c r="O549" t="inlineStr">
        <is>
          <t>1977</t>
        </is>
      </c>
      <c r="Q549" t="inlineStr">
        <is>
          <t>eng</t>
        </is>
      </c>
      <c r="R549" t="inlineStr">
        <is>
          <t>nyu</t>
        </is>
      </c>
      <c r="S549" t="inlineStr">
        <is>
          <t>NLN pub. no. 52-1706</t>
        </is>
      </c>
      <c r="T549" t="inlineStr">
        <is>
          <t xml:space="preserve">WY </t>
        </is>
      </c>
      <c r="U549" t="n">
        <v>4</v>
      </c>
      <c r="V549" t="n">
        <v>4</v>
      </c>
      <c r="W549" t="inlineStr">
        <is>
          <t>1994-06-27</t>
        </is>
      </c>
      <c r="X549" t="inlineStr">
        <is>
          <t>1994-06-27</t>
        </is>
      </c>
      <c r="Y549" t="inlineStr">
        <is>
          <t>1987-11-18</t>
        </is>
      </c>
      <c r="Z549" t="inlineStr">
        <is>
          <t>1987-11-18</t>
        </is>
      </c>
      <c r="AA549" t="n">
        <v>94</v>
      </c>
      <c r="AB549" t="n">
        <v>82</v>
      </c>
      <c r="AC549" t="n">
        <v>84</v>
      </c>
      <c r="AD549" t="n">
        <v>1</v>
      </c>
      <c r="AE549" t="n">
        <v>1</v>
      </c>
      <c r="AF549" t="n">
        <v>1</v>
      </c>
      <c r="AG549" t="n">
        <v>1</v>
      </c>
      <c r="AH549" t="n">
        <v>0</v>
      </c>
      <c r="AI549" t="n">
        <v>0</v>
      </c>
      <c r="AJ549" t="n">
        <v>0</v>
      </c>
      <c r="AK549" t="n">
        <v>0</v>
      </c>
      <c r="AL549" t="n">
        <v>1</v>
      </c>
      <c r="AM549" t="n">
        <v>1</v>
      </c>
      <c r="AN549" t="n">
        <v>0</v>
      </c>
      <c r="AO549" t="n">
        <v>0</v>
      </c>
      <c r="AP549" t="n">
        <v>0</v>
      </c>
      <c r="AQ549" t="n">
        <v>0</v>
      </c>
      <c r="AR549" t="inlineStr">
        <is>
          <t>No</t>
        </is>
      </c>
      <c r="AS549" t="inlineStr">
        <is>
          <t>Yes</t>
        </is>
      </c>
      <c r="AT549">
        <f>HYPERLINK("http://catalog.hathitrust.org/Record/000254834","HathiTrust Record")</f>
        <v/>
      </c>
      <c r="AU549">
        <f>HYPERLINK("https://creighton-primo.hosted.exlibrisgroup.com/primo-explore/search?tab=default_tab&amp;search_scope=EVERYTHING&amp;vid=01CRU&amp;lang=en_US&amp;offset=0&amp;query=any,contains,991001516499702656","Catalog Record")</f>
        <v/>
      </c>
      <c r="AV549">
        <f>HYPERLINK("http://www.worldcat.org/oclc/4468339","WorldCat Record")</f>
        <v/>
      </c>
      <c r="AW549" t="inlineStr">
        <is>
          <t>14685395:eng</t>
        </is>
      </c>
      <c r="AX549" t="inlineStr">
        <is>
          <t>4468339</t>
        </is>
      </c>
      <c r="AY549" t="inlineStr">
        <is>
          <t>991001516499702656</t>
        </is>
      </c>
      <c r="AZ549" t="inlineStr">
        <is>
          <t>991001516499702656</t>
        </is>
      </c>
      <c r="BA549" t="inlineStr">
        <is>
          <t>2268728870002656</t>
        </is>
      </c>
      <c r="BB549" t="inlineStr">
        <is>
          <t>BOOK</t>
        </is>
      </c>
      <c r="BE549" t="inlineStr">
        <is>
          <t>30001000600066</t>
        </is>
      </c>
      <c r="BF549" t="inlineStr">
        <is>
          <t>893727723</t>
        </is>
      </c>
    </row>
    <row r="550">
      <c r="A550" t="inlineStr">
        <is>
          <t>No</t>
        </is>
      </c>
      <c r="B550" t="inlineStr">
        <is>
          <t>CUHSL</t>
        </is>
      </c>
      <c r="C550" t="inlineStr">
        <is>
          <t>SHELVES</t>
        </is>
      </c>
      <c r="D550" t="inlineStr">
        <is>
          <t>WY 22 AA1 E24 1987</t>
        </is>
      </c>
      <c r="E550" t="inlineStr">
        <is>
          <t>0                      WY 0022000AA 1                  E  24          1987</t>
        </is>
      </c>
      <c r="F550" t="inlineStr">
        <is>
          <t>Educational outcomes : assessment of quality : a directory of student outcome measurements utilized by nursing programs in the United States.</t>
        </is>
      </c>
      <c r="H550" t="inlineStr">
        <is>
          <t>No</t>
        </is>
      </c>
      <c r="I550" t="inlineStr">
        <is>
          <t>1</t>
        </is>
      </c>
      <c r="J550" t="inlineStr">
        <is>
          <t>No</t>
        </is>
      </c>
      <c r="K550" t="inlineStr">
        <is>
          <t>No</t>
        </is>
      </c>
      <c r="L550" t="inlineStr">
        <is>
          <t>0</t>
        </is>
      </c>
      <c r="N550" t="inlineStr">
        <is>
          <t>New York : National League for Nursing, c1987.</t>
        </is>
      </c>
      <c r="O550" t="inlineStr">
        <is>
          <t>1987</t>
        </is>
      </c>
      <c r="Q550" t="inlineStr">
        <is>
          <t>eng</t>
        </is>
      </c>
      <c r="R550" t="inlineStr">
        <is>
          <t>nyu</t>
        </is>
      </c>
      <c r="S550" t="inlineStr">
        <is>
          <t>NLN pub. no. 18-2211</t>
        </is>
      </c>
      <c r="T550" t="inlineStr">
        <is>
          <t xml:space="preserve">WY </t>
        </is>
      </c>
      <c r="U550" t="n">
        <v>3</v>
      </c>
      <c r="V550" t="n">
        <v>3</v>
      </c>
      <c r="W550" t="inlineStr">
        <is>
          <t>2000-05-14</t>
        </is>
      </c>
      <c r="X550" t="inlineStr">
        <is>
          <t>2000-05-14</t>
        </is>
      </c>
      <c r="Y550" t="inlineStr">
        <is>
          <t>1987-12-17</t>
        </is>
      </c>
      <c r="Z550" t="inlineStr">
        <is>
          <t>1987-12-17</t>
        </is>
      </c>
      <c r="AA550" t="n">
        <v>158</v>
      </c>
      <c r="AB550" t="n">
        <v>142</v>
      </c>
      <c r="AC550" t="n">
        <v>154</v>
      </c>
      <c r="AD550" t="n">
        <v>2</v>
      </c>
      <c r="AE550" t="n">
        <v>2</v>
      </c>
      <c r="AF550" t="n">
        <v>6</v>
      </c>
      <c r="AG550" t="n">
        <v>6</v>
      </c>
      <c r="AH550" t="n">
        <v>2</v>
      </c>
      <c r="AI550" t="n">
        <v>2</v>
      </c>
      <c r="AJ550" t="n">
        <v>1</v>
      </c>
      <c r="AK550" t="n">
        <v>1</v>
      </c>
      <c r="AL550" t="n">
        <v>4</v>
      </c>
      <c r="AM550" t="n">
        <v>4</v>
      </c>
      <c r="AN550" t="n">
        <v>0</v>
      </c>
      <c r="AO550" t="n">
        <v>0</v>
      </c>
      <c r="AP550" t="n">
        <v>0</v>
      </c>
      <c r="AQ550" t="n">
        <v>0</v>
      </c>
      <c r="AR550" t="inlineStr">
        <is>
          <t>No</t>
        </is>
      </c>
      <c r="AS550" t="inlineStr">
        <is>
          <t>No</t>
        </is>
      </c>
      <c r="AU550">
        <f>HYPERLINK("https://creighton-primo.hosted.exlibrisgroup.com/primo-explore/search?tab=default_tab&amp;search_scope=EVERYTHING&amp;vid=01CRU&amp;lang=en_US&amp;offset=0&amp;query=any,contains,991001536319702656","Catalog Record")</f>
        <v/>
      </c>
      <c r="AV550">
        <f>HYPERLINK("http://www.worldcat.org/oclc/17209382","WorldCat Record")</f>
        <v/>
      </c>
      <c r="AW550" t="inlineStr">
        <is>
          <t>55042103:eng</t>
        </is>
      </c>
      <c r="AX550" t="inlineStr">
        <is>
          <t>17209382</t>
        </is>
      </c>
      <c r="AY550" t="inlineStr">
        <is>
          <t>991001536319702656</t>
        </is>
      </c>
      <c r="AZ550" t="inlineStr">
        <is>
          <t>991001536319702656</t>
        </is>
      </c>
      <c r="BA550" t="inlineStr">
        <is>
          <t>2260140810002656</t>
        </is>
      </c>
      <c r="BB550" t="inlineStr">
        <is>
          <t>BOOK</t>
        </is>
      </c>
      <c r="BD550" t="inlineStr">
        <is>
          <t>9780887373923</t>
        </is>
      </c>
      <c r="BE550" t="inlineStr">
        <is>
          <t>30001000623076</t>
        </is>
      </c>
      <c r="BF550" t="inlineStr">
        <is>
          <t>893358700</t>
        </is>
      </c>
    </row>
    <row r="551">
      <c r="A551" t="inlineStr">
        <is>
          <t>No</t>
        </is>
      </c>
      <c r="B551" t="inlineStr">
        <is>
          <t>CUHSL</t>
        </is>
      </c>
      <c r="C551" t="inlineStr">
        <is>
          <t>SHELVES</t>
        </is>
      </c>
      <c r="D551" t="inlineStr">
        <is>
          <t>WY 26.5 B187u 1984</t>
        </is>
      </c>
      <c r="E551" t="inlineStr">
        <is>
          <t>0                      WY 0026500B  187u        1984</t>
        </is>
      </c>
      <c r="F551" t="inlineStr">
        <is>
          <t>Using computers in nursing / Marion J. Ball, Kathryn J. Hannah, with the assistance of James D. Browne.</t>
        </is>
      </c>
      <c r="H551" t="inlineStr">
        <is>
          <t>No</t>
        </is>
      </c>
      <c r="I551" t="inlineStr">
        <is>
          <t>1</t>
        </is>
      </c>
      <c r="J551" t="inlineStr">
        <is>
          <t>No</t>
        </is>
      </c>
      <c r="K551" t="inlineStr">
        <is>
          <t>No</t>
        </is>
      </c>
      <c r="L551" t="inlineStr">
        <is>
          <t>0</t>
        </is>
      </c>
      <c r="M551" t="inlineStr">
        <is>
          <t>Ball, Marion J.</t>
        </is>
      </c>
      <c r="N551" t="inlineStr">
        <is>
          <t>Reston, Va. : Reston Pub. Co., c1984.</t>
        </is>
      </c>
      <c r="O551" t="inlineStr">
        <is>
          <t>1984</t>
        </is>
      </c>
      <c r="Q551" t="inlineStr">
        <is>
          <t>eng</t>
        </is>
      </c>
      <c r="R551" t="inlineStr">
        <is>
          <t xml:space="preserve">xx </t>
        </is>
      </c>
      <c r="T551" t="inlineStr">
        <is>
          <t xml:space="preserve">WY </t>
        </is>
      </c>
      <c r="U551" t="n">
        <v>15</v>
      </c>
      <c r="V551" t="n">
        <v>15</v>
      </c>
      <c r="W551" t="inlineStr">
        <is>
          <t>2001-09-26</t>
        </is>
      </c>
      <c r="X551" t="inlineStr">
        <is>
          <t>2001-09-26</t>
        </is>
      </c>
      <c r="Y551" t="inlineStr">
        <is>
          <t>1987-12-28</t>
        </is>
      </c>
      <c r="Z551" t="inlineStr">
        <is>
          <t>1987-12-28</t>
        </is>
      </c>
      <c r="AA551" t="n">
        <v>234</v>
      </c>
      <c r="AB551" t="n">
        <v>179</v>
      </c>
      <c r="AC551" t="n">
        <v>197</v>
      </c>
      <c r="AD551" t="n">
        <v>1</v>
      </c>
      <c r="AE551" t="n">
        <v>1</v>
      </c>
      <c r="AF551" t="n">
        <v>6</v>
      </c>
      <c r="AG551" t="n">
        <v>6</v>
      </c>
      <c r="AH551" t="n">
        <v>2</v>
      </c>
      <c r="AI551" t="n">
        <v>2</v>
      </c>
      <c r="AJ551" t="n">
        <v>1</v>
      </c>
      <c r="AK551" t="n">
        <v>1</v>
      </c>
      <c r="AL551" t="n">
        <v>4</v>
      </c>
      <c r="AM551" t="n">
        <v>4</v>
      </c>
      <c r="AN551" t="n">
        <v>0</v>
      </c>
      <c r="AO551" t="n">
        <v>0</v>
      </c>
      <c r="AP551" t="n">
        <v>0</v>
      </c>
      <c r="AQ551" t="n">
        <v>0</v>
      </c>
      <c r="AR551" t="inlineStr">
        <is>
          <t>No</t>
        </is>
      </c>
      <c r="AS551" t="inlineStr">
        <is>
          <t>Yes</t>
        </is>
      </c>
      <c r="AT551">
        <f>HYPERLINK("http://catalog.hathitrust.org/Record/000291044","HathiTrust Record")</f>
        <v/>
      </c>
      <c r="AU551">
        <f>HYPERLINK("https://creighton-primo.hosted.exlibrisgroup.com/primo-explore/search?tab=default_tab&amp;search_scope=EVERYTHING&amp;vid=01CRU&amp;lang=en_US&amp;offset=0&amp;query=any,contains,991001044669702656","Catalog Record")</f>
        <v/>
      </c>
      <c r="AV551">
        <f>HYPERLINK("http://www.worldcat.org/oclc/10777940","WorldCat Record")</f>
        <v/>
      </c>
      <c r="AW551" t="inlineStr">
        <is>
          <t>3405777:eng</t>
        </is>
      </c>
      <c r="AX551" t="inlineStr">
        <is>
          <t>10777940</t>
        </is>
      </c>
      <c r="AY551" t="inlineStr">
        <is>
          <t>991001044669702656</t>
        </is>
      </c>
      <c r="AZ551" t="inlineStr">
        <is>
          <t>991001044669702656</t>
        </is>
      </c>
      <c r="BA551" t="inlineStr">
        <is>
          <t>2264266880002656</t>
        </is>
      </c>
      <c r="BB551" t="inlineStr">
        <is>
          <t>BOOK</t>
        </is>
      </c>
      <c r="BD551" t="inlineStr">
        <is>
          <t>9780835981293</t>
        </is>
      </c>
      <c r="BE551" t="inlineStr">
        <is>
          <t>30001000243628</t>
        </is>
      </c>
      <c r="BF551" t="inlineStr">
        <is>
          <t>893148827</t>
        </is>
      </c>
    </row>
    <row r="552">
      <c r="A552" t="inlineStr">
        <is>
          <t>No</t>
        </is>
      </c>
      <c r="B552" t="inlineStr">
        <is>
          <t>CUHSL</t>
        </is>
      </c>
      <c r="C552" t="inlineStr">
        <is>
          <t>SHELVES</t>
        </is>
      </c>
      <c r="D552" t="inlineStr">
        <is>
          <t>WY 26.5 C7382 1992</t>
        </is>
      </c>
      <c r="E552" t="inlineStr">
        <is>
          <t>0                      WY 0026500C  7382        1992</t>
        </is>
      </c>
      <c r="F552" t="inlineStr">
        <is>
          <t>Computers in nursing research : a theoretical perspective.</t>
        </is>
      </c>
      <c r="H552" t="inlineStr">
        <is>
          <t>No</t>
        </is>
      </c>
      <c r="I552" t="inlineStr">
        <is>
          <t>1</t>
        </is>
      </c>
      <c r="J552" t="inlineStr">
        <is>
          <t>No</t>
        </is>
      </c>
      <c r="K552" t="inlineStr">
        <is>
          <t>No</t>
        </is>
      </c>
      <c r="L552" t="inlineStr">
        <is>
          <t>0</t>
        </is>
      </c>
      <c r="N552" t="inlineStr">
        <is>
          <t>Kansas City, Mo. : American Nurses Pub., c1992.</t>
        </is>
      </c>
      <c r="O552" t="inlineStr">
        <is>
          <t>1992</t>
        </is>
      </c>
      <c r="Q552" t="inlineStr">
        <is>
          <t>eng</t>
        </is>
      </c>
      <c r="R552" t="inlineStr">
        <is>
          <t>mou</t>
        </is>
      </c>
      <c r="T552" t="inlineStr">
        <is>
          <t xml:space="preserve">WY </t>
        </is>
      </c>
      <c r="U552" t="n">
        <v>0</v>
      </c>
      <c r="V552" t="n">
        <v>0</v>
      </c>
      <c r="W552" t="inlineStr">
        <is>
          <t>2002-07-21</t>
        </is>
      </c>
      <c r="X552" t="inlineStr">
        <is>
          <t>2002-07-21</t>
        </is>
      </c>
      <c r="Y552" t="inlineStr">
        <is>
          <t>2000-06-15</t>
        </is>
      </c>
      <c r="Z552" t="inlineStr">
        <is>
          <t>2000-06-15</t>
        </is>
      </c>
      <c r="AA552" t="n">
        <v>124</v>
      </c>
      <c r="AB552" t="n">
        <v>114</v>
      </c>
      <c r="AC552" t="n">
        <v>125</v>
      </c>
      <c r="AD552" t="n">
        <v>2</v>
      </c>
      <c r="AE552" t="n">
        <v>2</v>
      </c>
      <c r="AF552" t="n">
        <v>5</v>
      </c>
      <c r="AG552" t="n">
        <v>5</v>
      </c>
      <c r="AH552" t="n">
        <v>1</v>
      </c>
      <c r="AI552" t="n">
        <v>1</v>
      </c>
      <c r="AJ552" t="n">
        <v>2</v>
      </c>
      <c r="AK552" t="n">
        <v>2</v>
      </c>
      <c r="AL552" t="n">
        <v>3</v>
      </c>
      <c r="AM552" t="n">
        <v>3</v>
      </c>
      <c r="AN552" t="n">
        <v>0</v>
      </c>
      <c r="AO552" t="n">
        <v>0</v>
      </c>
      <c r="AP552" t="n">
        <v>0</v>
      </c>
      <c r="AQ552" t="n">
        <v>0</v>
      </c>
      <c r="AR552" t="inlineStr">
        <is>
          <t>No</t>
        </is>
      </c>
      <c r="AS552" t="inlineStr">
        <is>
          <t>Yes</t>
        </is>
      </c>
      <c r="AT552">
        <f>HYPERLINK("http://catalog.hathitrust.org/Record/002556260","HathiTrust Record")</f>
        <v/>
      </c>
      <c r="AU552">
        <f>HYPERLINK("https://creighton-primo.hosted.exlibrisgroup.com/primo-explore/search?tab=default_tab&amp;search_scope=EVERYTHING&amp;vid=01CRU&amp;lang=en_US&amp;offset=0&amp;query=any,contains,991000232709702656","Catalog Record")</f>
        <v/>
      </c>
      <c r="AV552">
        <f>HYPERLINK("http://www.worldcat.org/oclc/25245842","WorldCat Record")</f>
        <v/>
      </c>
      <c r="AW552" t="inlineStr">
        <is>
          <t>927595364:eng</t>
        </is>
      </c>
      <c r="AX552" t="inlineStr">
        <is>
          <t>25245842</t>
        </is>
      </c>
      <c r="AY552" t="inlineStr">
        <is>
          <t>991000232709702656</t>
        </is>
      </c>
      <c r="AZ552" t="inlineStr">
        <is>
          <t>991000232709702656</t>
        </is>
      </c>
      <c r="BA552" t="inlineStr">
        <is>
          <t>2259108200002656</t>
        </is>
      </c>
      <c r="BB552" t="inlineStr">
        <is>
          <t>BOOK</t>
        </is>
      </c>
      <c r="BD552" t="inlineStr">
        <is>
          <t>9781558100725</t>
        </is>
      </c>
      <c r="BE552" t="inlineStr">
        <is>
          <t>30001002391771</t>
        </is>
      </c>
      <c r="BF552" t="inlineStr">
        <is>
          <t>893732596</t>
        </is>
      </c>
    </row>
    <row r="553">
      <c r="A553" t="inlineStr">
        <is>
          <t>No</t>
        </is>
      </c>
      <c r="B553" t="inlineStr">
        <is>
          <t>CUHSL</t>
        </is>
      </c>
      <c r="C553" t="inlineStr">
        <is>
          <t>SHELVES</t>
        </is>
      </c>
      <c r="D553" t="inlineStr">
        <is>
          <t>WY 26.5 E53 1995</t>
        </is>
      </c>
      <c r="E553" t="inlineStr">
        <is>
          <t>0                      WY 0026500E  53          1995</t>
        </is>
      </c>
      <c r="F553" t="inlineStr">
        <is>
          <t>An Emerging framework : data system advances for clinical nursing practice.</t>
        </is>
      </c>
      <c r="H553" t="inlineStr">
        <is>
          <t>No</t>
        </is>
      </c>
      <c r="I553" t="inlineStr">
        <is>
          <t>1</t>
        </is>
      </c>
      <c r="J553" t="inlineStr">
        <is>
          <t>No</t>
        </is>
      </c>
      <c r="K553" t="inlineStr">
        <is>
          <t>No</t>
        </is>
      </c>
      <c r="L553" t="inlineStr">
        <is>
          <t>0</t>
        </is>
      </c>
      <c r="N553" t="inlineStr">
        <is>
          <t>Washington, D.C. : American Nurses Association, [1995]</t>
        </is>
      </c>
      <c r="O553" t="inlineStr">
        <is>
          <t>1995</t>
        </is>
      </c>
      <c r="Q553" t="inlineStr">
        <is>
          <t>eng</t>
        </is>
      </c>
      <c r="R553" t="inlineStr">
        <is>
          <t>dcu</t>
        </is>
      </c>
      <c r="S553" t="inlineStr">
        <is>
          <t>ANA pub. no. np-94 7.5M</t>
        </is>
      </c>
      <c r="T553" t="inlineStr">
        <is>
          <t xml:space="preserve">WY </t>
        </is>
      </c>
      <c r="U553" t="n">
        <v>1</v>
      </c>
      <c r="V553" t="n">
        <v>1</v>
      </c>
      <c r="W553" t="inlineStr">
        <is>
          <t>2002-06-04</t>
        </is>
      </c>
      <c r="X553" t="inlineStr">
        <is>
          <t>2002-06-04</t>
        </is>
      </c>
      <c r="Y553" t="inlineStr">
        <is>
          <t>2000-06-15</t>
        </is>
      </c>
      <c r="Z553" t="inlineStr">
        <is>
          <t>2000-06-15</t>
        </is>
      </c>
      <c r="AA553" t="n">
        <v>128</v>
      </c>
      <c r="AB553" t="n">
        <v>120</v>
      </c>
      <c r="AC553" t="n">
        <v>122</v>
      </c>
      <c r="AD553" t="n">
        <v>2</v>
      </c>
      <c r="AE553" t="n">
        <v>2</v>
      </c>
      <c r="AF553" t="n">
        <v>7</v>
      </c>
      <c r="AG553" t="n">
        <v>7</v>
      </c>
      <c r="AH553" t="n">
        <v>2</v>
      </c>
      <c r="AI553" t="n">
        <v>2</v>
      </c>
      <c r="AJ553" t="n">
        <v>2</v>
      </c>
      <c r="AK553" t="n">
        <v>2</v>
      </c>
      <c r="AL553" t="n">
        <v>4</v>
      </c>
      <c r="AM553" t="n">
        <v>4</v>
      </c>
      <c r="AN553" t="n">
        <v>0</v>
      </c>
      <c r="AO553" t="n">
        <v>0</v>
      </c>
      <c r="AP553" t="n">
        <v>0</v>
      </c>
      <c r="AQ553" t="n">
        <v>0</v>
      </c>
      <c r="AR553" t="inlineStr">
        <is>
          <t>No</t>
        </is>
      </c>
      <c r="AS553" t="inlineStr">
        <is>
          <t>Yes</t>
        </is>
      </c>
      <c r="AT553">
        <f>HYPERLINK("http://catalog.hathitrust.org/Record/003027935","HathiTrust Record")</f>
        <v/>
      </c>
      <c r="AU553">
        <f>HYPERLINK("https://creighton-primo.hosted.exlibrisgroup.com/primo-explore/search?tab=default_tab&amp;search_scope=EVERYTHING&amp;vid=01CRU&amp;lang=en_US&amp;offset=0&amp;query=any,contains,991000257019702656","Catalog Record")</f>
        <v/>
      </c>
      <c r="AV553">
        <f>HYPERLINK("http://www.worldcat.org/oclc/33054868","WorldCat Record")</f>
        <v/>
      </c>
      <c r="AW553" t="inlineStr">
        <is>
          <t>55967673:eng</t>
        </is>
      </c>
      <c r="AX553" t="inlineStr">
        <is>
          <t>33054868</t>
        </is>
      </c>
      <c r="AY553" t="inlineStr">
        <is>
          <t>991000257019702656</t>
        </is>
      </c>
      <c r="AZ553" t="inlineStr">
        <is>
          <t>991000257019702656</t>
        </is>
      </c>
      <c r="BA553" t="inlineStr">
        <is>
          <t>2256389550002656</t>
        </is>
      </c>
      <c r="BB553" t="inlineStr">
        <is>
          <t>BOOK</t>
        </is>
      </c>
      <c r="BD553" t="inlineStr">
        <is>
          <t>9781558101067</t>
        </is>
      </c>
      <c r="BE553" t="inlineStr">
        <is>
          <t>30001003286954</t>
        </is>
      </c>
      <c r="BF553" t="inlineStr">
        <is>
          <t>893150364</t>
        </is>
      </c>
    </row>
    <row r="554">
      <c r="A554" t="inlineStr">
        <is>
          <t>No</t>
        </is>
      </c>
      <c r="B554" t="inlineStr">
        <is>
          <t>CUHSL</t>
        </is>
      </c>
      <c r="C554" t="inlineStr">
        <is>
          <t>SHELVES</t>
        </is>
      </c>
      <c r="D554" t="inlineStr">
        <is>
          <t>WY26.5 H443h 2005</t>
        </is>
      </c>
      <c r="E554" t="inlineStr">
        <is>
          <t>0                      WY 0026500H  443h        2005</t>
        </is>
      </c>
      <c r="F554" t="inlineStr">
        <is>
          <t>Handbook of informatics for nurses and health care professionals / Toni Hebda, Patricia Czar, Cynthia Mascara.</t>
        </is>
      </c>
      <c r="H554" t="inlineStr">
        <is>
          <t>No</t>
        </is>
      </c>
      <c r="I554" t="inlineStr">
        <is>
          <t>1</t>
        </is>
      </c>
      <c r="J554" t="inlineStr">
        <is>
          <t>No</t>
        </is>
      </c>
      <c r="K554" t="inlineStr">
        <is>
          <t>No</t>
        </is>
      </c>
      <c r="L554" t="inlineStr">
        <is>
          <t>0</t>
        </is>
      </c>
      <c r="M554" t="inlineStr">
        <is>
          <t>Hebda, Toni.</t>
        </is>
      </c>
      <c r="N554" t="inlineStr">
        <is>
          <t>Upper Saddle River, N.J. : Pearson Prentice Hall, c2005.</t>
        </is>
      </c>
      <c r="O554" t="inlineStr">
        <is>
          <t>2005</t>
        </is>
      </c>
      <c r="P554" t="inlineStr">
        <is>
          <t>3rd ed.</t>
        </is>
      </c>
      <c r="Q554" t="inlineStr">
        <is>
          <t>eng</t>
        </is>
      </c>
      <c r="R554" t="inlineStr">
        <is>
          <t>nju</t>
        </is>
      </c>
      <c r="T554" t="inlineStr">
        <is>
          <t xml:space="preserve">WY </t>
        </is>
      </c>
      <c r="U554" t="n">
        <v>4</v>
      </c>
      <c r="V554" t="n">
        <v>4</v>
      </c>
      <c r="W554" t="inlineStr">
        <is>
          <t>2006-10-20</t>
        </is>
      </c>
      <c r="X554" t="inlineStr">
        <is>
          <t>2006-10-20</t>
        </is>
      </c>
      <c r="Y554" t="inlineStr">
        <is>
          <t>2005-12-21</t>
        </is>
      </c>
      <c r="Z554" t="inlineStr">
        <is>
          <t>2005-12-21</t>
        </is>
      </c>
      <c r="AA554" t="n">
        <v>299</v>
      </c>
      <c r="AB554" t="n">
        <v>220</v>
      </c>
      <c r="AC554" t="n">
        <v>699</v>
      </c>
      <c r="AD554" t="n">
        <v>1</v>
      </c>
      <c r="AE554" t="n">
        <v>2</v>
      </c>
      <c r="AF554" t="n">
        <v>7</v>
      </c>
      <c r="AG554" t="n">
        <v>23</v>
      </c>
      <c r="AH554" t="n">
        <v>2</v>
      </c>
      <c r="AI554" t="n">
        <v>7</v>
      </c>
      <c r="AJ554" t="n">
        <v>2</v>
      </c>
      <c r="AK554" t="n">
        <v>7</v>
      </c>
      <c r="AL554" t="n">
        <v>6</v>
      </c>
      <c r="AM554" t="n">
        <v>12</v>
      </c>
      <c r="AN554" t="n">
        <v>0</v>
      </c>
      <c r="AO554" t="n">
        <v>1</v>
      </c>
      <c r="AP554" t="n">
        <v>0</v>
      </c>
      <c r="AQ554" t="n">
        <v>0</v>
      </c>
      <c r="AR554" t="inlineStr">
        <is>
          <t>No</t>
        </is>
      </c>
      <c r="AS554" t="inlineStr">
        <is>
          <t>Yes</t>
        </is>
      </c>
      <c r="AT554">
        <f>HYPERLINK("http://catalog.hathitrust.org/Record/004908460","HathiTrust Record")</f>
        <v/>
      </c>
      <c r="AU554">
        <f>HYPERLINK("https://creighton-primo.hosted.exlibrisgroup.com/primo-explore/search?tab=default_tab&amp;search_scope=EVERYTHING&amp;vid=01CRU&amp;lang=en_US&amp;offset=0&amp;query=any,contains,991001736399702656","Catalog Record")</f>
        <v/>
      </c>
      <c r="AV554">
        <f>HYPERLINK("http://www.worldcat.org/oclc/54906877","WorldCat Record")</f>
        <v/>
      </c>
      <c r="AW554" t="inlineStr">
        <is>
          <t>429375:eng</t>
        </is>
      </c>
      <c r="AX554" t="inlineStr">
        <is>
          <t>54906877</t>
        </is>
      </c>
      <c r="AY554" t="inlineStr">
        <is>
          <t>991001736399702656</t>
        </is>
      </c>
      <c r="AZ554" t="inlineStr">
        <is>
          <t>991001736399702656</t>
        </is>
      </c>
      <c r="BA554" t="inlineStr">
        <is>
          <t>2257352000002656</t>
        </is>
      </c>
      <c r="BB554" t="inlineStr">
        <is>
          <t>BOOK</t>
        </is>
      </c>
      <c r="BD554" t="inlineStr">
        <is>
          <t>9780131512627</t>
        </is>
      </c>
      <c r="BE554" t="inlineStr">
        <is>
          <t>30001004911139</t>
        </is>
      </c>
      <c r="BF554" t="inlineStr">
        <is>
          <t>893369839</t>
        </is>
      </c>
    </row>
    <row r="555">
      <c r="A555" t="inlineStr">
        <is>
          <t>No</t>
        </is>
      </c>
      <c r="B555" t="inlineStr">
        <is>
          <t>CUHSL</t>
        </is>
      </c>
      <c r="C555" t="inlineStr">
        <is>
          <t>SHELVES</t>
        </is>
      </c>
      <c r="D555" t="inlineStr">
        <is>
          <t>WY 26.5 H939n 2004</t>
        </is>
      </c>
      <c r="E555" t="inlineStr">
        <is>
          <t>0                      WY 0026500H  939n        2004</t>
        </is>
      </c>
      <c r="F555" t="inlineStr">
        <is>
          <t>The nursing informatics implementation guide / Eleanor Callahan Hunt, Sara Breckenridge Sproat, Rebecca Rutherford Kitzmiller.</t>
        </is>
      </c>
      <c r="H555" t="inlineStr">
        <is>
          <t>No</t>
        </is>
      </c>
      <c r="I555" t="inlineStr">
        <is>
          <t>1</t>
        </is>
      </c>
      <c r="J555" t="inlineStr">
        <is>
          <t>No</t>
        </is>
      </c>
      <c r="K555" t="inlineStr">
        <is>
          <t>No</t>
        </is>
      </c>
      <c r="L555" t="inlineStr">
        <is>
          <t>0</t>
        </is>
      </c>
      <c r="M555" t="inlineStr">
        <is>
          <t>Hunt, Eleanor C.</t>
        </is>
      </c>
      <c r="N555" t="inlineStr">
        <is>
          <t>New York : Springer, c2004.</t>
        </is>
      </c>
      <c r="O555" t="inlineStr">
        <is>
          <t>2004</t>
        </is>
      </c>
      <c r="Q555" t="inlineStr">
        <is>
          <t>eng</t>
        </is>
      </c>
      <c r="R555" t="inlineStr">
        <is>
          <t>nyu</t>
        </is>
      </c>
      <c r="S555" t="inlineStr">
        <is>
          <t>Health informatics series</t>
        </is>
      </c>
      <c r="T555" t="inlineStr">
        <is>
          <t xml:space="preserve">WY </t>
        </is>
      </c>
      <c r="U555" t="n">
        <v>1</v>
      </c>
      <c r="V555" t="n">
        <v>1</v>
      </c>
      <c r="W555" t="inlineStr">
        <is>
          <t>2004-10-04</t>
        </is>
      </c>
      <c r="X555" t="inlineStr">
        <is>
          <t>2004-10-04</t>
        </is>
      </c>
      <c r="Y555" t="inlineStr">
        <is>
          <t>2004-09-29</t>
        </is>
      </c>
      <c r="Z555" t="inlineStr">
        <is>
          <t>2004-09-29</t>
        </is>
      </c>
      <c r="AA555" t="n">
        <v>206</v>
      </c>
      <c r="AB555" t="n">
        <v>146</v>
      </c>
      <c r="AC555" t="n">
        <v>177</v>
      </c>
      <c r="AD555" t="n">
        <v>1</v>
      </c>
      <c r="AE555" t="n">
        <v>1</v>
      </c>
      <c r="AF555" t="n">
        <v>5</v>
      </c>
      <c r="AG555" t="n">
        <v>7</v>
      </c>
      <c r="AH555" t="n">
        <v>1</v>
      </c>
      <c r="AI555" t="n">
        <v>2</v>
      </c>
      <c r="AJ555" t="n">
        <v>2</v>
      </c>
      <c r="AK555" t="n">
        <v>3</v>
      </c>
      <c r="AL555" t="n">
        <v>2</v>
      </c>
      <c r="AM555" t="n">
        <v>3</v>
      </c>
      <c r="AN555" t="n">
        <v>0</v>
      </c>
      <c r="AO555" t="n">
        <v>0</v>
      </c>
      <c r="AP555" t="n">
        <v>0</v>
      </c>
      <c r="AQ555" t="n">
        <v>0</v>
      </c>
      <c r="AR555" t="inlineStr">
        <is>
          <t>No</t>
        </is>
      </c>
      <c r="AS555" t="inlineStr">
        <is>
          <t>No</t>
        </is>
      </c>
      <c r="AU555">
        <f>HYPERLINK("https://creighton-primo.hosted.exlibrisgroup.com/primo-explore/search?tab=default_tab&amp;search_scope=EVERYTHING&amp;vid=01CRU&amp;lang=en_US&amp;offset=0&amp;query=any,contains,991000398579702656","Catalog Record")</f>
        <v/>
      </c>
      <c r="AV555">
        <f>HYPERLINK("http://www.worldcat.org/oclc/52813807","WorldCat Record")</f>
        <v/>
      </c>
      <c r="AW555" t="inlineStr">
        <is>
          <t>145568599:eng</t>
        </is>
      </c>
      <c r="AX555" t="inlineStr">
        <is>
          <t>52813807</t>
        </is>
      </c>
      <c r="AY555" t="inlineStr">
        <is>
          <t>991000398579702656</t>
        </is>
      </c>
      <c r="AZ555" t="inlineStr">
        <is>
          <t>991000398579702656</t>
        </is>
      </c>
      <c r="BA555" t="inlineStr">
        <is>
          <t>2271445910002656</t>
        </is>
      </c>
      <c r="BB555" t="inlineStr">
        <is>
          <t>BOOK</t>
        </is>
      </c>
      <c r="BD555" t="inlineStr">
        <is>
          <t>9780387408378</t>
        </is>
      </c>
      <c r="BE555" t="inlineStr">
        <is>
          <t>30001004810455</t>
        </is>
      </c>
      <c r="BF555" t="inlineStr">
        <is>
          <t>893827453</t>
        </is>
      </c>
    </row>
    <row r="556">
      <c r="A556" t="inlineStr">
        <is>
          <t>No</t>
        </is>
      </c>
      <c r="B556" t="inlineStr">
        <is>
          <t>CUHSL</t>
        </is>
      </c>
      <c r="C556" t="inlineStr">
        <is>
          <t>SHELVES</t>
        </is>
      </c>
      <c r="D556" t="inlineStr">
        <is>
          <t>WY 26.5 I43 1990</t>
        </is>
      </c>
      <c r="E556" t="inlineStr">
        <is>
          <t>0                      WY 0026500I  43          1990</t>
        </is>
      </c>
      <c r="F556" t="inlineStr">
        <is>
          <t>Information management and computers / Michael R. Bleich, Michael J. Bratton, [editors].</t>
        </is>
      </c>
      <c r="H556" t="inlineStr">
        <is>
          <t>No</t>
        </is>
      </c>
      <c r="I556" t="inlineStr">
        <is>
          <t>1</t>
        </is>
      </c>
      <c r="J556" t="inlineStr">
        <is>
          <t>No</t>
        </is>
      </c>
      <c r="K556" t="inlineStr">
        <is>
          <t>No</t>
        </is>
      </c>
      <c r="L556" t="inlineStr">
        <is>
          <t>0</t>
        </is>
      </c>
      <c r="N556" t="inlineStr">
        <is>
          <t>Baltimore : Williams &amp; Wilkins, c1990.</t>
        </is>
      </c>
      <c r="O556" t="inlineStr">
        <is>
          <t>1990</t>
        </is>
      </c>
      <c r="Q556" t="inlineStr">
        <is>
          <t>eng</t>
        </is>
      </c>
      <c r="R556" t="inlineStr">
        <is>
          <t>mdu</t>
        </is>
      </c>
      <c r="S556" t="inlineStr">
        <is>
          <t>Nurse managers' bookshelf : a quarterly series ; v. 2, no. 2 (June 1990).</t>
        </is>
      </c>
      <c r="T556" t="inlineStr">
        <is>
          <t xml:space="preserve">WY </t>
        </is>
      </c>
      <c r="U556" t="n">
        <v>11</v>
      </c>
      <c r="V556" t="n">
        <v>11</v>
      </c>
      <c r="W556" t="inlineStr">
        <is>
          <t>2001-09-26</t>
        </is>
      </c>
      <c r="X556" t="inlineStr">
        <is>
          <t>2001-09-26</t>
        </is>
      </c>
      <c r="Y556" t="inlineStr">
        <is>
          <t>1992-03-25</t>
        </is>
      </c>
      <c r="Z556" t="inlineStr">
        <is>
          <t>1992-03-25</t>
        </is>
      </c>
      <c r="AA556" t="n">
        <v>35</v>
      </c>
      <c r="AB556" t="n">
        <v>28</v>
      </c>
      <c r="AC556" t="n">
        <v>28</v>
      </c>
      <c r="AD556" t="n">
        <v>1</v>
      </c>
      <c r="AE556" t="n">
        <v>1</v>
      </c>
      <c r="AF556" t="n">
        <v>1</v>
      </c>
      <c r="AG556" t="n">
        <v>1</v>
      </c>
      <c r="AH556" t="n">
        <v>1</v>
      </c>
      <c r="AI556" t="n">
        <v>1</v>
      </c>
      <c r="AJ556" t="n">
        <v>0</v>
      </c>
      <c r="AK556" t="n">
        <v>0</v>
      </c>
      <c r="AL556" t="n">
        <v>1</v>
      </c>
      <c r="AM556" t="n">
        <v>1</v>
      </c>
      <c r="AN556" t="n">
        <v>0</v>
      </c>
      <c r="AO556" t="n">
        <v>0</v>
      </c>
      <c r="AP556" t="n">
        <v>0</v>
      </c>
      <c r="AQ556" t="n">
        <v>0</v>
      </c>
      <c r="AR556" t="inlineStr">
        <is>
          <t>No</t>
        </is>
      </c>
      <c r="AS556" t="inlineStr">
        <is>
          <t>No</t>
        </is>
      </c>
      <c r="AU556">
        <f>HYPERLINK("https://creighton-primo.hosted.exlibrisgroup.com/primo-explore/search?tab=default_tab&amp;search_scope=EVERYTHING&amp;vid=01CRU&amp;lang=en_US&amp;offset=0&amp;query=any,contains,991001035169702656","Catalog Record")</f>
        <v/>
      </c>
      <c r="AV556">
        <f>HYPERLINK("http://www.worldcat.org/oclc/22399737","WorldCat Record")</f>
        <v/>
      </c>
      <c r="AW556" t="inlineStr">
        <is>
          <t>24695861:eng</t>
        </is>
      </c>
      <c r="AX556" t="inlineStr">
        <is>
          <t>22399737</t>
        </is>
      </c>
      <c r="AY556" t="inlineStr">
        <is>
          <t>991001035169702656</t>
        </is>
      </c>
      <c r="AZ556" t="inlineStr">
        <is>
          <t>991001035169702656</t>
        </is>
      </c>
      <c r="BA556" t="inlineStr">
        <is>
          <t>2267014480002656</t>
        </is>
      </c>
      <c r="BB556" t="inlineStr">
        <is>
          <t>BOOK</t>
        </is>
      </c>
      <c r="BD556" t="inlineStr">
        <is>
          <t>9780683065336</t>
        </is>
      </c>
      <c r="BE556" t="inlineStr">
        <is>
          <t>30001002244624</t>
        </is>
      </c>
      <c r="BF556" t="inlineStr">
        <is>
          <t>893161633</t>
        </is>
      </c>
    </row>
    <row r="557">
      <c r="A557" t="inlineStr">
        <is>
          <t>No</t>
        </is>
      </c>
      <c r="B557" t="inlineStr">
        <is>
          <t>CUHSL</t>
        </is>
      </c>
      <c r="C557" t="inlineStr">
        <is>
          <t>SHELVES</t>
        </is>
      </c>
      <c r="D557" t="inlineStr">
        <is>
          <t>WY 26.5 N645c 1998</t>
        </is>
      </c>
      <c r="E557" t="inlineStr">
        <is>
          <t>0                      WY 0026500N  645c        1998</t>
        </is>
      </c>
      <c r="F557" t="inlineStr">
        <is>
          <t>Computers in nursing's nurses' guide to the Internet.</t>
        </is>
      </c>
      <c r="H557" t="inlineStr">
        <is>
          <t>No</t>
        </is>
      </c>
      <c r="I557" t="inlineStr">
        <is>
          <t>1</t>
        </is>
      </c>
      <c r="J557" t="inlineStr">
        <is>
          <t>No</t>
        </is>
      </c>
      <c r="K557" t="inlineStr">
        <is>
          <t>No</t>
        </is>
      </c>
      <c r="L557" t="inlineStr">
        <is>
          <t>0</t>
        </is>
      </c>
      <c r="M557" t="inlineStr">
        <is>
          <t>Nicoll, Leslie H.</t>
        </is>
      </c>
      <c r="N557" t="inlineStr">
        <is>
          <t>Philadelphia : Lippincott, c1998.</t>
        </is>
      </c>
      <c r="O557" t="inlineStr">
        <is>
          <t>1998</t>
        </is>
      </c>
      <c r="P557" t="inlineStr">
        <is>
          <t>2nd ed. / Leslie H. Nicoll.</t>
        </is>
      </c>
      <c r="Q557" t="inlineStr">
        <is>
          <t>eng</t>
        </is>
      </c>
      <c r="R557" t="inlineStr">
        <is>
          <t>pau</t>
        </is>
      </c>
      <c r="T557" t="inlineStr">
        <is>
          <t xml:space="preserve">WY </t>
        </is>
      </c>
      <c r="U557" t="n">
        <v>8</v>
      </c>
      <c r="V557" t="n">
        <v>8</v>
      </c>
      <c r="W557" t="inlineStr">
        <is>
          <t>2000-07-25</t>
        </is>
      </c>
      <c r="X557" t="inlineStr">
        <is>
          <t>2000-07-25</t>
        </is>
      </c>
      <c r="Y557" t="inlineStr">
        <is>
          <t>1999-11-05</t>
        </is>
      </c>
      <c r="Z557" t="inlineStr">
        <is>
          <t>1999-11-05</t>
        </is>
      </c>
      <c r="AA557" t="n">
        <v>160</v>
      </c>
      <c r="AB557" t="n">
        <v>116</v>
      </c>
      <c r="AC557" t="n">
        <v>380</v>
      </c>
      <c r="AD557" t="n">
        <v>1</v>
      </c>
      <c r="AE557" t="n">
        <v>1</v>
      </c>
      <c r="AF557" t="n">
        <v>2</v>
      </c>
      <c r="AG557" t="n">
        <v>11</v>
      </c>
      <c r="AH557" t="n">
        <v>1</v>
      </c>
      <c r="AI557" t="n">
        <v>5</v>
      </c>
      <c r="AJ557" t="n">
        <v>0</v>
      </c>
      <c r="AK557" t="n">
        <v>1</v>
      </c>
      <c r="AL557" t="n">
        <v>1</v>
      </c>
      <c r="AM557" t="n">
        <v>8</v>
      </c>
      <c r="AN557" t="n">
        <v>0</v>
      </c>
      <c r="AO557" t="n">
        <v>0</v>
      </c>
      <c r="AP557" t="n">
        <v>0</v>
      </c>
      <c r="AQ557" t="n">
        <v>0</v>
      </c>
      <c r="AR557" t="inlineStr">
        <is>
          <t>No</t>
        </is>
      </c>
      <c r="AS557" t="inlineStr">
        <is>
          <t>Yes</t>
        </is>
      </c>
      <c r="AT557">
        <f>HYPERLINK("http://catalog.hathitrust.org/Record/003970997","HathiTrust Record")</f>
        <v/>
      </c>
      <c r="AU557">
        <f>HYPERLINK("https://creighton-primo.hosted.exlibrisgroup.com/primo-explore/search?tab=default_tab&amp;search_scope=EVERYTHING&amp;vid=01CRU&amp;lang=en_US&amp;offset=0&amp;query=any,contains,991001572049702656","Catalog Record")</f>
        <v/>
      </c>
      <c r="AV557">
        <f>HYPERLINK("http://www.worldcat.org/oclc/38017012","WorldCat Record")</f>
        <v/>
      </c>
      <c r="AW557" t="inlineStr">
        <is>
          <t>2564813115:eng</t>
        </is>
      </c>
      <c r="AX557" t="inlineStr">
        <is>
          <t>38017012</t>
        </is>
      </c>
      <c r="AY557" t="inlineStr">
        <is>
          <t>991001572049702656</t>
        </is>
      </c>
      <c r="AZ557" t="inlineStr">
        <is>
          <t>991001572049702656</t>
        </is>
      </c>
      <c r="BA557" t="inlineStr">
        <is>
          <t>2266637570002656</t>
        </is>
      </c>
      <c r="BB557" t="inlineStr">
        <is>
          <t>BOOK</t>
        </is>
      </c>
      <c r="BD557" t="inlineStr">
        <is>
          <t>9780781714358</t>
        </is>
      </c>
      <c r="BE557" t="inlineStr">
        <is>
          <t>30001004080349</t>
        </is>
      </c>
      <c r="BF557" t="inlineStr">
        <is>
          <t>893369490</t>
        </is>
      </c>
    </row>
    <row r="558">
      <c r="A558" t="inlineStr">
        <is>
          <t>No</t>
        </is>
      </c>
      <c r="B558" t="inlineStr">
        <is>
          <t>CUHSL</t>
        </is>
      </c>
      <c r="C558" t="inlineStr">
        <is>
          <t>SHELVES</t>
        </is>
      </c>
      <c r="D558" t="inlineStr">
        <is>
          <t>WY 26.5 N9735 1998</t>
        </is>
      </c>
      <c r="E558" t="inlineStr">
        <is>
          <t>0                      WY 0026500N  9735        1998</t>
        </is>
      </c>
      <c r="F558" t="inlineStr">
        <is>
          <t>Nursing and computers : an anthology, 1987-1996 / Virginia K. Saba, Dorothy B. Pocklington, Kenneth P. Miller, editors.</t>
        </is>
      </c>
      <c r="H558" t="inlineStr">
        <is>
          <t>No</t>
        </is>
      </c>
      <c r="I558" t="inlineStr">
        <is>
          <t>1</t>
        </is>
      </c>
      <c r="J558" t="inlineStr">
        <is>
          <t>No</t>
        </is>
      </c>
      <c r="K558" t="inlineStr">
        <is>
          <t>No</t>
        </is>
      </c>
      <c r="L558" t="inlineStr">
        <is>
          <t>0</t>
        </is>
      </c>
      <c r="N558" t="inlineStr">
        <is>
          <t>New York : Springer, c1998.</t>
        </is>
      </c>
      <c r="O558" t="inlineStr">
        <is>
          <t>1998</t>
        </is>
      </c>
      <c r="Q558" t="inlineStr">
        <is>
          <t>eng</t>
        </is>
      </c>
      <c r="R558" t="inlineStr">
        <is>
          <t>nyu</t>
        </is>
      </c>
      <c r="S558" t="inlineStr">
        <is>
          <t>Computers and medicine</t>
        </is>
      </c>
      <c r="T558" t="inlineStr">
        <is>
          <t xml:space="preserve">WY </t>
        </is>
      </c>
      <c r="U558" t="n">
        <v>17</v>
      </c>
      <c r="V558" t="n">
        <v>17</v>
      </c>
      <c r="W558" t="inlineStr">
        <is>
          <t>2002-06-04</t>
        </is>
      </c>
      <c r="X558" t="inlineStr">
        <is>
          <t>2002-06-04</t>
        </is>
      </c>
      <c r="Y558" t="inlineStr">
        <is>
          <t>1998-02-27</t>
        </is>
      </c>
      <c r="Z558" t="inlineStr">
        <is>
          <t>1998-02-27</t>
        </is>
      </c>
      <c r="AA558" t="n">
        <v>129</v>
      </c>
      <c r="AB558" t="n">
        <v>89</v>
      </c>
      <c r="AC558" t="n">
        <v>118</v>
      </c>
      <c r="AD558" t="n">
        <v>2</v>
      </c>
      <c r="AE558" t="n">
        <v>2</v>
      </c>
      <c r="AF558" t="n">
        <v>7</v>
      </c>
      <c r="AG558" t="n">
        <v>8</v>
      </c>
      <c r="AH558" t="n">
        <v>2</v>
      </c>
      <c r="AI558" t="n">
        <v>2</v>
      </c>
      <c r="AJ558" t="n">
        <v>2</v>
      </c>
      <c r="AK558" t="n">
        <v>2</v>
      </c>
      <c r="AL558" t="n">
        <v>3</v>
      </c>
      <c r="AM558" t="n">
        <v>4</v>
      </c>
      <c r="AN558" t="n">
        <v>1</v>
      </c>
      <c r="AO558" t="n">
        <v>1</v>
      </c>
      <c r="AP558" t="n">
        <v>0</v>
      </c>
      <c r="AQ558" t="n">
        <v>0</v>
      </c>
      <c r="AR558" t="inlineStr">
        <is>
          <t>No</t>
        </is>
      </c>
      <c r="AS558" t="inlineStr">
        <is>
          <t>Yes</t>
        </is>
      </c>
      <c r="AT558">
        <f>HYPERLINK("http://catalog.hathitrust.org/Record/003968768","HathiTrust Record")</f>
        <v/>
      </c>
      <c r="AU558">
        <f>HYPERLINK("https://creighton-primo.hosted.exlibrisgroup.com/primo-explore/search?tab=default_tab&amp;search_scope=EVERYTHING&amp;vid=01CRU&amp;lang=en_US&amp;offset=0&amp;query=any,contains,991001306129702656","Catalog Record")</f>
        <v/>
      </c>
      <c r="AV558">
        <f>HYPERLINK("http://www.worldcat.org/oclc/36682360","WorldCat Record")</f>
        <v/>
      </c>
      <c r="AW558" t="inlineStr">
        <is>
          <t>9657921184:eng</t>
        </is>
      </c>
      <c r="AX558" t="inlineStr">
        <is>
          <t>36682360</t>
        </is>
      </c>
      <c r="AY558" t="inlineStr">
        <is>
          <t>991001306129702656</t>
        </is>
      </c>
      <c r="AZ558" t="inlineStr">
        <is>
          <t>991001306129702656</t>
        </is>
      </c>
      <c r="BA558" t="inlineStr">
        <is>
          <t>2258556030002656</t>
        </is>
      </c>
      <c r="BB558" t="inlineStr">
        <is>
          <t>BOOK</t>
        </is>
      </c>
      <c r="BD558" t="inlineStr">
        <is>
          <t>9780387949550</t>
        </is>
      </c>
      <c r="BE558" t="inlineStr">
        <is>
          <t>30001003749845</t>
        </is>
      </c>
      <c r="BF558" t="inlineStr">
        <is>
          <t>893740981</t>
        </is>
      </c>
    </row>
    <row r="559">
      <c r="A559" t="inlineStr">
        <is>
          <t>No</t>
        </is>
      </c>
      <c r="B559" t="inlineStr">
        <is>
          <t>CUHSL</t>
        </is>
      </c>
      <c r="C559" t="inlineStr">
        <is>
          <t>SHELVES</t>
        </is>
      </c>
      <c r="D559" t="inlineStr">
        <is>
          <t>WY 26.5 P927 1988</t>
        </is>
      </c>
      <c r="E559" t="inlineStr">
        <is>
          <t>0                      WY 0026500P  927         1988</t>
        </is>
      </c>
      <c r="F559" t="inlineStr">
        <is>
          <t>Preparing nurses for using information systems : recommended informatics competencies / edited by Hans E. Peterson, Ulla Gerdin-Jelgers.</t>
        </is>
      </c>
      <c r="H559" t="inlineStr">
        <is>
          <t>No</t>
        </is>
      </c>
      <c r="I559" t="inlineStr">
        <is>
          <t>1</t>
        </is>
      </c>
      <c r="J559" t="inlineStr">
        <is>
          <t>No</t>
        </is>
      </c>
      <c r="K559" t="inlineStr">
        <is>
          <t>No</t>
        </is>
      </c>
      <c r="L559" t="inlineStr">
        <is>
          <t>0</t>
        </is>
      </c>
      <c r="N559" t="inlineStr">
        <is>
          <t>New York : National League for Nursing, c1988.</t>
        </is>
      </c>
      <c r="O559" t="inlineStr">
        <is>
          <t>1988</t>
        </is>
      </c>
      <c r="Q559" t="inlineStr">
        <is>
          <t>eng</t>
        </is>
      </c>
      <c r="R559" t="inlineStr">
        <is>
          <t>nyu</t>
        </is>
      </c>
      <c r="S559" t="inlineStr">
        <is>
          <t>"Pub. no. 14-2234"</t>
        </is>
      </c>
      <c r="T559" t="inlineStr">
        <is>
          <t xml:space="preserve">WY </t>
        </is>
      </c>
      <c r="U559" t="n">
        <v>7</v>
      </c>
      <c r="V559" t="n">
        <v>7</v>
      </c>
      <c r="W559" t="inlineStr">
        <is>
          <t>1995-06-06</t>
        </is>
      </c>
      <c r="X559" t="inlineStr">
        <is>
          <t>1995-06-06</t>
        </is>
      </c>
      <c r="Y559" t="inlineStr">
        <is>
          <t>1988-06-18</t>
        </is>
      </c>
      <c r="Z559" t="inlineStr">
        <is>
          <t>1988-06-18</t>
        </is>
      </c>
      <c r="AA559" t="n">
        <v>167</v>
      </c>
      <c r="AB559" t="n">
        <v>134</v>
      </c>
      <c r="AC559" t="n">
        <v>136</v>
      </c>
      <c r="AD559" t="n">
        <v>2</v>
      </c>
      <c r="AE559" t="n">
        <v>2</v>
      </c>
      <c r="AF559" t="n">
        <v>7</v>
      </c>
      <c r="AG559" t="n">
        <v>7</v>
      </c>
      <c r="AH559" t="n">
        <v>1</v>
      </c>
      <c r="AI559" t="n">
        <v>1</v>
      </c>
      <c r="AJ559" t="n">
        <v>2</v>
      </c>
      <c r="AK559" t="n">
        <v>2</v>
      </c>
      <c r="AL559" t="n">
        <v>4</v>
      </c>
      <c r="AM559" t="n">
        <v>4</v>
      </c>
      <c r="AN559" t="n">
        <v>0</v>
      </c>
      <c r="AO559" t="n">
        <v>0</v>
      </c>
      <c r="AP559" t="n">
        <v>0</v>
      </c>
      <c r="AQ559" t="n">
        <v>0</v>
      </c>
      <c r="AR559" t="inlineStr">
        <is>
          <t>No</t>
        </is>
      </c>
      <c r="AS559" t="inlineStr">
        <is>
          <t>Yes</t>
        </is>
      </c>
      <c r="AT559">
        <f>HYPERLINK("http://catalog.hathitrust.org/Record/002506715","HathiTrust Record")</f>
        <v/>
      </c>
      <c r="AU559">
        <f>HYPERLINK("https://creighton-primo.hosted.exlibrisgroup.com/primo-explore/search?tab=default_tab&amp;search_scope=EVERYTHING&amp;vid=01CRU&amp;lang=en_US&amp;offset=0&amp;query=any,contains,991001414979702656","Catalog Record")</f>
        <v/>
      </c>
      <c r="AV559">
        <f>HYPERLINK("http://www.worldcat.org/oclc/18001524","WorldCat Record")</f>
        <v/>
      </c>
      <c r="AW559" t="inlineStr">
        <is>
          <t>423096157:eng</t>
        </is>
      </c>
      <c r="AX559" t="inlineStr">
        <is>
          <t>18001524</t>
        </is>
      </c>
      <c r="AY559" t="inlineStr">
        <is>
          <t>991001414979702656</t>
        </is>
      </c>
      <c r="AZ559" t="inlineStr">
        <is>
          <t>991001414979702656</t>
        </is>
      </c>
      <c r="BA559" t="inlineStr">
        <is>
          <t>2270982740002656</t>
        </is>
      </c>
      <c r="BB559" t="inlineStr">
        <is>
          <t>BOOK</t>
        </is>
      </c>
      <c r="BD559" t="inlineStr">
        <is>
          <t>9780887374166</t>
        </is>
      </c>
      <c r="BE559" t="inlineStr">
        <is>
          <t>30001001180191</t>
        </is>
      </c>
      <c r="BF559" t="inlineStr">
        <is>
          <t>893364086</t>
        </is>
      </c>
    </row>
    <row r="560">
      <c r="A560" t="inlineStr">
        <is>
          <t>No</t>
        </is>
      </c>
      <c r="B560" t="inlineStr">
        <is>
          <t>CUHSL</t>
        </is>
      </c>
      <c r="C560" t="inlineStr">
        <is>
          <t>SHELVES</t>
        </is>
      </c>
      <c r="D560" t="inlineStr">
        <is>
          <t>WY 26.5 R768g 1987</t>
        </is>
      </c>
      <c r="E560" t="inlineStr">
        <is>
          <t>0                      WY 0026500R  768g        1987</t>
        </is>
      </c>
      <c r="F560" t="inlineStr">
        <is>
          <t>Guidelines for basic computer education in nursing / Judith S. Ronald, Diane J. Skiba.</t>
        </is>
      </c>
      <c r="H560" t="inlineStr">
        <is>
          <t>No</t>
        </is>
      </c>
      <c r="I560" t="inlineStr">
        <is>
          <t>1</t>
        </is>
      </c>
      <c r="J560" t="inlineStr">
        <is>
          <t>No</t>
        </is>
      </c>
      <c r="K560" t="inlineStr">
        <is>
          <t>No</t>
        </is>
      </c>
      <c r="L560" t="inlineStr">
        <is>
          <t>0</t>
        </is>
      </c>
      <c r="M560" t="inlineStr">
        <is>
          <t>Ronald, Judith S.</t>
        </is>
      </c>
      <c r="N560" t="inlineStr">
        <is>
          <t>New York : National League for Nursing, c1987.</t>
        </is>
      </c>
      <c r="O560" t="inlineStr">
        <is>
          <t>1987</t>
        </is>
      </c>
      <c r="Q560" t="inlineStr">
        <is>
          <t>eng</t>
        </is>
      </c>
      <c r="R560" t="inlineStr">
        <is>
          <t>nyu</t>
        </is>
      </c>
      <c r="S560" t="inlineStr">
        <is>
          <t>NLN pub. no. 41-2177</t>
        </is>
      </c>
      <c r="T560" t="inlineStr">
        <is>
          <t xml:space="preserve">WY </t>
        </is>
      </c>
      <c r="U560" t="n">
        <v>6</v>
      </c>
      <c r="V560" t="n">
        <v>6</v>
      </c>
      <c r="W560" t="inlineStr">
        <is>
          <t>1995-06-06</t>
        </is>
      </c>
      <c r="X560" t="inlineStr">
        <is>
          <t>1995-06-06</t>
        </is>
      </c>
      <c r="Y560" t="inlineStr">
        <is>
          <t>1987-10-27</t>
        </is>
      </c>
      <c r="Z560" t="inlineStr">
        <is>
          <t>1987-10-27</t>
        </is>
      </c>
      <c r="AA560" t="n">
        <v>173</v>
      </c>
      <c r="AB560" t="n">
        <v>144</v>
      </c>
      <c r="AC560" t="n">
        <v>144</v>
      </c>
      <c r="AD560" t="n">
        <v>2</v>
      </c>
      <c r="AE560" t="n">
        <v>2</v>
      </c>
      <c r="AF560" t="n">
        <v>6</v>
      </c>
      <c r="AG560" t="n">
        <v>6</v>
      </c>
      <c r="AH560" t="n">
        <v>1</v>
      </c>
      <c r="AI560" t="n">
        <v>1</v>
      </c>
      <c r="AJ560" t="n">
        <v>1</v>
      </c>
      <c r="AK560" t="n">
        <v>1</v>
      </c>
      <c r="AL560" t="n">
        <v>4</v>
      </c>
      <c r="AM560" t="n">
        <v>4</v>
      </c>
      <c r="AN560" t="n">
        <v>0</v>
      </c>
      <c r="AO560" t="n">
        <v>0</v>
      </c>
      <c r="AP560" t="n">
        <v>0</v>
      </c>
      <c r="AQ560" t="n">
        <v>0</v>
      </c>
      <c r="AR560" t="inlineStr">
        <is>
          <t>No</t>
        </is>
      </c>
      <c r="AS560" t="inlineStr">
        <is>
          <t>No</t>
        </is>
      </c>
      <c r="AU560">
        <f>HYPERLINK("https://creighton-primo.hosted.exlibrisgroup.com/primo-explore/search?tab=default_tab&amp;search_scope=EVERYTHING&amp;vid=01CRU&amp;lang=en_US&amp;offset=0&amp;query=any,contains,991001202239702656","Catalog Record")</f>
        <v/>
      </c>
      <c r="AV560">
        <f>HYPERLINK("http://www.worldcat.org/oclc/15914144","WorldCat Record")</f>
        <v/>
      </c>
      <c r="AW560" t="inlineStr">
        <is>
          <t>11087087:eng</t>
        </is>
      </c>
      <c r="AX560" t="inlineStr">
        <is>
          <t>15914144</t>
        </is>
      </c>
      <c r="AY560" t="inlineStr">
        <is>
          <t>991001202239702656</t>
        </is>
      </c>
      <c r="AZ560" t="inlineStr">
        <is>
          <t>991001202239702656</t>
        </is>
      </c>
      <c r="BA560" t="inlineStr">
        <is>
          <t>2263635750002656</t>
        </is>
      </c>
      <c r="BB560" t="inlineStr">
        <is>
          <t>BOOK</t>
        </is>
      </c>
      <c r="BD560" t="inlineStr">
        <is>
          <t>9780887373619</t>
        </is>
      </c>
      <c r="BE560" t="inlineStr">
        <is>
          <t>30001000317281</t>
        </is>
      </c>
      <c r="BF560" t="inlineStr">
        <is>
          <t>893284562</t>
        </is>
      </c>
    </row>
    <row r="561">
      <c r="A561" t="inlineStr">
        <is>
          <t>No</t>
        </is>
      </c>
      <c r="B561" t="inlineStr">
        <is>
          <t>CUHSL</t>
        </is>
      </c>
      <c r="C561" t="inlineStr">
        <is>
          <t>SHELVES</t>
        </is>
      </c>
      <c r="D561" t="inlineStr">
        <is>
          <t>WY 26.5 S113c 1994</t>
        </is>
      </c>
      <c r="E561" t="inlineStr">
        <is>
          <t>0                      WY 0026500S  113c        1994</t>
        </is>
      </c>
      <c r="F561" t="inlineStr">
        <is>
          <t>Computers in nursing management / Virginia K. Saba, Joyce E. Johnson, Roy L. Simpson.</t>
        </is>
      </c>
      <c r="H561" t="inlineStr">
        <is>
          <t>No</t>
        </is>
      </c>
      <c r="I561" t="inlineStr">
        <is>
          <t>1</t>
        </is>
      </c>
      <c r="J561" t="inlineStr">
        <is>
          <t>No</t>
        </is>
      </c>
      <c r="K561" t="inlineStr">
        <is>
          <t>No</t>
        </is>
      </c>
      <c r="L561" t="inlineStr">
        <is>
          <t>0</t>
        </is>
      </c>
      <c r="M561" t="inlineStr">
        <is>
          <t>Saba, Virginia K.</t>
        </is>
      </c>
      <c r="N561" t="inlineStr">
        <is>
          <t>Washington, DC : American Nurses Publ., c1994.</t>
        </is>
      </c>
      <c r="O561" t="inlineStr">
        <is>
          <t>1994</t>
        </is>
      </c>
      <c r="Q561" t="inlineStr">
        <is>
          <t>eng</t>
        </is>
      </c>
      <c r="R561" t="inlineStr">
        <is>
          <t>dcu</t>
        </is>
      </c>
      <c r="S561" t="inlineStr">
        <is>
          <t>ANA pub. NP-87 10M</t>
        </is>
      </c>
      <c r="T561" t="inlineStr">
        <is>
          <t xml:space="preserve">WY </t>
        </is>
      </c>
      <c r="U561" t="n">
        <v>0</v>
      </c>
      <c r="V561" t="n">
        <v>0</v>
      </c>
      <c r="W561" t="inlineStr">
        <is>
          <t>2003-02-11</t>
        </is>
      </c>
      <c r="X561" t="inlineStr">
        <is>
          <t>2003-02-11</t>
        </is>
      </c>
      <c r="Y561" t="inlineStr">
        <is>
          <t>2000-06-15</t>
        </is>
      </c>
      <c r="Z561" t="inlineStr">
        <is>
          <t>2000-06-15</t>
        </is>
      </c>
      <c r="AA561" t="n">
        <v>112</v>
      </c>
      <c r="AB561" t="n">
        <v>104</v>
      </c>
      <c r="AC561" t="n">
        <v>115</v>
      </c>
      <c r="AD561" t="n">
        <v>2</v>
      </c>
      <c r="AE561" t="n">
        <v>2</v>
      </c>
      <c r="AF561" t="n">
        <v>7</v>
      </c>
      <c r="AG561" t="n">
        <v>7</v>
      </c>
      <c r="AH561" t="n">
        <v>1</v>
      </c>
      <c r="AI561" t="n">
        <v>1</v>
      </c>
      <c r="AJ561" t="n">
        <v>4</v>
      </c>
      <c r="AK561" t="n">
        <v>4</v>
      </c>
      <c r="AL561" t="n">
        <v>3</v>
      </c>
      <c r="AM561" t="n">
        <v>3</v>
      </c>
      <c r="AN561" t="n">
        <v>0</v>
      </c>
      <c r="AO561" t="n">
        <v>0</v>
      </c>
      <c r="AP561" t="n">
        <v>0</v>
      </c>
      <c r="AQ561" t="n">
        <v>0</v>
      </c>
      <c r="AR561" t="inlineStr">
        <is>
          <t>No</t>
        </is>
      </c>
      <c r="AS561" t="inlineStr">
        <is>
          <t>Yes</t>
        </is>
      </c>
      <c r="AT561">
        <f>HYPERLINK("http://catalog.hathitrust.org/Record/002954584","HathiTrust Record")</f>
        <v/>
      </c>
      <c r="AU561">
        <f>HYPERLINK("https://creighton-primo.hosted.exlibrisgroup.com/primo-explore/search?tab=default_tab&amp;search_scope=EVERYTHING&amp;vid=01CRU&amp;lang=en_US&amp;offset=0&amp;query=any,contains,991000250479702656","Catalog Record")</f>
        <v/>
      </c>
      <c r="AV561">
        <f>HYPERLINK("http://www.worldcat.org/oclc/30988775","WorldCat Record")</f>
        <v/>
      </c>
      <c r="AW561" t="inlineStr">
        <is>
          <t>998702:eng</t>
        </is>
      </c>
      <c r="AX561" t="inlineStr">
        <is>
          <t>30988775</t>
        </is>
      </c>
      <c r="AY561" t="inlineStr">
        <is>
          <t>991000250479702656</t>
        </is>
      </c>
      <c r="AZ561" t="inlineStr">
        <is>
          <t>991000250479702656</t>
        </is>
      </c>
      <c r="BA561" t="inlineStr">
        <is>
          <t>2260779800002656</t>
        </is>
      </c>
      <c r="BB561" t="inlineStr">
        <is>
          <t>BOOK</t>
        </is>
      </c>
      <c r="BD561" t="inlineStr">
        <is>
          <t>9781558100992</t>
        </is>
      </c>
      <c r="BE561" t="inlineStr">
        <is>
          <t>30001003044171</t>
        </is>
      </c>
      <c r="BF561" t="inlineStr">
        <is>
          <t>893122416</t>
        </is>
      </c>
    </row>
    <row r="562">
      <c r="A562" t="inlineStr">
        <is>
          <t>No</t>
        </is>
      </c>
      <c r="B562" t="inlineStr">
        <is>
          <t>CUHSL</t>
        </is>
      </c>
      <c r="C562" t="inlineStr">
        <is>
          <t>SHELVES</t>
        </is>
      </c>
      <c r="D562" t="inlineStr">
        <is>
          <t>WY 26.5 S785 1995</t>
        </is>
      </c>
      <c r="E562" t="inlineStr">
        <is>
          <t>0                      WY 0026500S  785         1995</t>
        </is>
      </c>
      <c r="F562" t="inlineStr">
        <is>
          <t>Standards of practice for nursing informatics / [developed by the American Nurses Association's Task Force to Develop Measurement Criteria for Standards for Nursing Informatics].</t>
        </is>
      </c>
      <c r="H562" t="inlineStr">
        <is>
          <t>No</t>
        </is>
      </c>
      <c r="I562" t="inlineStr">
        <is>
          <t>1</t>
        </is>
      </c>
      <c r="J562" t="inlineStr">
        <is>
          <t>No</t>
        </is>
      </c>
      <c r="K562" t="inlineStr">
        <is>
          <t>No</t>
        </is>
      </c>
      <c r="L562" t="inlineStr">
        <is>
          <t>0</t>
        </is>
      </c>
      <c r="N562" t="inlineStr">
        <is>
          <t>Washington, DC : American Nurses Publishing, c1995.</t>
        </is>
      </c>
      <c r="O562" t="inlineStr">
        <is>
          <t>1995</t>
        </is>
      </c>
      <c r="Q562" t="inlineStr">
        <is>
          <t>eng</t>
        </is>
      </c>
      <c r="R562" t="inlineStr">
        <is>
          <t>dcu</t>
        </is>
      </c>
      <c r="S562" t="inlineStr">
        <is>
          <t>ANA NP-100 7.5M</t>
        </is>
      </c>
      <c r="T562" t="inlineStr">
        <is>
          <t xml:space="preserve">WY </t>
        </is>
      </c>
      <c r="U562" t="n">
        <v>0</v>
      </c>
      <c r="V562" t="n">
        <v>0</v>
      </c>
      <c r="W562" t="inlineStr">
        <is>
          <t>2003-02-11</t>
        </is>
      </c>
      <c r="X562" t="inlineStr">
        <is>
          <t>2003-02-11</t>
        </is>
      </c>
      <c r="Y562" t="inlineStr">
        <is>
          <t>2000-06-15</t>
        </is>
      </c>
      <c r="Z562" t="inlineStr">
        <is>
          <t>2000-06-15</t>
        </is>
      </c>
      <c r="AA562" t="n">
        <v>185</v>
      </c>
      <c r="AB562" t="n">
        <v>177</v>
      </c>
      <c r="AC562" t="n">
        <v>179</v>
      </c>
      <c r="AD562" t="n">
        <v>2</v>
      </c>
      <c r="AE562" t="n">
        <v>2</v>
      </c>
      <c r="AF562" t="n">
        <v>8</v>
      </c>
      <c r="AG562" t="n">
        <v>8</v>
      </c>
      <c r="AH562" t="n">
        <v>3</v>
      </c>
      <c r="AI562" t="n">
        <v>3</v>
      </c>
      <c r="AJ562" t="n">
        <v>2</v>
      </c>
      <c r="AK562" t="n">
        <v>2</v>
      </c>
      <c r="AL562" t="n">
        <v>4</v>
      </c>
      <c r="AM562" t="n">
        <v>4</v>
      </c>
      <c r="AN562" t="n">
        <v>0</v>
      </c>
      <c r="AO562" t="n">
        <v>0</v>
      </c>
      <c r="AP562" t="n">
        <v>0</v>
      </c>
      <c r="AQ562" t="n">
        <v>0</v>
      </c>
      <c r="AR562" t="inlineStr">
        <is>
          <t>No</t>
        </is>
      </c>
      <c r="AS562" t="inlineStr">
        <is>
          <t>Yes</t>
        </is>
      </c>
      <c r="AT562">
        <f>HYPERLINK("http://catalog.hathitrust.org/Record/002984289","HathiTrust Record")</f>
        <v/>
      </c>
      <c r="AU562">
        <f>HYPERLINK("https://creighton-primo.hosted.exlibrisgroup.com/primo-explore/search?tab=default_tab&amp;search_scope=EVERYTHING&amp;vid=01CRU&amp;lang=en_US&amp;offset=0&amp;query=any,contains,991000254069702656","Catalog Record")</f>
        <v/>
      </c>
      <c r="AV562">
        <f>HYPERLINK("http://www.worldcat.org/oclc/32372101","WorldCat Record")</f>
        <v/>
      </c>
      <c r="AW562" t="inlineStr">
        <is>
          <t>34431382:eng</t>
        </is>
      </c>
      <c r="AX562" t="inlineStr">
        <is>
          <t>32372101</t>
        </is>
      </c>
      <c r="AY562" t="inlineStr">
        <is>
          <t>991000254069702656</t>
        </is>
      </c>
      <c r="AZ562" t="inlineStr">
        <is>
          <t>991000254069702656</t>
        </is>
      </c>
      <c r="BA562" t="inlineStr">
        <is>
          <t>2255006390002656</t>
        </is>
      </c>
      <c r="BB562" t="inlineStr">
        <is>
          <t>BOOK</t>
        </is>
      </c>
      <c r="BE562" t="inlineStr">
        <is>
          <t>30001003169044</t>
        </is>
      </c>
      <c r="BF562" t="inlineStr">
        <is>
          <t>893816885</t>
        </is>
      </c>
    </row>
    <row r="563">
      <c r="A563" t="inlineStr">
        <is>
          <t>No</t>
        </is>
      </c>
      <c r="B563" t="inlineStr">
        <is>
          <t>CUHSL</t>
        </is>
      </c>
      <c r="C563" t="inlineStr">
        <is>
          <t>SHELVES</t>
        </is>
      </c>
      <c r="D563" t="inlineStr">
        <is>
          <t>WY 26.5 T3 75I 2003</t>
        </is>
      </c>
      <c r="E563" t="inlineStr">
        <is>
          <t>0                      WY 0026500T  3                                                       75I 2003</t>
        </is>
      </c>
      <c r="F563" t="inlineStr">
        <is>
          <t>Informatics and nursing : opportunities &amp; challenges / Linda Q. Thede.</t>
        </is>
      </c>
      <c r="H563" t="inlineStr">
        <is>
          <t>No</t>
        </is>
      </c>
      <c r="I563" t="inlineStr">
        <is>
          <t>1</t>
        </is>
      </c>
      <c r="J563" t="inlineStr">
        <is>
          <t>No</t>
        </is>
      </c>
      <c r="K563" t="inlineStr">
        <is>
          <t>Yes</t>
        </is>
      </c>
      <c r="L563" t="inlineStr">
        <is>
          <t>0</t>
        </is>
      </c>
      <c r="M563" t="inlineStr">
        <is>
          <t>Thede, Linda Q.</t>
        </is>
      </c>
      <c r="N563" t="inlineStr">
        <is>
          <t>Philadelphia : Lippincott Williams &amp; Wilkins, c2003.</t>
        </is>
      </c>
      <c r="O563" t="inlineStr">
        <is>
          <t>2003</t>
        </is>
      </c>
      <c r="P563" t="inlineStr">
        <is>
          <t>2nd ed.</t>
        </is>
      </c>
      <c r="Q563" t="inlineStr">
        <is>
          <t>eng</t>
        </is>
      </c>
      <c r="R563" t="inlineStr">
        <is>
          <t>pau</t>
        </is>
      </c>
      <c r="T563" t="inlineStr">
        <is>
          <t xml:space="preserve">WY </t>
        </is>
      </c>
      <c r="U563" t="n">
        <v>3</v>
      </c>
      <c r="V563" t="n">
        <v>3</v>
      </c>
      <c r="W563" t="inlineStr">
        <is>
          <t>2004-12-09</t>
        </is>
      </c>
      <c r="X563" t="inlineStr">
        <is>
          <t>2004-12-09</t>
        </is>
      </c>
      <c r="Y563" t="inlineStr">
        <is>
          <t>2003-04-25</t>
        </is>
      </c>
      <c r="Z563" t="inlineStr">
        <is>
          <t>2003-04-25</t>
        </is>
      </c>
      <c r="AA563" t="n">
        <v>259</v>
      </c>
      <c r="AB563" t="n">
        <v>175</v>
      </c>
      <c r="AC563" t="n">
        <v>565</v>
      </c>
      <c r="AD563" t="n">
        <v>1</v>
      </c>
      <c r="AE563" t="n">
        <v>3</v>
      </c>
      <c r="AF563" t="n">
        <v>3</v>
      </c>
      <c r="AG563" t="n">
        <v>17</v>
      </c>
      <c r="AH563" t="n">
        <v>1</v>
      </c>
      <c r="AI563" t="n">
        <v>6</v>
      </c>
      <c r="AJ563" t="n">
        <v>0</v>
      </c>
      <c r="AK563" t="n">
        <v>2</v>
      </c>
      <c r="AL563" t="n">
        <v>2</v>
      </c>
      <c r="AM563" t="n">
        <v>10</v>
      </c>
      <c r="AN563" t="n">
        <v>0</v>
      </c>
      <c r="AO563" t="n">
        <v>2</v>
      </c>
      <c r="AP563" t="n">
        <v>0</v>
      </c>
      <c r="AQ563" t="n">
        <v>0</v>
      </c>
      <c r="AR563" t="inlineStr">
        <is>
          <t>No</t>
        </is>
      </c>
      <c r="AS563" t="inlineStr">
        <is>
          <t>No</t>
        </is>
      </c>
      <c r="AU563">
        <f>HYPERLINK("https://creighton-primo.hosted.exlibrisgroup.com/primo-explore/search?tab=default_tab&amp;search_scope=EVERYTHING&amp;vid=01CRU&amp;lang=en_US&amp;offset=0&amp;query=any,contains,991001722149702656","Catalog Record")</f>
        <v/>
      </c>
      <c r="AV563">
        <f>HYPERLINK("http://www.worldcat.org/oclc/51009591","WorldCat Record")</f>
        <v/>
      </c>
      <c r="AW563" t="inlineStr">
        <is>
          <t>919025527:eng</t>
        </is>
      </c>
      <c r="AX563" t="inlineStr">
        <is>
          <t>51009591</t>
        </is>
      </c>
      <c r="AY563" t="inlineStr">
        <is>
          <t>991001722149702656</t>
        </is>
      </c>
      <c r="AZ563" t="inlineStr">
        <is>
          <t>991001722149702656</t>
        </is>
      </c>
      <c r="BA563" t="inlineStr">
        <is>
          <t>2262505430002656</t>
        </is>
      </c>
      <c r="BB563" t="inlineStr">
        <is>
          <t>BOOK</t>
        </is>
      </c>
      <c r="BD563" t="inlineStr">
        <is>
          <t>9780781740203</t>
        </is>
      </c>
      <c r="BE563" t="inlineStr">
        <is>
          <t>30001004504207</t>
        </is>
      </c>
      <c r="BF563" t="inlineStr">
        <is>
          <t>893743925</t>
        </is>
      </c>
    </row>
    <row r="564">
      <c r="A564" t="inlineStr">
        <is>
          <t>No</t>
        </is>
      </c>
      <c r="B564" t="inlineStr">
        <is>
          <t>CUHSL</t>
        </is>
      </c>
      <c r="C564" t="inlineStr">
        <is>
          <t>SHELVES</t>
        </is>
      </c>
      <c r="D564" t="inlineStr">
        <is>
          <t>WY 26.5 Z66n 1993</t>
        </is>
      </c>
      <c r="E564" t="inlineStr">
        <is>
          <t>0                      WY 0026500Z  66n         1993</t>
        </is>
      </c>
      <c r="F564" t="inlineStr">
        <is>
          <t>Next-generation nursing information systems : essential characteristics for professional practice / Rita D. Zielstorff, Carole I. Hudgings, Susan J. Grobe and the National Commission on Nursing Implementation Project (NCNIP) Task Force on Nursing Information Systems.</t>
        </is>
      </c>
      <c r="H564" t="inlineStr">
        <is>
          <t>No</t>
        </is>
      </c>
      <c r="I564" t="inlineStr">
        <is>
          <t>1</t>
        </is>
      </c>
      <c r="J564" t="inlineStr">
        <is>
          <t>No</t>
        </is>
      </c>
      <c r="K564" t="inlineStr">
        <is>
          <t>No</t>
        </is>
      </c>
      <c r="L564" t="inlineStr">
        <is>
          <t>0</t>
        </is>
      </c>
      <c r="M564" t="inlineStr">
        <is>
          <t>Zielstorff, Rita D.</t>
        </is>
      </c>
      <c r="N564" t="inlineStr">
        <is>
          <t>Washington, DC : American Nursing Pub., c1993.</t>
        </is>
      </c>
      <c r="O564" t="inlineStr">
        <is>
          <t>1993</t>
        </is>
      </c>
      <c r="Q564" t="inlineStr">
        <is>
          <t>eng</t>
        </is>
      </c>
      <c r="R564" t="inlineStr">
        <is>
          <t>dcu</t>
        </is>
      </c>
      <c r="S564" t="inlineStr">
        <is>
          <t>ANA pub. NP-83 5M</t>
        </is>
      </c>
      <c r="T564" t="inlineStr">
        <is>
          <t xml:space="preserve">WY </t>
        </is>
      </c>
      <c r="U564" t="n">
        <v>0</v>
      </c>
      <c r="V564" t="n">
        <v>0</v>
      </c>
      <c r="W564" t="inlineStr">
        <is>
          <t>2003-02-11</t>
        </is>
      </c>
      <c r="X564" t="inlineStr">
        <is>
          <t>2003-02-11</t>
        </is>
      </c>
      <c r="Y564" t="inlineStr">
        <is>
          <t>2000-06-15</t>
        </is>
      </c>
      <c r="Z564" t="inlineStr">
        <is>
          <t>2000-06-15</t>
        </is>
      </c>
      <c r="AA564" t="n">
        <v>151</v>
      </c>
      <c r="AB564" t="n">
        <v>137</v>
      </c>
      <c r="AC564" t="n">
        <v>141</v>
      </c>
      <c r="AD564" t="n">
        <v>2</v>
      </c>
      <c r="AE564" t="n">
        <v>2</v>
      </c>
      <c r="AF564" t="n">
        <v>7</v>
      </c>
      <c r="AG564" t="n">
        <v>7</v>
      </c>
      <c r="AH564" t="n">
        <v>2</v>
      </c>
      <c r="AI564" t="n">
        <v>2</v>
      </c>
      <c r="AJ564" t="n">
        <v>2</v>
      </c>
      <c r="AK564" t="n">
        <v>2</v>
      </c>
      <c r="AL564" t="n">
        <v>4</v>
      </c>
      <c r="AM564" t="n">
        <v>4</v>
      </c>
      <c r="AN564" t="n">
        <v>0</v>
      </c>
      <c r="AO564" t="n">
        <v>0</v>
      </c>
      <c r="AP564" t="n">
        <v>0</v>
      </c>
      <c r="AQ564" t="n">
        <v>0</v>
      </c>
      <c r="AR564" t="inlineStr">
        <is>
          <t>No</t>
        </is>
      </c>
      <c r="AS564" t="inlineStr">
        <is>
          <t>Yes</t>
        </is>
      </c>
      <c r="AT564">
        <f>HYPERLINK("http://catalog.hathitrust.org/Record/002905322","HathiTrust Record")</f>
        <v/>
      </c>
      <c r="AU564">
        <f>HYPERLINK("https://creighton-primo.hosted.exlibrisgroup.com/primo-explore/search?tab=default_tab&amp;search_scope=EVERYTHING&amp;vid=01CRU&amp;lang=en_US&amp;offset=0&amp;query=any,contains,991000243879702656","Catalog Record")</f>
        <v/>
      </c>
      <c r="AV564">
        <f>HYPERLINK("http://www.worldcat.org/oclc/28951395","WorldCat Record")</f>
        <v/>
      </c>
      <c r="AW564" t="inlineStr">
        <is>
          <t>998684:eng</t>
        </is>
      </c>
      <c r="AX564" t="inlineStr">
        <is>
          <t>28951395</t>
        </is>
      </c>
      <c r="AY564" t="inlineStr">
        <is>
          <t>991000243879702656</t>
        </is>
      </c>
      <c r="AZ564" t="inlineStr">
        <is>
          <t>991000243879702656</t>
        </is>
      </c>
      <c r="BA564" t="inlineStr">
        <is>
          <t>2256309260002656</t>
        </is>
      </c>
      <c r="BB564" t="inlineStr">
        <is>
          <t>BOOK</t>
        </is>
      </c>
      <c r="BD564" t="inlineStr">
        <is>
          <t>9781558100831</t>
        </is>
      </c>
      <c r="BE564" t="inlineStr">
        <is>
          <t>30001003004167</t>
        </is>
      </c>
      <c r="BF564" t="inlineStr">
        <is>
          <t>893451910</t>
        </is>
      </c>
    </row>
    <row r="565">
      <c r="A565" t="inlineStr">
        <is>
          <t>No</t>
        </is>
      </c>
      <c r="B565" t="inlineStr">
        <is>
          <t>CUHSL</t>
        </is>
      </c>
      <c r="C565" t="inlineStr">
        <is>
          <t>SHELVES</t>
        </is>
      </c>
      <c r="D565" t="inlineStr">
        <is>
          <t>WY 26.6 S422 2001</t>
        </is>
      </c>
      <c r="E565" t="inlineStr">
        <is>
          <t>0                      WY 0026600S  422         2001</t>
        </is>
      </c>
      <c r="F565" t="inlineStr">
        <is>
          <t>Scope and standards of nursing informatics practice.</t>
        </is>
      </c>
      <c r="H565" t="inlineStr">
        <is>
          <t>No</t>
        </is>
      </c>
      <c r="I565" t="inlineStr">
        <is>
          <t>1</t>
        </is>
      </c>
      <c r="J565" t="inlineStr">
        <is>
          <t>No</t>
        </is>
      </c>
      <c r="K565" t="inlineStr">
        <is>
          <t>No</t>
        </is>
      </c>
      <c r="L565" t="inlineStr">
        <is>
          <t>0</t>
        </is>
      </c>
      <c r="N565" t="inlineStr">
        <is>
          <t>Washington, D.C. : American Nurses Publishing, c2001.</t>
        </is>
      </c>
      <c r="O565" t="inlineStr">
        <is>
          <t>2001</t>
        </is>
      </c>
      <c r="Q565" t="inlineStr">
        <is>
          <t>eng</t>
        </is>
      </c>
      <c r="R565" t="inlineStr">
        <is>
          <t>dcu</t>
        </is>
      </c>
      <c r="S565" t="inlineStr">
        <is>
          <t>ANA pub ; no. NIP21</t>
        </is>
      </c>
      <c r="T565" t="inlineStr">
        <is>
          <t xml:space="preserve">WY </t>
        </is>
      </c>
      <c r="U565" t="n">
        <v>1</v>
      </c>
      <c r="V565" t="n">
        <v>1</v>
      </c>
      <c r="W565" t="inlineStr">
        <is>
          <t>2002-06-11</t>
        </is>
      </c>
      <c r="X565" t="inlineStr">
        <is>
          <t>2002-06-11</t>
        </is>
      </c>
      <c r="Y565" t="inlineStr">
        <is>
          <t>2001-12-18</t>
        </is>
      </c>
      <c r="Z565" t="inlineStr">
        <is>
          <t>2001-12-18</t>
        </is>
      </c>
      <c r="AA565" t="n">
        <v>238</v>
      </c>
      <c r="AB565" t="n">
        <v>224</v>
      </c>
      <c r="AC565" t="n">
        <v>231</v>
      </c>
      <c r="AD565" t="n">
        <v>2</v>
      </c>
      <c r="AE565" t="n">
        <v>2</v>
      </c>
      <c r="AF565" t="n">
        <v>7</v>
      </c>
      <c r="AG565" t="n">
        <v>7</v>
      </c>
      <c r="AH565" t="n">
        <v>3</v>
      </c>
      <c r="AI565" t="n">
        <v>3</v>
      </c>
      <c r="AJ565" t="n">
        <v>1</v>
      </c>
      <c r="AK565" t="n">
        <v>1</v>
      </c>
      <c r="AL565" t="n">
        <v>4</v>
      </c>
      <c r="AM565" t="n">
        <v>4</v>
      </c>
      <c r="AN565" t="n">
        <v>0</v>
      </c>
      <c r="AO565" t="n">
        <v>0</v>
      </c>
      <c r="AP565" t="n">
        <v>0</v>
      </c>
      <c r="AQ565" t="n">
        <v>0</v>
      </c>
      <c r="AR565" t="inlineStr">
        <is>
          <t>No</t>
        </is>
      </c>
      <c r="AS565" t="inlineStr">
        <is>
          <t>Yes</t>
        </is>
      </c>
      <c r="AT565">
        <f>HYPERLINK("http://catalog.hathitrust.org/Record/003595460","HathiTrust Record")</f>
        <v/>
      </c>
      <c r="AU565">
        <f>HYPERLINK("https://creighton-primo.hosted.exlibrisgroup.com/primo-explore/search?tab=default_tab&amp;search_scope=EVERYTHING&amp;vid=01CRU&amp;lang=en_US&amp;offset=0&amp;query=any,contains,991000296899702656","Catalog Record")</f>
        <v/>
      </c>
      <c r="AV565">
        <f>HYPERLINK("http://www.worldcat.org/oclc/47839007","WorldCat Record")</f>
        <v/>
      </c>
      <c r="AW565" t="inlineStr">
        <is>
          <t>998757:eng</t>
        </is>
      </c>
      <c r="AX565" t="inlineStr">
        <is>
          <t>47839007</t>
        </is>
      </c>
      <c r="AY565" t="inlineStr">
        <is>
          <t>991000296899702656</t>
        </is>
      </c>
      <c r="AZ565" t="inlineStr">
        <is>
          <t>991000296899702656</t>
        </is>
      </c>
      <c r="BA565" t="inlineStr">
        <is>
          <t>2264495330002656</t>
        </is>
      </c>
      <c r="BB565" t="inlineStr">
        <is>
          <t>BOOK</t>
        </is>
      </c>
      <c r="BD565" t="inlineStr">
        <is>
          <t>9781558101661</t>
        </is>
      </c>
      <c r="BE565" t="inlineStr">
        <is>
          <t>30001004215341</t>
        </is>
      </c>
      <c r="BF565" t="inlineStr">
        <is>
          <t>893136080</t>
        </is>
      </c>
    </row>
    <row r="566">
      <c r="A566" t="inlineStr">
        <is>
          <t>No</t>
        </is>
      </c>
      <c r="B566" t="inlineStr">
        <is>
          <t>CUHSL</t>
        </is>
      </c>
      <c r="C566" t="inlineStr">
        <is>
          <t>SHELVES</t>
        </is>
      </c>
      <c r="D566" t="inlineStr">
        <is>
          <t>WY 29 A511g 1979</t>
        </is>
      </c>
      <c r="E566" t="inlineStr">
        <is>
          <t>0                      WY 0029000A  511g        1979</t>
        </is>
      </c>
      <c r="F566" t="inlineStr">
        <is>
          <t>Guidelines for use of supplemental nursing services.</t>
        </is>
      </c>
      <c r="H566" t="inlineStr">
        <is>
          <t>No</t>
        </is>
      </c>
      <c r="I566" t="inlineStr">
        <is>
          <t>1</t>
        </is>
      </c>
      <c r="J566" t="inlineStr">
        <is>
          <t>No</t>
        </is>
      </c>
      <c r="K566" t="inlineStr">
        <is>
          <t>No</t>
        </is>
      </c>
      <c r="L566" t="inlineStr">
        <is>
          <t>0</t>
        </is>
      </c>
      <c r="N566" t="inlineStr">
        <is>
          <t>[Kansas City, Mo.] : American Nurses' Assn., Commission on Nursing Services, c1979.</t>
        </is>
      </c>
      <c r="O566" t="inlineStr">
        <is>
          <t>1979</t>
        </is>
      </c>
      <c r="Q566" t="inlineStr">
        <is>
          <t>eng</t>
        </is>
      </c>
      <c r="R566" t="inlineStr">
        <is>
          <t>xxu</t>
        </is>
      </c>
      <c r="S566" t="inlineStr">
        <is>
          <t>ANA pub ; no. NS-25</t>
        </is>
      </c>
      <c r="T566" t="inlineStr">
        <is>
          <t xml:space="preserve">WY </t>
        </is>
      </c>
      <c r="U566" t="n">
        <v>0</v>
      </c>
      <c r="V566" t="n">
        <v>0</v>
      </c>
      <c r="W566" t="inlineStr">
        <is>
          <t>2003-02-11</t>
        </is>
      </c>
      <c r="X566" t="inlineStr">
        <is>
          <t>2003-02-11</t>
        </is>
      </c>
      <c r="Y566" t="inlineStr">
        <is>
          <t>2000-06-15</t>
        </is>
      </c>
      <c r="Z566" t="inlineStr">
        <is>
          <t>2000-06-15</t>
        </is>
      </c>
      <c r="AA566" t="n">
        <v>36</v>
      </c>
      <c r="AB566" t="n">
        <v>35</v>
      </c>
      <c r="AC566" t="n">
        <v>38</v>
      </c>
      <c r="AD566" t="n">
        <v>1</v>
      </c>
      <c r="AE566" t="n">
        <v>1</v>
      </c>
      <c r="AF566" t="n">
        <v>1</v>
      </c>
      <c r="AG566" t="n">
        <v>1</v>
      </c>
      <c r="AH566" t="n">
        <v>0</v>
      </c>
      <c r="AI566" t="n">
        <v>0</v>
      </c>
      <c r="AJ566" t="n">
        <v>0</v>
      </c>
      <c r="AK566" t="n">
        <v>0</v>
      </c>
      <c r="AL566" t="n">
        <v>1</v>
      </c>
      <c r="AM566" t="n">
        <v>1</v>
      </c>
      <c r="AN566" t="n">
        <v>0</v>
      </c>
      <c r="AO566" t="n">
        <v>0</v>
      </c>
      <c r="AP566" t="n">
        <v>0</v>
      </c>
      <c r="AQ566" t="n">
        <v>0</v>
      </c>
      <c r="AR566" t="inlineStr">
        <is>
          <t>No</t>
        </is>
      </c>
      <c r="AS566" t="inlineStr">
        <is>
          <t>Yes</t>
        </is>
      </c>
      <c r="AT566">
        <f>HYPERLINK("http://catalog.hathitrust.org/Record/000106513","HathiTrust Record")</f>
        <v/>
      </c>
      <c r="AU566">
        <f>HYPERLINK("https://creighton-primo.hosted.exlibrisgroup.com/primo-explore/search?tab=default_tab&amp;search_scope=EVERYTHING&amp;vid=01CRU&amp;lang=en_US&amp;offset=0&amp;query=any,contains,991000179649702656","Catalog Record")</f>
        <v/>
      </c>
      <c r="AV566">
        <f>HYPERLINK("http://www.worldcat.org/oclc/6329834","WorldCat Record")</f>
        <v/>
      </c>
      <c r="AW566" t="inlineStr">
        <is>
          <t>22299712:eng</t>
        </is>
      </c>
      <c r="AX566" t="inlineStr">
        <is>
          <t>6329834</t>
        </is>
      </c>
      <c r="AY566" t="inlineStr">
        <is>
          <t>991000179649702656</t>
        </is>
      </c>
      <c r="AZ566" t="inlineStr">
        <is>
          <t>991000179649702656</t>
        </is>
      </c>
      <c r="BA566" t="inlineStr">
        <is>
          <t>2262944260002656</t>
        </is>
      </c>
      <c r="BB566" t="inlineStr">
        <is>
          <t>BOOK</t>
        </is>
      </c>
      <c r="BE566" t="inlineStr">
        <is>
          <t>30001000602658</t>
        </is>
      </c>
      <c r="BF566" t="inlineStr">
        <is>
          <t>893274905</t>
        </is>
      </c>
    </row>
    <row r="567">
      <c r="A567" t="inlineStr">
        <is>
          <t>No</t>
        </is>
      </c>
      <c r="B567" t="inlineStr">
        <is>
          <t>CUHSL</t>
        </is>
      </c>
      <c r="C567" t="inlineStr">
        <is>
          <t>SHELVES</t>
        </is>
      </c>
      <c r="D567" t="inlineStr">
        <is>
          <t>WY 29 K94L 1979</t>
        </is>
      </c>
      <c r="E567" t="inlineStr">
        <is>
          <t>0                      WY 0029000K  94L         1979</t>
        </is>
      </c>
      <c r="F567" t="inlineStr">
        <is>
          <t>Labor-management issues for the future / Daniel H. Kruger.</t>
        </is>
      </c>
      <c r="H567" t="inlineStr">
        <is>
          <t>No</t>
        </is>
      </c>
      <c r="I567" t="inlineStr">
        <is>
          <t>1</t>
        </is>
      </c>
      <c r="J567" t="inlineStr">
        <is>
          <t>No</t>
        </is>
      </c>
      <c r="K567" t="inlineStr">
        <is>
          <t>No</t>
        </is>
      </c>
      <c r="L567" t="inlineStr">
        <is>
          <t>0</t>
        </is>
      </c>
      <c r="M567" t="inlineStr">
        <is>
          <t>Kruger, Daniel H.</t>
        </is>
      </c>
      <c r="N567" t="inlineStr">
        <is>
          <t>New York : National League for Nursing, c1979.</t>
        </is>
      </c>
      <c r="O567" t="inlineStr">
        <is>
          <t>1979</t>
        </is>
      </c>
      <c r="Q567" t="inlineStr">
        <is>
          <t>eng</t>
        </is>
      </c>
      <c r="R567" t="inlineStr">
        <is>
          <t xml:space="preserve">xx </t>
        </is>
      </c>
      <c r="S567" t="inlineStr">
        <is>
          <t>NLN pub. no. 20-1801</t>
        </is>
      </c>
      <c r="T567" t="inlineStr">
        <is>
          <t xml:space="preserve">WY </t>
        </is>
      </c>
      <c r="U567" t="n">
        <v>6</v>
      </c>
      <c r="V567" t="n">
        <v>6</v>
      </c>
      <c r="W567" t="inlineStr">
        <is>
          <t>1990-06-12</t>
        </is>
      </c>
      <c r="X567" t="inlineStr">
        <is>
          <t>1990-06-12</t>
        </is>
      </c>
      <c r="Y567" t="inlineStr">
        <is>
          <t>1987-11-04</t>
        </is>
      </c>
      <c r="Z567" t="inlineStr">
        <is>
          <t>1987-11-04</t>
        </is>
      </c>
      <c r="AA567" t="n">
        <v>88</v>
      </c>
      <c r="AB567" t="n">
        <v>75</v>
      </c>
      <c r="AC567" t="n">
        <v>75</v>
      </c>
      <c r="AD567" t="n">
        <v>2</v>
      </c>
      <c r="AE567" t="n">
        <v>2</v>
      </c>
      <c r="AF567" t="n">
        <v>2</v>
      </c>
      <c r="AG567" t="n">
        <v>2</v>
      </c>
      <c r="AH567" t="n">
        <v>0</v>
      </c>
      <c r="AI567" t="n">
        <v>0</v>
      </c>
      <c r="AJ567" t="n">
        <v>0</v>
      </c>
      <c r="AK567" t="n">
        <v>0</v>
      </c>
      <c r="AL567" t="n">
        <v>1</v>
      </c>
      <c r="AM567" t="n">
        <v>1</v>
      </c>
      <c r="AN567" t="n">
        <v>1</v>
      </c>
      <c r="AO567" t="n">
        <v>1</v>
      </c>
      <c r="AP567" t="n">
        <v>0</v>
      </c>
      <c r="AQ567" t="n">
        <v>0</v>
      </c>
      <c r="AR567" t="inlineStr">
        <is>
          <t>No</t>
        </is>
      </c>
      <c r="AS567" t="inlineStr">
        <is>
          <t>No</t>
        </is>
      </c>
      <c r="AU567">
        <f>HYPERLINK("https://creighton-primo.hosted.exlibrisgroup.com/primo-explore/search?tab=default_tab&amp;search_scope=EVERYTHING&amp;vid=01CRU&amp;lang=en_US&amp;offset=0&amp;query=any,contains,991001385749702656","Catalog Record")</f>
        <v/>
      </c>
      <c r="AV567">
        <f>HYPERLINK("http://www.worldcat.org/oclc/5739237","WorldCat Record")</f>
        <v/>
      </c>
      <c r="AW567" t="inlineStr">
        <is>
          <t>20130384:eng</t>
        </is>
      </c>
      <c r="AX567" t="inlineStr">
        <is>
          <t>5739237</t>
        </is>
      </c>
      <c r="AY567" t="inlineStr">
        <is>
          <t>991001385749702656</t>
        </is>
      </c>
      <c r="AZ567" t="inlineStr">
        <is>
          <t>991001385749702656</t>
        </is>
      </c>
      <c r="BA567" t="inlineStr">
        <is>
          <t>2259505550002656</t>
        </is>
      </c>
      <c r="BB567" t="inlineStr">
        <is>
          <t>BOOK</t>
        </is>
      </c>
      <c r="BE567" t="inlineStr">
        <is>
          <t>30001000463689</t>
        </is>
      </c>
      <c r="BF567" t="inlineStr">
        <is>
          <t>893369342</t>
        </is>
      </c>
    </row>
    <row r="568">
      <c r="A568" t="inlineStr">
        <is>
          <t>No</t>
        </is>
      </c>
      <c r="B568" t="inlineStr">
        <is>
          <t>CUHSL</t>
        </is>
      </c>
      <c r="C568" t="inlineStr">
        <is>
          <t>SHELVES</t>
        </is>
      </c>
      <c r="D568" t="inlineStr">
        <is>
          <t>WY 29 K97r 1997</t>
        </is>
      </c>
      <c r="E568" t="inlineStr">
        <is>
          <t>0                      WY 0029000K  97r         1997</t>
        </is>
      </c>
      <c r="F568" t="inlineStr">
        <is>
          <t>Resume writing for the professional nurse : self-directed learning / Nancy Kuzmich.</t>
        </is>
      </c>
      <c r="H568" t="inlineStr">
        <is>
          <t>No</t>
        </is>
      </c>
      <c r="I568" t="inlineStr">
        <is>
          <t>1</t>
        </is>
      </c>
      <c r="J568" t="inlineStr">
        <is>
          <t>No</t>
        </is>
      </c>
      <c r="K568" t="inlineStr">
        <is>
          <t>No</t>
        </is>
      </c>
      <c r="L568" t="inlineStr">
        <is>
          <t>0</t>
        </is>
      </c>
      <c r="M568" t="inlineStr">
        <is>
          <t>Kuzmich, Nancy.</t>
        </is>
      </c>
      <c r="N568" t="inlineStr">
        <is>
          <t>Hinsdale, Ill. : CES, c1997.</t>
        </is>
      </c>
      <c r="O568" t="inlineStr">
        <is>
          <t>1997</t>
        </is>
      </c>
      <c r="Q568" t="inlineStr">
        <is>
          <t>eng</t>
        </is>
      </c>
      <c r="R568" t="inlineStr">
        <is>
          <t>ilu</t>
        </is>
      </c>
      <c r="T568" t="inlineStr">
        <is>
          <t xml:space="preserve">WY </t>
        </is>
      </c>
      <c r="U568" t="n">
        <v>4</v>
      </c>
      <c r="V568" t="n">
        <v>4</v>
      </c>
      <c r="W568" t="inlineStr">
        <is>
          <t>1999-03-25</t>
        </is>
      </c>
      <c r="X568" t="inlineStr">
        <is>
          <t>1999-03-25</t>
        </is>
      </c>
      <c r="Y568" t="inlineStr">
        <is>
          <t>1999-03-25</t>
        </is>
      </c>
      <c r="Z568" t="inlineStr">
        <is>
          <t>1999-03-25</t>
        </is>
      </c>
      <c r="AA568" t="n">
        <v>11</v>
      </c>
      <c r="AB568" t="n">
        <v>10</v>
      </c>
      <c r="AC568" t="n">
        <v>43</v>
      </c>
      <c r="AD568" t="n">
        <v>1</v>
      </c>
      <c r="AE568" t="n">
        <v>1</v>
      </c>
      <c r="AF568" t="n">
        <v>0</v>
      </c>
      <c r="AG568" t="n">
        <v>0</v>
      </c>
      <c r="AH568" t="n">
        <v>0</v>
      </c>
      <c r="AI568" t="n">
        <v>0</v>
      </c>
      <c r="AJ568" t="n">
        <v>0</v>
      </c>
      <c r="AK568" t="n">
        <v>0</v>
      </c>
      <c r="AL568" t="n">
        <v>0</v>
      </c>
      <c r="AM568" t="n">
        <v>0</v>
      </c>
      <c r="AN568" t="n">
        <v>0</v>
      </c>
      <c r="AO568" t="n">
        <v>0</v>
      </c>
      <c r="AP568" t="n">
        <v>0</v>
      </c>
      <c r="AQ568" t="n">
        <v>0</v>
      </c>
      <c r="AR568" t="inlineStr">
        <is>
          <t>No</t>
        </is>
      </c>
      <c r="AS568" t="inlineStr">
        <is>
          <t>No</t>
        </is>
      </c>
      <c r="AU568">
        <f>HYPERLINK("https://creighton-primo.hosted.exlibrisgroup.com/primo-explore/search?tab=default_tab&amp;search_scope=EVERYTHING&amp;vid=01CRU&amp;lang=en_US&amp;offset=0&amp;query=any,contains,991000783119702656","Catalog Record")</f>
        <v/>
      </c>
      <c r="AV568">
        <f>HYPERLINK("http://www.worldcat.org/oclc/40649655","WorldCat Record")</f>
        <v/>
      </c>
      <c r="AW568" t="inlineStr">
        <is>
          <t>16821491:eng</t>
        </is>
      </c>
      <c r="AX568" t="inlineStr">
        <is>
          <t>40649655</t>
        </is>
      </c>
      <c r="AY568" t="inlineStr">
        <is>
          <t>991000783119702656</t>
        </is>
      </c>
      <c r="AZ568" t="inlineStr">
        <is>
          <t>991000783119702656</t>
        </is>
      </c>
      <c r="BA568" t="inlineStr">
        <is>
          <t>2266558020002656</t>
        </is>
      </c>
      <c r="BB568" t="inlineStr">
        <is>
          <t>BOOK</t>
        </is>
      </c>
      <c r="BD568" t="inlineStr">
        <is>
          <t>9780916780319</t>
        </is>
      </c>
      <c r="BE568" t="inlineStr">
        <is>
          <t>30001004070647</t>
        </is>
      </c>
      <c r="BF568" t="inlineStr">
        <is>
          <t>893540543</t>
        </is>
      </c>
    </row>
    <row r="569">
      <c r="A569" t="inlineStr">
        <is>
          <t>No</t>
        </is>
      </c>
      <c r="B569" t="inlineStr">
        <is>
          <t>CUHSL</t>
        </is>
      </c>
      <c r="C569" t="inlineStr">
        <is>
          <t>SHELVES</t>
        </is>
      </c>
      <c r="D569" t="inlineStr">
        <is>
          <t>WY 29 L883a 1981</t>
        </is>
      </c>
      <c r="E569" t="inlineStr">
        <is>
          <t>0                      WY 0029000L  883a        1981</t>
        </is>
      </c>
      <c r="F569" t="inlineStr">
        <is>
          <t>Advance : the nurse's guide to success in today's job market / Mary Sue Lotito, Joyce Kostenbauer.</t>
        </is>
      </c>
      <c r="H569" t="inlineStr">
        <is>
          <t>No</t>
        </is>
      </c>
      <c r="I569" t="inlineStr">
        <is>
          <t>1</t>
        </is>
      </c>
      <c r="J569" t="inlineStr">
        <is>
          <t>No</t>
        </is>
      </c>
      <c r="K569" t="inlineStr">
        <is>
          <t>No</t>
        </is>
      </c>
      <c r="L569" t="inlineStr">
        <is>
          <t>0</t>
        </is>
      </c>
      <c r="M569" t="inlineStr">
        <is>
          <t>Lotito, Mary Sue.</t>
        </is>
      </c>
      <c r="N569" t="inlineStr">
        <is>
          <t>Boston : Little, Brown, c1981.</t>
        </is>
      </c>
      <c r="O569" t="inlineStr">
        <is>
          <t>1981</t>
        </is>
      </c>
      <c r="P569" t="inlineStr">
        <is>
          <t>1st ed.</t>
        </is>
      </c>
      <c r="Q569" t="inlineStr">
        <is>
          <t>eng</t>
        </is>
      </c>
      <c r="R569" t="inlineStr">
        <is>
          <t>mau</t>
        </is>
      </c>
      <c r="T569" t="inlineStr">
        <is>
          <t xml:space="preserve">WY </t>
        </is>
      </c>
      <c r="U569" t="n">
        <v>10</v>
      </c>
      <c r="V569" t="n">
        <v>10</v>
      </c>
      <c r="W569" t="inlineStr">
        <is>
          <t>1993-12-02</t>
        </is>
      </c>
      <c r="X569" t="inlineStr">
        <is>
          <t>1993-12-02</t>
        </is>
      </c>
      <c r="Y569" t="inlineStr">
        <is>
          <t>1989-09-27</t>
        </is>
      </c>
      <c r="Z569" t="inlineStr">
        <is>
          <t>1989-09-27</t>
        </is>
      </c>
      <c r="AA569" t="n">
        <v>120</v>
      </c>
      <c r="AB569" t="n">
        <v>111</v>
      </c>
      <c r="AC569" t="n">
        <v>111</v>
      </c>
      <c r="AD569" t="n">
        <v>1</v>
      </c>
      <c r="AE569" t="n">
        <v>1</v>
      </c>
      <c r="AF569" t="n">
        <v>2</v>
      </c>
      <c r="AG569" t="n">
        <v>2</v>
      </c>
      <c r="AH569" t="n">
        <v>1</v>
      </c>
      <c r="AI569" t="n">
        <v>1</v>
      </c>
      <c r="AJ569" t="n">
        <v>1</v>
      </c>
      <c r="AK569" t="n">
        <v>1</v>
      </c>
      <c r="AL569" t="n">
        <v>1</v>
      </c>
      <c r="AM569" t="n">
        <v>1</v>
      </c>
      <c r="AN569" t="n">
        <v>0</v>
      </c>
      <c r="AO569" t="n">
        <v>0</v>
      </c>
      <c r="AP569" t="n">
        <v>0</v>
      </c>
      <c r="AQ569" t="n">
        <v>0</v>
      </c>
      <c r="AR569" t="inlineStr">
        <is>
          <t>No</t>
        </is>
      </c>
      <c r="AS569" t="inlineStr">
        <is>
          <t>No</t>
        </is>
      </c>
      <c r="AU569">
        <f>HYPERLINK("https://creighton-primo.hosted.exlibrisgroup.com/primo-explore/search?tab=default_tab&amp;search_scope=EVERYTHING&amp;vid=01CRU&amp;lang=en_US&amp;offset=0&amp;query=any,contains,991001325729702656","Catalog Record")</f>
        <v/>
      </c>
      <c r="AV569">
        <f>HYPERLINK("http://www.worldcat.org/oclc/8475006","WorldCat Record")</f>
        <v/>
      </c>
      <c r="AW569" t="inlineStr">
        <is>
          <t>31779308:eng</t>
        </is>
      </c>
      <c r="AX569" t="inlineStr">
        <is>
          <t>8475006</t>
        </is>
      </c>
      <c r="AY569" t="inlineStr">
        <is>
          <t>991001325729702656</t>
        </is>
      </c>
      <c r="AZ569" t="inlineStr">
        <is>
          <t>991001325729702656</t>
        </is>
      </c>
      <c r="BA569" t="inlineStr">
        <is>
          <t>2264663940002656</t>
        </is>
      </c>
      <c r="BB569" t="inlineStr">
        <is>
          <t>BOOK</t>
        </is>
      </c>
      <c r="BE569" t="inlineStr">
        <is>
          <t>30001001754409</t>
        </is>
      </c>
      <c r="BF569" t="inlineStr">
        <is>
          <t>893377202</t>
        </is>
      </c>
    </row>
    <row r="570">
      <c r="A570" t="inlineStr">
        <is>
          <t>No</t>
        </is>
      </c>
      <c r="B570" t="inlineStr">
        <is>
          <t>CUHSL</t>
        </is>
      </c>
      <c r="C570" t="inlineStr">
        <is>
          <t>SHELVES</t>
        </is>
      </c>
      <c r="D570" t="inlineStr">
        <is>
          <t>WY 29 NU974 1990 no.1</t>
        </is>
      </c>
      <c r="E570" t="inlineStr">
        <is>
          <t>0                      WY 0029000NU 974         1990                                        no.1</t>
        </is>
      </c>
      <c r="F570" t="inlineStr">
        <is>
          <t>An overview : characteristics, impact and solutions / Richard C. McKibbin and Carol Boston.</t>
        </is>
      </c>
      <c r="G570" t="inlineStr">
        <is>
          <t>no.1*</t>
        </is>
      </c>
      <c r="H570" t="inlineStr">
        <is>
          <t>No</t>
        </is>
      </c>
      <c r="I570" t="inlineStr">
        <is>
          <t>1</t>
        </is>
      </c>
      <c r="J570" t="inlineStr">
        <is>
          <t>No</t>
        </is>
      </c>
      <c r="K570" t="inlineStr">
        <is>
          <t>No</t>
        </is>
      </c>
      <c r="L570" t="inlineStr">
        <is>
          <t>0</t>
        </is>
      </c>
      <c r="M570" t="inlineStr">
        <is>
          <t>McKibbin, Richard C.</t>
        </is>
      </c>
      <c r="N570" t="inlineStr">
        <is>
          <t>Chicago, IL : American Organization of Nurse Executives of the American Hospital Association, American Nurses' Association, c1990.</t>
        </is>
      </c>
      <c r="O570" t="inlineStr">
        <is>
          <t>1990</t>
        </is>
      </c>
      <c r="Q570" t="inlineStr">
        <is>
          <t>eng</t>
        </is>
      </c>
      <c r="R570" t="inlineStr">
        <is>
          <t>ilu</t>
        </is>
      </c>
      <c r="S570" t="inlineStr">
        <is>
          <t>AHA pub ; no. 154180</t>
        </is>
      </c>
      <c r="T570" t="inlineStr">
        <is>
          <t xml:space="preserve">WY </t>
        </is>
      </c>
      <c r="U570" t="n">
        <v>3</v>
      </c>
      <c r="V570" t="n">
        <v>3</v>
      </c>
      <c r="W570" t="inlineStr">
        <is>
          <t>2004-04-27</t>
        </is>
      </c>
      <c r="X570" t="inlineStr">
        <is>
          <t>2004-04-27</t>
        </is>
      </c>
      <c r="Y570" t="inlineStr">
        <is>
          <t>2000-06-15</t>
        </is>
      </c>
      <c r="Z570" t="inlineStr">
        <is>
          <t>2000-06-15</t>
        </is>
      </c>
      <c r="AA570" t="n">
        <v>32</v>
      </c>
      <c r="AB570" t="n">
        <v>31</v>
      </c>
      <c r="AC570" t="n">
        <v>33</v>
      </c>
      <c r="AD570" t="n">
        <v>2</v>
      </c>
      <c r="AE570" t="n">
        <v>2</v>
      </c>
      <c r="AF570" t="n">
        <v>1</v>
      </c>
      <c r="AG570" t="n">
        <v>1</v>
      </c>
      <c r="AH570" t="n">
        <v>0</v>
      </c>
      <c r="AI570" t="n">
        <v>0</v>
      </c>
      <c r="AJ570" t="n">
        <v>0</v>
      </c>
      <c r="AK570" t="n">
        <v>0</v>
      </c>
      <c r="AL570" t="n">
        <v>1</v>
      </c>
      <c r="AM570" t="n">
        <v>1</v>
      </c>
      <c r="AN570" t="n">
        <v>0</v>
      </c>
      <c r="AO570" t="n">
        <v>0</v>
      </c>
      <c r="AP570" t="n">
        <v>0</v>
      </c>
      <c r="AQ570" t="n">
        <v>0</v>
      </c>
      <c r="AR570" t="inlineStr">
        <is>
          <t>No</t>
        </is>
      </c>
      <c r="AS570" t="inlineStr">
        <is>
          <t>Yes</t>
        </is>
      </c>
      <c r="AT570">
        <f>HYPERLINK("http://catalog.hathitrust.org/Record/002205849","HathiTrust Record")</f>
        <v/>
      </c>
      <c r="AU570">
        <f>HYPERLINK("https://creighton-primo.hosted.exlibrisgroup.com/primo-explore/search?tab=default_tab&amp;search_scope=EVERYTHING&amp;vid=01CRU&amp;lang=en_US&amp;offset=0&amp;query=any,contains,991000222959702656","Catalog Record")</f>
        <v/>
      </c>
      <c r="AV570">
        <f>HYPERLINK("http://www.worldcat.org/oclc/21473519","WorldCat Record")</f>
        <v/>
      </c>
      <c r="AW570" t="inlineStr">
        <is>
          <t>23197911:eng</t>
        </is>
      </c>
      <c r="AX570" t="inlineStr">
        <is>
          <t>21473519</t>
        </is>
      </c>
      <c r="AY570" t="inlineStr">
        <is>
          <t>991000222959702656</t>
        </is>
      </c>
      <c r="AZ570" t="inlineStr">
        <is>
          <t>991000222959702656</t>
        </is>
      </c>
      <c r="BA570" t="inlineStr">
        <is>
          <t>2270297740002656</t>
        </is>
      </c>
      <c r="BB570" t="inlineStr">
        <is>
          <t>BOOK</t>
        </is>
      </c>
      <c r="BD570" t="inlineStr">
        <is>
          <t>9780872585348</t>
        </is>
      </c>
      <c r="BE570" t="inlineStr">
        <is>
          <t>30001001884701</t>
        </is>
      </c>
      <c r="BF570" t="inlineStr">
        <is>
          <t>893135999</t>
        </is>
      </c>
    </row>
    <row r="571">
      <c r="A571" t="inlineStr">
        <is>
          <t>No</t>
        </is>
      </c>
      <c r="B571" t="inlineStr">
        <is>
          <t>CUHSL</t>
        </is>
      </c>
      <c r="C571" t="inlineStr">
        <is>
          <t>SHELVES</t>
        </is>
      </c>
      <c r="D571" t="inlineStr">
        <is>
          <t>WY 29 NU974 1990 no.2</t>
        </is>
      </c>
      <c r="E571" t="inlineStr">
        <is>
          <t>0                      WY 0029000NU 974         1990                                        no.2</t>
        </is>
      </c>
      <c r="F571" t="inlineStr">
        <is>
          <t>Administrative issues and approaches / Karen S. Ehrat.</t>
        </is>
      </c>
      <c r="G571" t="inlineStr">
        <is>
          <t>no.2*</t>
        </is>
      </c>
      <c r="H571" t="inlineStr">
        <is>
          <t>No</t>
        </is>
      </c>
      <c r="I571" t="inlineStr">
        <is>
          <t>1</t>
        </is>
      </c>
      <c r="J571" t="inlineStr">
        <is>
          <t>No</t>
        </is>
      </c>
      <c r="K571" t="inlineStr">
        <is>
          <t>No</t>
        </is>
      </c>
      <c r="L571" t="inlineStr">
        <is>
          <t>0</t>
        </is>
      </c>
      <c r="M571" t="inlineStr">
        <is>
          <t>Ehrat, Karen S.</t>
        </is>
      </c>
      <c r="N571" t="inlineStr">
        <is>
          <t>Chicago : American Organization of Nurse Executives, c1990.</t>
        </is>
      </c>
      <c r="O571" t="inlineStr">
        <is>
          <t>1990</t>
        </is>
      </c>
      <c r="Q571" t="inlineStr">
        <is>
          <t>eng</t>
        </is>
      </c>
      <c r="R571" t="inlineStr">
        <is>
          <t>ilu</t>
        </is>
      </c>
      <c r="S571" t="inlineStr">
        <is>
          <t>AHA pub ; no. 154181</t>
        </is>
      </c>
      <c r="T571" t="inlineStr">
        <is>
          <t xml:space="preserve">WY </t>
        </is>
      </c>
      <c r="U571" t="n">
        <v>3</v>
      </c>
      <c r="V571" t="n">
        <v>3</v>
      </c>
      <c r="W571" t="inlineStr">
        <is>
          <t>2004-04-27</t>
        </is>
      </c>
      <c r="X571" t="inlineStr">
        <is>
          <t>2004-04-27</t>
        </is>
      </c>
      <c r="Y571" t="inlineStr">
        <is>
          <t>2000-06-15</t>
        </is>
      </c>
      <c r="Z571" t="inlineStr">
        <is>
          <t>2000-06-15</t>
        </is>
      </c>
      <c r="AA571" t="n">
        <v>16</v>
      </c>
      <c r="AB571" t="n">
        <v>14</v>
      </c>
      <c r="AC571" t="n">
        <v>36</v>
      </c>
      <c r="AD571" t="n">
        <v>1</v>
      </c>
      <c r="AE571" t="n">
        <v>2</v>
      </c>
      <c r="AF571" t="n">
        <v>1</v>
      </c>
      <c r="AG571" t="n">
        <v>2</v>
      </c>
      <c r="AH571" t="n">
        <v>0</v>
      </c>
      <c r="AI571" t="n">
        <v>0</v>
      </c>
      <c r="AJ571" t="n">
        <v>0</v>
      </c>
      <c r="AK571" t="n">
        <v>0</v>
      </c>
      <c r="AL571" t="n">
        <v>1</v>
      </c>
      <c r="AM571" t="n">
        <v>2</v>
      </c>
      <c r="AN571" t="n">
        <v>0</v>
      </c>
      <c r="AO571" t="n">
        <v>0</v>
      </c>
      <c r="AP571" t="n">
        <v>0</v>
      </c>
      <c r="AQ571" t="n">
        <v>0</v>
      </c>
      <c r="AR571" t="inlineStr">
        <is>
          <t>No</t>
        </is>
      </c>
      <c r="AS571" t="inlineStr">
        <is>
          <t>No</t>
        </is>
      </c>
      <c r="AU571">
        <f>HYPERLINK("https://creighton-primo.hosted.exlibrisgroup.com/primo-explore/search?tab=default_tab&amp;search_scope=EVERYTHING&amp;vid=01CRU&amp;lang=en_US&amp;offset=0&amp;query=any,contains,991000222919702656","Catalog Record")</f>
        <v/>
      </c>
      <c r="AV571">
        <f>HYPERLINK("http://www.worldcat.org/oclc/21532059","WorldCat Record")</f>
        <v/>
      </c>
      <c r="AW571" t="inlineStr">
        <is>
          <t>23198437:eng</t>
        </is>
      </c>
      <c r="AX571" t="inlineStr">
        <is>
          <t>21532059</t>
        </is>
      </c>
      <c r="AY571" t="inlineStr">
        <is>
          <t>991000222919702656</t>
        </is>
      </c>
      <c r="AZ571" t="inlineStr">
        <is>
          <t>991000222919702656</t>
        </is>
      </c>
      <c r="BA571" t="inlineStr">
        <is>
          <t>2270315100002656</t>
        </is>
      </c>
      <c r="BB571" t="inlineStr">
        <is>
          <t>BOOK</t>
        </is>
      </c>
      <c r="BD571" t="inlineStr">
        <is>
          <t>9780872585348</t>
        </is>
      </c>
      <c r="BE571" t="inlineStr">
        <is>
          <t>30001001884727</t>
        </is>
      </c>
      <c r="BF571" t="inlineStr">
        <is>
          <t>893447084</t>
        </is>
      </c>
    </row>
    <row r="572">
      <c r="A572" t="inlineStr">
        <is>
          <t>No</t>
        </is>
      </c>
      <c r="B572" t="inlineStr">
        <is>
          <t>CUHSL</t>
        </is>
      </c>
      <c r="C572" t="inlineStr">
        <is>
          <t>SHELVES</t>
        </is>
      </c>
      <c r="D572" t="inlineStr">
        <is>
          <t>WY 29 NU974 1990 no.3</t>
        </is>
      </c>
      <c r="E572" t="inlineStr">
        <is>
          <t>0                      WY 0029000NU 974         1990                                        no.3</t>
        </is>
      </c>
      <c r="F572" t="inlineStr">
        <is>
          <t>Resource allocation in managing the nursing shortage / Judith L. Brett and Mary C. Tonges.</t>
        </is>
      </c>
      <c r="G572" t="inlineStr">
        <is>
          <t>no.3*</t>
        </is>
      </c>
      <c r="H572" t="inlineStr">
        <is>
          <t>No</t>
        </is>
      </c>
      <c r="I572" t="inlineStr">
        <is>
          <t>1</t>
        </is>
      </c>
      <c r="J572" t="inlineStr">
        <is>
          <t>No</t>
        </is>
      </c>
      <c r="K572" t="inlineStr">
        <is>
          <t>No</t>
        </is>
      </c>
      <c r="L572" t="inlineStr">
        <is>
          <t>0</t>
        </is>
      </c>
      <c r="M572" t="inlineStr">
        <is>
          <t>Brett, Judy L. Luckenbill.</t>
        </is>
      </c>
      <c r="N572" t="inlineStr">
        <is>
          <t>Chicago, Ill. : American Organization of Nurse Executives of th e American Hospital Association, American Nurses' Association, c1990.</t>
        </is>
      </c>
      <c r="O572" t="inlineStr">
        <is>
          <t>1990</t>
        </is>
      </c>
      <c r="Q572" t="inlineStr">
        <is>
          <t>eng</t>
        </is>
      </c>
      <c r="R572" t="inlineStr">
        <is>
          <t>ilu</t>
        </is>
      </c>
      <c r="S572" t="inlineStr">
        <is>
          <t>AHA pub ; no. 154182</t>
        </is>
      </c>
      <c r="T572" t="inlineStr">
        <is>
          <t xml:space="preserve">WY </t>
        </is>
      </c>
      <c r="U572" t="n">
        <v>3</v>
      </c>
      <c r="V572" t="n">
        <v>3</v>
      </c>
      <c r="W572" t="inlineStr">
        <is>
          <t>2004-04-27</t>
        </is>
      </c>
      <c r="X572" t="inlineStr">
        <is>
          <t>2004-04-27</t>
        </is>
      </c>
      <c r="Y572" t="inlineStr">
        <is>
          <t>2000-06-15</t>
        </is>
      </c>
      <c r="Z572" t="inlineStr">
        <is>
          <t>2000-06-15</t>
        </is>
      </c>
      <c r="AA572" t="n">
        <v>37</v>
      </c>
      <c r="AB572" t="n">
        <v>35</v>
      </c>
      <c r="AC572" t="n">
        <v>37</v>
      </c>
      <c r="AD572" t="n">
        <v>2</v>
      </c>
      <c r="AE572" t="n">
        <v>2</v>
      </c>
      <c r="AF572" t="n">
        <v>2</v>
      </c>
      <c r="AG572" t="n">
        <v>2</v>
      </c>
      <c r="AH572" t="n">
        <v>0</v>
      </c>
      <c r="AI572" t="n">
        <v>0</v>
      </c>
      <c r="AJ572" t="n">
        <v>0</v>
      </c>
      <c r="AK572" t="n">
        <v>0</v>
      </c>
      <c r="AL572" t="n">
        <v>2</v>
      </c>
      <c r="AM572" t="n">
        <v>2</v>
      </c>
      <c r="AN572" t="n">
        <v>0</v>
      </c>
      <c r="AO572" t="n">
        <v>0</v>
      </c>
      <c r="AP572" t="n">
        <v>0</v>
      </c>
      <c r="AQ572" t="n">
        <v>0</v>
      </c>
      <c r="AR572" t="inlineStr">
        <is>
          <t>No</t>
        </is>
      </c>
      <c r="AS572" t="inlineStr">
        <is>
          <t>Yes</t>
        </is>
      </c>
      <c r="AT572">
        <f>HYPERLINK("http://catalog.hathitrust.org/Record/002205851","HathiTrust Record")</f>
        <v/>
      </c>
      <c r="AU572">
        <f>HYPERLINK("https://creighton-primo.hosted.exlibrisgroup.com/primo-explore/search?tab=default_tab&amp;search_scope=EVERYTHING&amp;vid=01CRU&amp;lang=en_US&amp;offset=0&amp;query=any,contains,991000222989702656","Catalog Record")</f>
        <v/>
      </c>
      <c r="AV572">
        <f>HYPERLINK("http://www.worldcat.org/oclc/21532168","WorldCat Record")</f>
        <v/>
      </c>
      <c r="AW572" t="inlineStr">
        <is>
          <t>23358805:eng</t>
        </is>
      </c>
      <c r="AX572" t="inlineStr">
        <is>
          <t>21532168</t>
        </is>
      </c>
      <c r="AY572" t="inlineStr">
        <is>
          <t>991000222989702656</t>
        </is>
      </c>
      <c r="AZ572" t="inlineStr">
        <is>
          <t>991000222989702656</t>
        </is>
      </c>
      <c r="BA572" t="inlineStr">
        <is>
          <t>2270299580002656</t>
        </is>
      </c>
      <c r="BB572" t="inlineStr">
        <is>
          <t>BOOK</t>
        </is>
      </c>
      <c r="BD572" t="inlineStr">
        <is>
          <t>9780872585348</t>
        </is>
      </c>
      <c r="BE572" t="inlineStr">
        <is>
          <t>30001001884743</t>
        </is>
      </c>
      <c r="BF572" t="inlineStr">
        <is>
          <t>893456486</t>
        </is>
      </c>
    </row>
    <row r="573">
      <c r="A573" t="inlineStr">
        <is>
          <t>No</t>
        </is>
      </c>
      <c r="B573" t="inlineStr">
        <is>
          <t>CUHSL</t>
        </is>
      </c>
      <c r="C573" t="inlineStr">
        <is>
          <t>SHELVES</t>
        </is>
      </c>
      <c r="D573" t="inlineStr">
        <is>
          <t>WY 29 NU974 1990 no.4</t>
        </is>
      </c>
      <c r="E573" t="inlineStr">
        <is>
          <t>0                      WY 0029000NU 974         1990                                        no.4</t>
        </is>
      </c>
      <c r="F573" t="inlineStr">
        <is>
          <t>Reward strategies in nursing practice / American Organization of Nurse Executives and American Nurses' Association ; Maureen P. McCausland.</t>
        </is>
      </c>
      <c r="G573" t="inlineStr">
        <is>
          <t>no.4*</t>
        </is>
      </c>
      <c r="H573" t="inlineStr">
        <is>
          <t>No</t>
        </is>
      </c>
      <c r="I573" t="inlineStr">
        <is>
          <t>1</t>
        </is>
      </c>
      <c r="J573" t="inlineStr">
        <is>
          <t>No</t>
        </is>
      </c>
      <c r="K573" t="inlineStr">
        <is>
          <t>No</t>
        </is>
      </c>
      <c r="L573" t="inlineStr">
        <is>
          <t>0</t>
        </is>
      </c>
      <c r="M573" t="inlineStr">
        <is>
          <t>American Organization of Nurse Executives.</t>
        </is>
      </c>
      <c r="N573" t="inlineStr">
        <is>
          <t>Chicago, Ill. : American Hospital Association, c1990.</t>
        </is>
      </c>
      <c r="O573" t="inlineStr">
        <is>
          <t>1990</t>
        </is>
      </c>
      <c r="Q573" t="inlineStr">
        <is>
          <t>eng</t>
        </is>
      </c>
      <c r="R573" t="inlineStr">
        <is>
          <t>ilu</t>
        </is>
      </c>
      <c r="S573" t="inlineStr">
        <is>
          <t>AHA pub ; no. 154183</t>
        </is>
      </c>
      <c r="T573" t="inlineStr">
        <is>
          <t xml:space="preserve">WY </t>
        </is>
      </c>
      <c r="U573" t="n">
        <v>3</v>
      </c>
      <c r="V573" t="n">
        <v>3</v>
      </c>
      <c r="W573" t="inlineStr">
        <is>
          <t>2004-04-27</t>
        </is>
      </c>
      <c r="X573" t="inlineStr">
        <is>
          <t>2004-04-27</t>
        </is>
      </c>
      <c r="Y573" t="inlineStr">
        <is>
          <t>2000-06-15</t>
        </is>
      </c>
      <c r="Z573" t="inlineStr">
        <is>
          <t>2000-06-15</t>
        </is>
      </c>
      <c r="AA573" t="n">
        <v>23</v>
      </c>
      <c r="AB573" t="n">
        <v>21</v>
      </c>
      <c r="AC573" t="n">
        <v>34</v>
      </c>
      <c r="AD573" t="n">
        <v>2</v>
      </c>
      <c r="AE573" t="n">
        <v>2</v>
      </c>
      <c r="AF573" t="n">
        <v>2</v>
      </c>
      <c r="AG573" t="n">
        <v>2</v>
      </c>
      <c r="AH573" t="n">
        <v>0</v>
      </c>
      <c r="AI573" t="n">
        <v>0</v>
      </c>
      <c r="AJ573" t="n">
        <v>0</v>
      </c>
      <c r="AK573" t="n">
        <v>0</v>
      </c>
      <c r="AL573" t="n">
        <v>2</v>
      </c>
      <c r="AM573" t="n">
        <v>2</v>
      </c>
      <c r="AN573" t="n">
        <v>0</v>
      </c>
      <c r="AO573" t="n">
        <v>0</v>
      </c>
      <c r="AP573" t="n">
        <v>0</v>
      </c>
      <c r="AQ573" t="n">
        <v>0</v>
      </c>
      <c r="AR573" t="inlineStr">
        <is>
          <t>No</t>
        </is>
      </c>
      <c r="AS573" t="inlineStr">
        <is>
          <t>Yes</t>
        </is>
      </c>
      <c r="AT573">
        <f>HYPERLINK("http://catalog.hathitrust.org/Record/002205852","HathiTrust Record")</f>
        <v/>
      </c>
      <c r="AU573">
        <f>HYPERLINK("https://creighton-primo.hosted.exlibrisgroup.com/primo-explore/search?tab=default_tab&amp;search_scope=EVERYTHING&amp;vid=01CRU&amp;lang=en_US&amp;offset=0&amp;query=any,contains,991000222179702656","Catalog Record")</f>
        <v/>
      </c>
      <c r="AV573">
        <f>HYPERLINK("http://www.worldcat.org/oclc/21473611","WorldCat Record")</f>
        <v/>
      </c>
      <c r="AW573" t="inlineStr">
        <is>
          <t>23199459:eng</t>
        </is>
      </c>
      <c r="AX573" t="inlineStr">
        <is>
          <t>21473611</t>
        </is>
      </c>
      <c r="AY573" t="inlineStr">
        <is>
          <t>991000222179702656</t>
        </is>
      </c>
      <c r="AZ573" t="inlineStr">
        <is>
          <t>991000222179702656</t>
        </is>
      </c>
      <c r="BA573" t="inlineStr">
        <is>
          <t>2260301160002656</t>
        </is>
      </c>
      <c r="BB573" t="inlineStr">
        <is>
          <t>BOOK</t>
        </is>
      </c>
      <c r="BD573" t="inlineStr">
        <is>
          <t>9780872585348</t>
        </is>
      </c>
      <c r="BE573" t="inlineStr">
        <is>
          <t>30001001884768</t>
        </is>
      </c>
      <c r="BF573" t="inlineStr">
        <is>
          <t>893816872</t>
        </is>
      </c>
    </row>
    <row r="574">
      <c r="A574" t="inlineStr">
        <is>
          <t>No</t>
        </is>
      </c>
      <c r="B574" t="inlineStr">
        <is>
          <t>CUHSL</t>
        </is>
      </c>
      <c r="C574" t="inlineStr">
        <is>
          <t>SHELVES</t>
        </is>
      </c>
      <c r="D574" t="inlineStr">
        <is>
          <t>WY 29 NU974 1990 no.5</t>
        </is>
      </c>
      <c r="E574" t="inlineStr">
        <is>
          <t>0                      WY 0029000NU 974         1990                                        no.5</t>
        </is>
      </c>
      <c r="F574" t="inlineStr">
        <is>
          <t>Nursing education and the shortage / American Organization of Nurse Executives and American Nurses' Association ; Mary D. Naylor.</t>
        </is>
      </c>
      <c r="G574" t="inlineStr">
        <is>
          <t>no.5*</t>
        </is>
      </c>
      <c r="H574" t="inlineStr">
        <is>
          <t>No</t>
        </is>
      </c>
      <c r="I574" t="inlineStr">
        <is>
          <t>1</t>
        </is>
      </c>
      <c r="J574" t="inlineStr">
        <is>
          <t>No</t>
        </is>
      </c>
      <c r="K574" t="inlineStr">
        <is>
          <t>No</t>
        </is>
      </c>
      <c r="L574" t="inlineStr">
        <is>
          <t>0</t>
        </is>
      </c>
      <c r="M574" t="inlineStr">
        <is>
          <t>Naylor, Mary Duffin.</t>
        </is>
      </c>
      <c r="N574" t="inlineStr">
        <is>
          <t>Chicago, Ill. : American Hospital Association, c1990.</t>
        </is>
      </c>
      <c r="O574" t="inlineStr">
        <is>
          <t>1990</t>
        </is>
      </c>
      <c r="Q574" t="inlineStr">
        <is>
          <t>eng</t>
        </is>
      </c>
      <c r="R574" t="inlineStr">
        <is>
          <t>ilu</t>
        </is>
      </c>
      <c r="S574" t="inlineStr">
        <is>
          <t>AHA pub ; no. 154184</t>
        </is>
      </c>
      <c r="T574" t="inlineStr">
        <is>
          <t xml:space="preserve">WY </t>
        </is>
      </c>
      <c r="U574" t="n">
        <v>3</v>
      </c>
      <c r="V574" t="n">
        <v>3</v>
      </c>
      <c r="W574" t="inlineStr">
        <is>
          <t>2004-04-27</t>
        </is>
      </c>
      <c r="X574" t="inlineStr">
        <is>
          <t>2004-04-27</t>
        </is>
      </c>
      <c r="Y574" t="inlineStr">
        <is>
          <t>2000-06-15</t>
        </is>
      </c>
      <c r="Z574" t="inlineStr">
        <is>
          <t>2000-06-15</t>
        </is>
      </c>
      <c r="AA574" t="n">
        <v>36</v>
      </c>
      <c r="AB574" t="n">
        <v>34</v>
      </c>
      <c r="AC574" t="n">
        <v>36</v>
      </c>
      <c r="AD574" t="n">
        <v>2</v>
      </c>
      <c r="AE574" t="n">
        <v>2</v>
      </c>
      <c r="AF574" t="n">
        <v>2</v>
      </c>
      <c r="AG574" t="n">
        <v>2</v>
      </c>
      <c r="AH574" t="n">
        <v>0</v>
      </c>
      <c r="AI574" t="n">
        <v>0</v>
      </c>
      <c r="AJ574" t="n">
        <v>0</v>
      </c>
      <c r="AK574" t="n">
        <v>0</v>
      </c>
      <c r="AL574" t="n">
        <v>2</v>
      </c>
      <c r="AM574" t="n">
        <v>2</v>
      </c>
      <c r="AN574" t="n">
        <v>0</v>
      </c>
      <c r="AO574" t="n">
        <v>0</v>
      </c>
      <c r="AP574" t="n">
        <v>0</v>
      </c>
      <c r="AQ574" t="n">
        <v>0</v>
      </c>
      <c r="AR574" t="inlineStr">
        <is>
          <t>No</t>
        </is>
      </c>
      <c r="AS574" t="inlineStr">
        <is>
          <t>Yes</t>
        </is>
      </c>
      <c r="AT574">
        <f>HYPERLINK("http://catalog.hathitrust.org/Record/002205853","HathiTrust Record")</f>
        <v/>
      </c>
      <c r="AU574">
        <f>HYPERLINK("https://creighton-primo.hosted.exlibrisgroup.com/primo-explore/search?tab=default_tab&amp;search_scope=EVERYTHING&amp;vid=01CRU&amp;lang=en_US&amp;offset=0&amp;query=any,contains,991000222219702656","Catalog Record")</f>
        <v/>
      </c>
      <c r="AV574">
        <f>HYPERLINK("http://www.worldcat.org/oclc/22240454","WorldCat Record")</f>
        <v/>
      </c>
      <c r="AW574" t="inlineStr">
        <is>
          <t>24511420:eng</t>
        </is>
      </c>
      <c r="AX574" t="inlineStr">
        <is>
          <t>22240454</t>
        </is>
      </c>
      <c r="AY574" t="inlineStr">
        <is>
          <t>991000222219702656</t>
        </is>
      </c>
      <c r="AZ574" t="inlineStr">
        <is>
          <t>991000222219702656</t>
        </is>
      </c>
      <c r="BA574" t="inlineStr">
        <is>
          <t>2260306450002656</t>
        </is>
      </c>
      <c r="BB574" t="inlineStr">
        <is>
          <t>BOOK</t>
        </is>
      </c>
      <c r="BD574" t="inlineStr">
        <is>
          <t>9780872585348</t>
        </is>
      </c>
      <c r="BE574" t="inlineStr">
        <is>
          <t>30001001884784</t>
        </is>
      </c>
      <c r="BF574" t="inlineStr">
        <is>
          <t>893536901</t>
        </is>
      </c>
    </row>
    <row r="575">
      <c r="A575" t="inlineStr">
        <is>
          <t>No</t>
        </is>
      </c>
      <c r="B575" t="inlineStr">
        <is>
          <t>CUHSL</t>
        </is>
      </c>
      <c r="C575" t="inlineStr">
        <is>
          <t>SHELVES</t>
        </is>
      </c>
      <c r="D575" t="inlineStr">
        <is>
          <t>WY 29 V878e 1988</t>
        </is>
      </c>
      <c r="E575" t="inlineStr">
        <is>
          <t>0                      WY 0029000V  878e        1988</t>
        </is>
      </c>
      <c r="F575" t="inlineStr">
        <is>
          <t>Entrepreneuring : a nurse's guide to starting a business / Gerry Vogel, Nancy Doleysh.</t>
        </is>
      </c>
      <c r="H575" t="inlineStr">
        <is>
          <t>No</t>
        </is>
      </c>
      <c r="I575" t="inlineStr">
        <is>
          <t>1</t>
        </is>
      </c>
      <c r="J575" t="inlineStr">
        <is>
          <t>No</t>
        </is>
      </c>
      <c r="K575" t="inlineStr">
        <is>
          <t>Yes</t>
        </is>
      </c>
      <c r="L575" t="inlineStr">
        <is>
          <t>0</t>
        </is>
      </c>
      <c r="M575" t="inlineStr">
        <is>
          <t>Vogel, Gerry.</t>
        </is>
      </c>
      <c r="N575" t="inlineStr">
        <is>
          <t>New York : National League for Nursing, c1988.</t>
        </is>
      </c>
      <c r="O575" t="inlineStr">
        <is>
          <t>1988</t>
        </is>
      </c>
      <c r="Q575" t="inlineStr">
        <is>
          <t>eng</t>
        </is>
      </c>
      <c r="R575" t="inlineStr">
        <is>
          <t>nyu</t>
        </is>
      </c>
      <c r="S575" t="inlineStr">
        <is>
          <t>"Pub. no. 41-2201"</t>
        </is>
      </c>
      <c r="T575" t="inlineStr">
        <is>
          <t xml:space="preserve">WY </t>
        </is>
      </c>
      <c r="U575" t="n">
        <v>3</v>
      </c>
      <c r="V575" t="n">
        <v>3</v>
      </c>
      <c r="W575" t="inlineStr">
        <is>
          <t>1993-07-30</t>
        </is>
      </c>
      <c r="X575" t="inlineStr">
        <is>
          <t>1993-07-30</t>
        </is>
      </c>
      <c r="Y575" t="inlineStr">
        <is>
          <t>1988-06-18</t>
        </is>
      </c>
      <c r="Z575" t="inlineStr">
        <is>
          <t>1988-06-18</t>
        </is>
      </c>
      <c r="AA575" t="n">
        <v>214</v>
      </c>
      <c r="AB575" t="n">
        <v>192</v>
      </c>
      <c r="AC575" t="n">
        <v>323</v>
      </c>
      <c r="AD575" t="n">
        <v>3</v>
      </c>
      <c r="AE575" t="n">
        <v>3</v>
      </c>
      <c r="AF575" t="n">
        <v>9</v>
      </c>
      <c r="AG575" t="n">
        <v>14</v>
      </c>
      <c r="AH575" t="n">
        <v>2</v>
      </c>
      <c r="AI575" t="n">
        <v>5</v>
      </c>
      <c r="AJ575" t="n">
        <v>2</v>
      </c>
      <c r="AK575" t="n">
        <v>3</v>
      </c>
      <c r="AL575" t="n">
        <v>4</v>
      </c>
      <c r="AM575" t="n">
        <v>7</v>
      </c>
      <c r="AN575" t="n">
        <v>1</v>
      </c>
      <c r="AO575" t="n">
        <v>1</v>
      </c>
      <c r="AP575" t="n">
        <v>0</v>
      </c>
      <c r="AQ575" t="n">
        <v>0</v>
      </c>
      <c r="AR575" t="inlineStr">
        <is>
          <t>No</t>
        </is>
      </c>
      <c r="AS575" t="inlineStr">
        <is>
          <t>Yes</t>
        </is>
      </c>
      <c r="AT575">
        <f>HYPERLINK("http://catalog.hathitrust.org/Record/004412901","HathiTrust Record")</f>
        <v/>
      </c>
      <c r="AU575">
        <f>HYPERLINK("https://creighton-primo.hosted.exlibrisgroup.com/primo-explore/search?tab=default_tab&amp;search_scope=EVERYTHING&amp;vid=01CRU&amp;lang=en_US&amp;offset=0&amp;query=any,contains,991001414849702656","Catalog Record")</f>
        <v/>
      </c>
      <c r="AV575">
        <f>HYPERLINK("http://www.worldcat.org/oclc/19810858","WorldCat Record")</f>
        <v/>
      </c>
      <c r="AW575" t="inlineStr">
        <is>
          <t>21275026:eng</t>
        </is>
      </c>
      <c r="AX575" t="inlineStr">
        <is>
          <t>19810858</t>
        </is>
      </c>
      <c r="AY575" t="inlineStr">
        <is>
          <t>991001414849702656</t>
        </is>
      </c>
      <c r="AZ575" t="inlineStr">
        <is>
          <t>991001414849702656</t>
        </is>
      </c>
      <c r="BA575" t="inlineStr">
        <is>
          <t>2270988640002656</t>
        </is>
      </c>
      <c r="BB575" t="inlineStr">
        <is>
          <t>BOOK</t>
        </is>
      </c>
      <c r="BD575" t="inlineStr">
        <is>
          <t>9780887373855</t>
        </is>
      </c>
      <c r="BE575" t="inlineStr">
        <is>
          <t>30001001180183</t>
        </is>
      </c>
      <c r="BF575" t="inlineStr">
        <is>
          <t>893541384</t>
        </is>
      </c>
    </row>
    <row r="576">
      <c r="A576" t="inlineStr">
        <is>
          <t>No</t>
        </is>
      </c>
      <c r="B576" t="inlineStr">
        <is>
          <t>CUHSL</t>
        </is>
      </c>
      <c r="C576" t="inlineStr">
        <is>
          <t>SHELVES</t>
        </is>
      </c>
      <c r="D576" t="inlineStr">
        <is>
          <t>WY 30 D726i 1981</t>
        </is>
      </c>
      <c r="E576" t="inlineStr">
        <is>
          <t>0                      WY 0030000D  726i        1981</t>
        </is>
      </c>
      <c r="F576" t="inlineStr">
        <is>
          <t>Issues in collective bargaining for nurses / Joel M. Douglas.</t>
        </is>
      </c>
      <c r="H576" t="inlineStr">
        <is>
          <t>No</t>
        </is>
      </c>
      <c r="I576" t="inlineStr">
        <is>
          <t>1</t>
        </is>
      </c>
      <c r="J576" t="inlineStr">
        <is>
          <t>No</t>
        </is>
      </c>
      <c r="K576" t="inlineStr">
        <is>
          <t>No</t>
        </is>
      </c>
      <c r="L576" t="inlineStr">
        <is>
          <t>0</t>
        </is>
      </c>
      <c r="M576" t="inlineStr">
        <is>
          <t>Douglas, Joel M.</t>
        </is>
      </c>
      <c r="N576" t="inlineStr">
        <is>
          <t>New York : National League for Nursing, c1981.</t>
        </is>
      </c>
      <c r="O576" t="inlineStr">
        <is>
          <t>1981</t>
        </is>
      </c>
      <c r="Q576" t="inlineStr">
        <is>
          <t>eng</t>
        </is>
      </c>
      <c r="R576" t="inlineStr">
        <is>
          <t>xxu</t>
        </is>
      </c>
      <c r="S576" t="inlineStr">
        <is>
          <t>NLN pub. no. 23-1874</t>
        </is>
      </c>
      <c r="T576" t="inlineStr">
        <is>
          <t xml:space="preserve">WY </t>
        </is>
      </c>
      <c r="U576" t="n">
        <v>3</v>
      </c>
      <c r="V576" t="n">
        <v>3</v>
      </c>
      <c r="W576" t="inlineStr">
        <is>
          <t>1994-03-03</t>
        </is>
      </c>
      <c r="X576" t="inlineStr">
        <is>
          <t>1994-03-03</t>
        </is>
      </c>
      <c r="Y576" t="inlineStr">
        <is>
          <t>1987-11-09</t>
        </is>
      </c>
      <c r="Z576" t="inlineStr">
        <is>
          <t>1987-11-09</t>
        </is>
      </c>
      <c r="AA576" t="n">
        <v>109</v>
      </c>
      <c r="AB576" t="n">
        <v>95</v>
      </c>
      <c r="AC576" t="n">
        <v>97</v>
      </c>
      <c r="AD576" t="n">
        <v>1</v>
      </c>
      <c r="AE576" t="n">
        <v>1</v>
      </c>
      <c r="AF576" t="n">
        <v>4</v>
      </c>
      <c r="AG576" t="n">
        <v>4</v>
      </c>
      <c r="AH576" t="n">
        <v>2</v>
      </c>
      <c r="AI576" t="n">
        <v>2</v>
      </c>
      <c r="AJ576" t="n">
        <v>0</v>
      </c>
      <c r="AK576" t="n">
        <v>0</v>
      </c>
      <c r="AL576" t="n">
        <v>2</v>
      </c>
      <c r="AM576" t="n">
        <v>2</v>
      </c>
      <c r="AN576" t="n">
        <v>0</v>
      </c>
      <c r="AO576" t="n">
        <v>0</v>
      </c>
      <c r="AP576" t="n">
        <v>0</v>
      </c>
      <c r="AQ576" t="n">
        <v>0</v>
      </c>
      <c r="AR576" t="inlineStr">
        <is>
          <t>No</t>
        </is>
      </c>
      <c r="AS576" t="inlineStr">
        <is>
          <t>Yes</t>
        </is>
      </c>
      <c r="AT576">
        <f>HYPERLINK("http://catalog.hathitrust.org/Record/000779608","HathiTrust Record")</f>
        <v/>
      </c>
      <c r="AU576">
        <f>HYPERLINK("https://creighton-primo.hosted.exlibrisgroup.com/primo-explore/search?tab=default_tab&amp;search_scope=EVERYTHING&amp;vid=01CRU&amp;lang=en_US&amp;offset=0&amp;query=any,contains,991001389109702656","Catalog Record")</f>
        <v/>
      </c>
      <c r="AV576">
        <f>HYPERLINK("http://www.worldcat.org/oclc/8453547","WorldCat Record")</f>
        <v/>
      </c>
      <c r="AW576" t="inlineStr">
        <is>
          <t>31479637:eng</t>
        </is>
      </c>
      <c r="AX576" t="inlineStr">
        <is>
          <t>8453547</t>
        </is>
      </c>
      <c r="AY576" t="inlineStr">
        <is>
          <t>991001389109702656</t>
        </is>
      </c>
      <c r="AZ576" t="inlineStr">
        <is>
          <t>991001389109702656</t>
        </is>
      </c>
      <c r="BA576" t="inlineStr">
        <is>
          <t>2271568100002656</t>
        </is>
      </c>
      <c r="BB576" t="inlineStr">
        <is>
          <t>BOOK</t>
        </is>
      </c>
      <c r="BE576" t="inlineStr">
        <is>
          <t>30001000464505</t>
        </is>
      </c>
      <c r="BF576" t="inlineStr">
        <is>
          <t>893821162</t>
        </is>
      </c>
    </row>
    <row r="577">
      <c r="A577" t="inlineStr">
        <is>
          <t>No</t>
        </is>
      </c>
      <c r="B577" t="inlineStr">
        <is>
          <t>CUHSL</t>
        </is>
      </c>
      <c r="C577" t="inlineStr">
        <is>
          <t>SHELVES</t>
        </is>
      </c>
      <c r="D577" t="inlineStr">
        <is>
          <t>WY 30 G198p 1984</t>
        </is>
      </c>
      <c r="E577" t="inlineStr">
        <is>
          <t>0                      WY 0030000G  198p        1984</t>
        </is>
      </c>
      <c r="F577" t="inlineStr">
        <is>
          <t>Performance appraisal for productivity : the nurse manager's handbook / Joan M. Ganong and Warren L. Ganong.</t>
        </is>
      </c>
      <c r="H577" t="inlineStr">
        <is>
          <t>No</t>
        </is>
      </c>
      <c r="I577" t="inlineStr">
        <is>
          <t>1</t>
        </is>
      </c>
      <c r="J577" t="inlineStr">
        <is>
          <t>No</t>
        </is>
      </c>
      <c r="K577" t="inlineStr">
        <is>
          <t>No</t>
        </is>
      </c>
      <c r="L577" t="inlineStr">
        <is>
          <t>0</t>
        </is>
      </c>
      <c r="M577" t="inlineStr">
        <is>
          <t>Ganong, Joan M.</t>
        </is>
      </c>
      <c r="N577" t="inlineStr">
        <is>
          <t>Rockville, Md. : Aspen Systems Corp., c1984.</t>
        </is>
      </c>
      <c r="O577" t="inlineStr">
        <is>
          <t>1983</t>
        </is>
      </c>
      <c r="Q577" t="inlineStr">
        <is>
          <t>eng</t>
        </is>
      </c>
      <c r="R577" t="inlineStr">
        <is>
          <t>xxu</t>
        </is>
      </c>
      <c r="T577" t="inlineStr">
        <is>
          <t xml:space="preserve">WY </t>
        </is>
      </c>
      <c r="U577" t="n">
        <v>3</v>
      </c>
      <c r="V577" t="n">
        <v>3</v>
      </c>
      <c r="W577" t="inlineStr">
        <is>
          <t>1991-06-17</t>
        </is>
      </c>
      <c r="X577" t="inlineStr">
        <is>
          <t>1991-06-17</t>
        </is>
      </c>
      <c r="Y577" t="inlineStr">
        <is>
          <t>1987-12-28</t>
        </is>
      </c>
      <c r="Z577" t="inlineStr">
        <is>
          <t>1987-12-28</t>
        </is>
      </c>
      <c r="AA577" t="n">
        <v>238</v>
      </c>
      <c r="AB577" t="n">
        <v>210</v>
      </c>
      <c r="AC577" t="n">
        <v>214</v>
      </c>
      <c r="AD577" t="n">
        <v>2</v>
      </c>
      <c r="AE577" t="n">
        <v>2</v>
      </c>
      <c r="AF577" t="n">
        <v>5</v>
      </c>
      <c r="AG577" t="n">
        <v>6</v>
      </c>
      <c r="AH577" t="n">
        <v>0</v>
      </c>
      <c r="AI577" t="n">
        <v>1</v>
      </c>
      <c r="AJ577" t="n">
        <v>2</v>
      </c>
      <c r="AK577" t="n">
        <v>2</v>
      </c>
      <c r="AL577" t="n">
        <v>4</v>
      </c>
      <c r="AM577" t="n">
        <v>5</v>
      </c>
      <c r="AN577" t="n">
        <v>0</v>
      </c>
      <c r="AO577" t="n">
        <v>0</v>
      </c>
      <c r="AP577" t="n">
        <v>0</v>
      </c>
      <c r="AQ577" t="n">
        <v>0</v>
      </c>
      <c r="AR577" t="inlineStr">
        <is>
          <t>No</t>
        </is>
      </c>
      <c r="AS577" t="inlineStr">
        <is>
          <t>Yes</t>
        </is>
      </c>
      <c r="AT577">
        <f>HYPERLINK("http://catalog.hathitrust.org/Record/000285116","HathiTrust Record")</f>
        <v/>
      </c>
      <c r="AU577">
        <f>HYPERLINK("https://creighton-primo.hosted.exlibrisgroup.com/primo-explore/search?tab=default_tab&amp;search_scope=EVERYTHING&amp;vid=01CRU&amp;lang=en_US&amp;offset=0&amp;query=any,contains,991001044769702656","Catalog Record")</f>
        <v/>
      </c>
      <c r="AV577">
        <f>HYPERLINK("http://www.worldcat.org/oclc/9945049","WorldCat Record")</f>
        <v/>
      </c>
      <c r="AW577" t="inlineStr">
        <is>
          <t>20507495:eng</t>
        </is>
      </c>
      <c r="AX577" t="inlineStr">
        <is>
          <t>9945049</t>
        </is>
      </c>
      <c r="AY577" t="inlineStr">
        <is>
          <t>991001044769702656</t>
        </is>
      </c>
      <c r="AZ577" t="inlineStr">
        <is>
          <t>991001044769702656</t>
        </is>
      </c>
      <c r="BA577" t="inlineStr">
        <is>
          <t>2264463820002656</t>
        </is>
      </c>
      <c r="BB577" t="inlineStr">
        <is>
          <t>BOOK</t>
        </is>
      </c>
      <c r="BD577" t="inlineStr">
        <is>
          <t>9780894439452</t>
        </is>
      </c>
      <c r="BE577" t="inlineStr">
        <is>
          <t>30001000243644</t>
        </is>
      </c>
      <c r="BF577" t="inlineStr">
        <is>
          <t>893820879</t>
        </is>
      </c>
    </row>
    <row r="578">
      <c r="A578" t="inlineStr">
        <is>
          <t>No</t>
        </is>
      </c>
      <c r="B578" t="inlineStr">
        <is>
          <t>CUHSL</t>
        </is>
      </c>
      <c r="C578" t="inlineStr">
        <is>
          <t>SHELVES</t>
        </is>
      </c>
      <c r="D578" t="inlineStr">
        <is>
          <t>WY 30 M266 1989</t>
        </is>
      </c>
      <c r="E578" t="inlineStr">
        <is>
          <t>0                      WY 0030000M  266         1989</t>
        </is>
      </c>
      <c r="F578" t="inlineStr">
        <is>
          <t>Managing the nursing shortage : a guide to recruitment and retention / [edited by] Terence F. Moore, Earl A. Simendinger ; contributors, David P. Berry ... [et al.].</t>
        </is>
      </c>
      <c r="H578" t="inlineStr">
        <is>
          <t>No</t>
        </is>
      </c>
      <c r="I578" t="inlineStr">
        <is>
          <t>1</t>
        </is>
      </c>
      <c r="J578" t="inlineStr">
        <is>
          <t>No</t>
        </is>
      </c>
      <c r="K578" t="inlineStr">
        <is>
          <t>No</t>
        </is>
      </c>
      <c r="L578" t="inlineStr">
        <is>
          <t>0</t>
        </is>
      </c>
      <c r="N578" t="inlineStr">
        <is>
          <t>Rockville, Md. : Aspen Publishers, c1989.</t>
        </is>
      </c>
      <c r="O578" t="inlineStr">
        <is>
          <t>1989</t>
        </is>
      </c>
      <c r="Q578" t="inlineStr">
        <is>
          <t>eng</t>
        </is>
      </c>
      <c r="R578" t="inlineStr">
        <is>
          <t>xxu</t>
        </is>
      </c>
      <c r="T578" t="inlineStr">
        <is>
          <t xml:space="preserve">WY </t>
        </is>
      </c>
      <c r="U578" t="n">
        <v>13</v>
      </c>
      <c r="V578" t="n">
        <v>13</v>
      </c>
      <c r="W578" t="inlineStr">
        <is>
          <t>2004-04-27</t>
        </is>
      </c>
      <c r="X578" t="inlineStr">
        <is>
          <t>2004-04-27</t>
        </is>
      </c>
      <c r="Y578" t="inlineStr">
        <is>
          <t>1989-09-09</t>
        </is>
      </c>
      <c r="Z578" t="inlineStr">
        <is>
          <t>1989-09-09</t>
        </is>
      </c>
      <c r="AA578" t="n">
        <v>212</v>
      </c>
      <c r="AB578" t="n">
        <v>186</v>
      </c>
      <c r="AC578" t="n">
        <v>188</v>
      </c>
      <c r="AD578" t="n">
        <v>1</v>
      </c>
      <c r="AE578" t="n">
        <v>1</v>
      </c>
      <c r="AF578" t="n">
        <v>5</v>
      </c>
      <c r="AG578" t="n">
        <v>5</v>
      </c>
      <c r="AH578" t="n">
        <v>0</v>
      </c>
      <c r="AI578" t="n">
        <v>0</v>
      </c>
      <c r="AJ578" t="n">
        <v>1</v>
      </c>
      <c r="AK578" t="n">
        <v>1</v>
      </c>
      <c r="AL578" t="n">
        <v>4</v>
      </c>
      <c r="AM578" t="n">
        <v>4</v>
      </c>
      <c r="AN578" t="n">
        <v>0</v>
      </c>
      <c r="AO578" t="n">
        <v>0</v>
      </c>
      <c r="AP578" t="n">
        <v>0</v>
      </c>
      <c r="AQ578" t="n">
        <v>0</v>
      </c>
      <c r="AR578" t="inlineStr">
        <is>
          <t>No</t>
        </is>
      </c>
      <c r="AS578" t="inlineStr">
        <is>
          <t>Yes</t>
        </is>
      </c>
      <c r="AT578">
        <f>HYPERLINK("http://catalog.hathitrust.org/Record/001836322","HathiTrust Record")</f>
        <v/>
      </c>
      <c r="AU578">
        <f>HYPERLINK("https://creighton-primo.hosted.exlibrisgroup.com/primo-explore/search?tab=default_tab&amp;search_scope=EVERYTHING&amp;vid=01CRU&amp;lang=en_US&amp;offset=0&amp;query=any,contains,991001317339702656","Catalog Record")</f>
        <v/>
      </c>
      <c r="AV578">
        <f>HYPERLINK("http://www.worldcat.org/oclc/18870709","WorldCat Record")</f>
        <v/>
      </c>
      <c r="AW578" t="inlineStr">
        <is>
          <t>427711250:eng</t>
        </is>
      </c>
      <c r="AX578" t="inlineStr">
        <is>
          <t>18870709</t>
        </is>
      </c>
      <c r="AY578" t="inlineStr">
        <is>
          <t>991001317339702656</t>
        </is>
      </c>
      <c r="AZ578" t="inlineStr">
        <is>
          <t>991001317339702656</t>
        </is>
      </c>
      <c r="BA578" t="inlineStr">
        <is>
          <t>2261080810002656</t>
        </is>
      </c>
      <c r="BB578" t="inlineStr">
        <is>
          <t>BOOK</t>
        </is>
      </c>
      <c r="BD578" t="inlineStr">
        <is>
          <t>9780834200463</t>
        </is>
      </c>
      <c r="BE578" t="inlineStr">
        <is>
          <t>30001001753203</t>
        </is>
      </c>
      <c r="BF578" t="inlineStr">
        <is>
          <t>893134465</t>
        </is>
      </c>
    </row>
    <row r="579">
      <c r="A579" t="inlineStr">
        <is>
          <t>No</t>
        </is>
      </c>
      <c r="B579" t="inlineStr">
        <is>
          <t>CUHSL</t>
        </is>
      </c>
      <c r="C579" t="inlineStr">
        <is>
          <t>SHELVES</t>
        </is>
      </c>
      <c r="D579" t="inlineStr">
        <is>
          <t>WY 30 N974 1992</t>
        </is>
      </c>
      <c r="E579" t="inlineStr">
        <is>
          <t>0                      WY 0030000N  974         1992</t>
        </is>
      </c>
      <c r="F579" t="inlineStr">
        <is>
          <t>Nurses in the workplace / edited by Marie E. Cowart, William J. Serow.</t>
        </is>
      </c>
      <c r="H579" t="inlineStr">
        <is>
          <t>No</t>
        </is>
      </c>
      <c r="I579" t="inlineStr">
        <is>
          <t>1</t>
        </is>
      </c>
      <c r="J579" t="inlineStr">
        <is>
          <t>No</t>
        </is>
      </c>
      <c r="K579" t="inlineStr">
        <is>
          <t>No</t>
        </is>
      </c>
      <c r="L579" t="inlineStr">
        <is>
          <t>0</t>
        </is>
      </c>
      <c r="N579" t="inlineStr">
        <is>
          <t>Newbury Park [Calif.] : Sage Publications, c1992.</t>
        </is>
      </c>
      <c r="O579" t="inlineStr">
        <is>
          <t>1992</t>
        </is>
      </c>
      <c r="Q579" t="inlineStr">
        <is>
          <t>eng</t>
        </is>
      </c>
      <c r="R579" t="inlineStr">
        <is>
          <t>cau</t>
        </is>
      </c>
      <c r="T579" t="inlineStr">
        <is>
          <t xml:space="preserve">WY </t>
        </is>
      </c>
      <c r="U579" t="n">
        <v>9</v>
      </c>
      <c r="V579" t="n">
        <v>9</v>
      </c>
      <c r="W579" t="inlineStr">
        <is>
          <t>2000-07-12</t>
        </is>
      </c>
      <c r="X579" t="inlineStr">
        <is>
          <t>2000-07-12</t>
        </is>
      </c>
      <c r="Y579" t="inlineStr">
        <is>
          <t>1992-09-30</t>
        </is>
      </c>
      <c r="Z579" t="inlineStr">
        <is>
          <t>1992-09-30</t>
        </is>
      </c>
      <c r="AA579" t="n">
        <v>201</v>
      </c>
      <c r="AB579" t="n">
        <v>149</v>
      </c>
      <c r="AC579" t="n">
        <v>223</v>
      </c>
      <c r="AD579" t="n">
        <v>1</v>
      </c>
      <c r="AE579" t="n">
        <v>1</v>
      </c>
      <c r="AF579" t="n">
        <v>11</v>
      </c>
      <c r="AG579" t="n">
        <v>14</v>
      </c>
      <c r="AH579" t="n">
        <v>5</v>
      </c>
      <c r="AI579" t="n">
        <v>7</v>
      </c>
      <c r="AJ579" t="n">
        <v>3</v>
      </c>
      <c r="AK579" t="n">
        <v>4</v>
      </c>
      <c r="AL579" t="n">
        <v>7</v>
      </c>
      <c r="AM579" t="n">
        <v>8</v>
      </c>
      <c r="AN579" t="n">
        <v>0</v>
      </c>
      <c r="AO579" t="n">
        <v>0</v>
      </c>
      <c r="AP579" t="n">
        <v>0</v>
      </c>
      <c r="AQ579" t="n">
        <v>0</v>
      </c>
      <c r="AR579" t="inlineStr">
        <is>
          <t>No</t>
        </is>
      </c>
      <c r="AS579" t="inlineStr">
        <is>
          <t>Yes</t>
        </is>
      </c>
      <c r="AT579">
        <f>HYPERLINK("http://catalog.hathitrust.org/Record/002584252","HathiTrust Record")</f>
        <v/>
      </c>
      <c r="AU579">
        <f>HYPERLINK("https://creighton-primo.hosted.exlibrisgroup.com/primo-explore/search?tab=default_tab&amp;search_scope=EVERYTHING&amp;vid=01CRU&amp;lang=en_US&amp;offset=0&amp;query=any,contains,991001034919702656","Catalog Record")</f>
        <v/>
      </c>
      <c r="AV579">
        <f>HYPERLINK("http://www.worldcat.org/oclc/24668293","WorldCat Record")</f>
        <v/>
      </c>
      <c r="AW579" t="inlineStr">
        <is>
          <t>434213830:eng</t>
        </is>
      </c>
      <c r="AX579" t="inlineStr">
        <is>
          <t>24668293</t>
        </is>
      </c>
      <c r="AY579" t="inlineStr">
        <is>
          <t>991001034919702656</t>
        </is>
      </c>
      <c r="AZ579" t="inlineStr">
        <is>
          <t>991001034919702656</t>
        </is>
      </c>
      <c r="BA579" t="inlineStr">
        <is>
          <t>2256739340002656</t>
        </is>
      </c>
      <c r="BB579" t="inlineStr">
        <is>
          <t>BOOK</t>
        </is>
      </c>
      <c r="BD579" t="inlineStr">
        <is>
          <t>9780803943131</t>
        </is>
      </c>
      <c r="BE579" t="inlineStr">
        <is>
          <t>30001002244582</t>
        </is>
      </c>
      <c r="BF579" t="inlineStr">
        <is>
          <t>893273617</t>
        </is>
      </c>
    </row>
    <row r="580">
      <c r="A580" t="inlineStr">
        <is>
          <t>No</t>
        </is>
      </c>
      <c r="B580" t="inlineStr">
        <is>
          <t>CUHSL</t>
        </is>
      </c>
      <c r="C580" t="inlineStr">
        <is>
          <t>SHELVES</t>
        </is>
      </c>
      <c r="D580" t="inlineStr">
        <is>
          <t>WY 30 R437 1983</t>
        </is>
      </c>
      <c r="E580" t="inlineStr">
        <is>
          <t>0                      WY 0030000R  437         1983</t>
        </is>
      </c>
      <c r="F580" t="inlineStr">
        <is>
          <t>Retaining professional nurses : a planned process / Judith F. Vogt ... [et al.].</t>
        </is>
      </c>
      <c r="H580" t="inlineStr">
        <is>
          <t>No</t>
        </is>
      </c>
      <c r="I580" t="inlineStr">
        <is>
          <t>1</t>
        </is>
      </c>
      <c r="J580" t="inlineStr">
        <is>
          <t>No</t>
        </is>
      </c>
      <c r="K580" t="inlineStr">
        <is>
          <t>No</t>
        </is>
      </c>
      <c r="L580" t="inlineStr">
        <is>
          <t>0</t>
        </is>
      </c>
      <c r="N580" t="inlineStr">
        <is>
          <t>St. Louis : Mosby, c1983.</t>
        </is>
      </c>
      <c r="O580" t="inlineStr">
        <is>
          <t>1983</t>
        </is>
      </c>
      <c r="Q580" t="inlineStr">
        <is>
          <t>eng</t>
        </is>
      </c>
      <c r="R580" t="inlineStr">
        <is>
          <t>xxu</t>
        </is>
      </c>
      <c r="T580" t="inlineStr">
        <is>
          <t xml:space="preserve">WY </t>
        </is>
      </c>
      <c r="U580" t="n">
        <v>7</v>
      </c>
      <c r="V580" t="n">
        <v>7</v>
      </c>
      <c r="W580" t="inlineStr">
        <is>
          <t>1999-06-24</t>
        </is>
      </c>
      <c r="X580" t="inlineStr">
        <is>
          <t>1999-06-24</t>
        </is>
      </c>
      <c r="Y580" t="inlineStr">
        <is>
          <t>1987-12-28</t>
        </is>
      </c>
      <c r="Z580" t="inlineStr">
        <is>
          <t>1987-12-28</t>
        </is>
      </c>
      <c r="AA580" t="n">
        <v>219</v>
      </c>
      <c r="AB580" t="n">
        <v>166</v>
      </c>
      <c r="AC580" t="n">
        <v>173</v>
      </c>
      <c r="AD580" t="n">
        <v>1</v>
      </c>
      <c r="AE580" t="n">
        <v>1</v>
      </c>
      <c r="AF580" t="n">
        <v>3</v>
      </c>
      <c r="AG580" t="n">
        <v>3</v>
      </c>
      <c r="AH580" t="n">
        <v>1</v>
      </c>
      <c r="AI580" t="n">
        <v>1</v>
      </c>
      <c r="AJ580" t="n">
        <v>1</v>
      </c>
      <c r="AK580" t="n">
        <v>1</v>
      </c>
      <c r="AL580" t="n">
        <v>1</v>
      </c>
      <c r="AM580" t="n">
        <v>1</v>
      </c>
      <c r="AN580" t="n">
        <v>0</v>
      </c>
      <c r="AO580" t="n">
        <v>0</v>
      </c>
      <c r="AP580" t="n">
        <v>0</v>
      </c>
      <c r="AQ580" t="n">
        <v>0</v>
      </c>
      <c r="AR580" t="inlineStr">
        <is>
          <t>No</t>
        </is>
      </c>
      <c r="AS580" t="inlineStr">
        <is>
          <t>Yes</t>
        </is>
      </c>
      <c r="AT580">
        <f>HYPERLINK("http://catalog.hathitrust.org/Record/000317946","HathiTrust Record")</f>
        <v/>
      </c>
      <c r="AU580">
        <f>HYPERLINK("https://creighton-primo.hosted.exlibrisgroup.com/primo-explore/search?tab=default_tab&amp;search_scope=EVERYTHING&amp;vid=01CRU&amp;lang=en_US&amp;offset=0&amp;query=any,contains,991001044819702656","Catalog Record")</f>
        <v/>
      </c>
      <c r="AV580">
        <f>HYPERLINK("http://www.worldcat.org/oclc/8689449","WorldCat Record")</f>
        <v/>
      </c>
      <c r="AW580" t="inlineStr">
        <is>
          <t>836700189:eng</t>
        </is>
      </c>
      <c r="AX580" t="inlineStr">
        <is>
          <t>8689449</t>
        </is>
      </c>
      <c r="AY580" t="inlineStr">
        <is>
          <t>991001044819702656</t>
        </is>
      </c>
      <c r="AZ580" t="inlineStr">
        <is>
          <t>991001044819702656</t>
        </is>
      </c>
      <c r="BA580" t="inlineStr">
        <is>
          <t>2266321200002656</t>
        </is>
      </c>
      <c r="BB580" t="inlineStr">
        <is>
          <t>BOOK</t>
        </is>
      </c>
      <c r="BD580" t="inlineStr">
        <is>
          <t>9780801652264</t>
        </is>
      </c>
      <c r="BE580" t="inlineStr">
        <is>
          <t>30001000243651</t>
        </is>
      </c>
      <c r="BF580" t="inlineStr">
        <is>
          <t>893363681</t>
        </is>
      </c>
    </row>
    <row r="581">
      <c r="A581" t="inlineStr">
        <is>
          <t>No</t>
        </is>
      </c>
      <c r="B581" t="inlineStr">
        <is>
          <t>CUHSL</t>
        </is>
      </c>
      <c r="C581" t="inlineStr">
        <is>
          <t>SHELVES</t>
        </is>
      </c>
      <c r="D581" t="inlineStr">
        <is>
          <t>WY 30 R977m 1987</t>
        </is>
      </c>
      <c r="E581" t="inlineStr">
        <is>
          <t>0                      WY 0030000R  977m        1987</t>
        </is>
      </c>
      <c r="F581" t="inlineStr">
        <is>
          <t>Managing for productivity in nursing / Barbara Rutkowski.</t>
        </is>
      </c>
      <c r="H581" t="inlineStr">
        <is>
          <t>No</t>
        </is>
      </c>
      <c r="I581" t="inlineStr">
        <is>
          <t>1</t>
        </is>
      </c>
      <c r="J581" t="inlineStr">
        <is>
          <t>No</t>
        </is>
      </c>
      <c r="K581" t="inlineStr">
        <is>
          <t>No</t>
        </is>
      </c>
      <c r="L581" t="inlineStr">
        <is>
          <t>0</t>
        </is>
      </c>
      <c r="M581" t="inlineStr">
        <is>
          <t>Rutkowski, Barbara Lang, 1945-</t>
        </is>
      </c>
      <c r="N581" t="inlineStr">
        <is>
          <t>Rockville, Md. : Aspen Publishers, c1987.</t>
        </is>
      </c>
      <c r="O581" t="inlineStr">
        <is>
          <t>1987</t>
        </is>
      </c>
      <c r="Q581" t="inlineStr">
        <is>
          <t>eng</t>
        </is>
      </c>
      <c r="R581" t="inlineStr">
        <is>
          <t>xxu</t>
        </is>
      </c>
      <c r="T581" t="inlineStr">
        <is>
          <t xml:space="preserve">WY </t>
        </is>
      </c>
      <c r="U581" t="n">
        <v>6</v>
      </c>
      <c r="V581" t="n">
        <v>6</v>
      </c>
      <c r="W581" t="inlineStr">
        <is>
          <t>1991-06-17</t>
        </is>
      </c>
      <c r="X581" t="inlineStr">
        <is>
          <t>1991-06-17</t>
        </is>
      </c>
      <c r="Y581" t="inlineStr">
        <is>
          <t>1987-12-28</t>
        </is>
      </c>
      <c r="Z581" t="inlineStr">
        <is>
          <t>1987-12-28</t>
        </is>
      </c>
      <c r="AA581" t="n">
        <v>198</v>
      </c>
      <c r="AB581" t="n">
        <v>183</v>
      </c>
      <c r="AC581" t="n">
        <v>190</v>
      </c>
      <c r="AD581" t="n">
        <v>3</v>
      </c>
      <c r="AE581" t="n">
        <v>3</v>
      </c>
      <c r="AF581" t="n">
        <v>8</v>
      </c>
      <c r="AG581" t="n">
        <v>8</v>
      </c>
      <c r="AH581" t="n">
        <v>1</v>
      </c>
      <c r="AI581" t="n">
        <v>1</v>
      </c>
      <c r="AJ581" t="n">
        <v>3</v>
      </c>
      <c r="AK581" t="n">
        <v>3</v>
      </c>
      <c r="AL581" t="n">
        <v>5</v>
      </c>
      <c r="AM581" t="n">
        <v>5</v>
      </c>
      <c r="AN581" t="n">
        <v>2</v>
      </c>
      <c r="AO581" t="n">
        <v>2</v>
      </c>
      <c r="AP581" t="n">
        <v>0</v>
      </c>
      <c r="AQ581" t="n">
        <v>0</v>
      </c>
      <c r="AR581" t="inlineStr">
        <is>
          <t>No</t>
        </is>
      </c>
      <c r="AS581" t="inlineStr">
        <is>
          <t>Yes</t>
        </is>
      </c>
      <c r="AT581">
        <f>HYPERLINK("http://catalog.hathitrust.org/Record/000814912","HathiTrust Record")</f>
        <v/>
      </c>
      <c r="AU581">
        <f>HYPERLINK("https://creighton-primo.hosted.exlibrisgroup.com/primo-explore/search?tab=default_tab&amp;search_scope=EVERYTHING&amp;vid=01CRU&amp;lang=en_US&amp;offset=0&amp;query=any,contains,991000766279702656","Catalog Record")</f>
        <v/>
      </c>
      <c r="AV581">
        <f>HYPERLINK("http://www.worldcat.org/oclc/15083345","WorldCat Record")</f>
        <v/>
      </c>
      <c r="AW581" t="inlineStr">
        <is>
          <t>9052847:eng</t>
        </is>
      </c>
      <c r="AX581" t="inlineStr">
        <is>
          <t>15083345</t>
        </is>
      </c>
      <c r="AY581" t="inlineStr">
        <is>
          <t>991000766279702656</t>
        </is>
      </c>
      <c r="AZ581" t="inlineStr">
        <is>
          <t>991000766279702656</t>
        </is>
      </c>
      <c r="BA581" t="inlineStr">
        <is>
          <t>2257113160002656</t>
        </is>
      </c>
      <c r="BB581" t="inlineStr">
        <is>
          <t>BOOK</t>
        </is>
      </c>
      <c r="BD581" t="inlineStr">
        <is>
          <t>9780871896186</t>
        </is>
      </c>
      <c r="BE581" t="inlineStr">
        <is>
          <t>30001000057077</t>
        </is>
      </c>
      <c r="BF581" t="inlineStr">
        <is>
          <t>893735671</t>
        </is>
      </c>
    </row>
    <row r="582">
      <c r="A582" t="inlineStr">
        <is>
          <t>No</t>
        </is>
      </c>
      <c r="B582" t="inlineStr">
        <is>
          <t>CUHSL</t>
        </is>
      </c>
      <c r="C582" t="inlineStr">
        <is>
          <t>SHELVES</t>
        </is>
      </c>
      <c r="D582" t="inlineStr">
        <is>
          <t>WY 30 W499u 1978</t>
        </is>
      </c>
      <c r="E582" t="inlineStr">
        <is>
          <t>0                      WY 0030000W  499u        1978</t>
        </is>
      </c>
      <c r="F582" t="inlineStr">
        <is>
          <t>Unions do not happen, they are caused / William B. Werther, Jr.</t>
        </is>
      </c>
      <c r="H582" t="inlineStr">
        <is>
          <t>No</t>
        </is>
      </c>
      <c r="I582" t="inlineStr">
        <is>
          <t>1</t>
        </is>
      </c>
      <c r="J582" t="inlineStr">
        <is>
          <t>No</t>
        </is>
      </c>
      <c r="K582" t="inlineStr">
        <is>
          <t>No</t>
        </is>
      </c>
      <c r="L582" t="inlineStr">
        <is>
          <t>0</t>
        </is>
      </c>
      <c r="M582" t="inlineStr">
        <is>
          <t>Werther, William B.</t>
        </is>
      </c>
      <c r="N582" t="inlineStr">
        <is>
          <t>New York : National League for Nursing, c1978.</t>
        </is>
      </c>
      <c r="O582" t="inlineStr">
        <is>
          <t>1978</t>
        </is>
      </c>
      <c r="Q582" t="inlineStr">
        <is>
          <t>eng</t>
        </is>
      </c>
      <c r="R582" t="inlineStr">
        <is>
          <t>nyu</t>
        </is>
      </c>
      <c r="S582" t="inlineStr">
        <is>
          <t>NLN pub. no. 20-1725</t>
        </is>
      </c>
      <c r="T582" t="inlineStr">
        <is>
          <t xml:space="preserve">WY </t>
        </is>
      </c>
      <c r="U582" t="n">
        <v>3</v>
      </c>
      <c r="V582" t="n">
        <v>3</v>
      </c>
      <c r="W582" t="inlineStr">
        <is>
          <t>1990-05-10</t>
        </is>
      </c>
      <c r="X582" t="inlineStr">
        <is>
          <t>1990-05-10</t>
        </is>
      </c>
      <c r="Y582" t="inlineStr">
        <is>
          <t>1987-11-04</t>
        </is>
      </c>
      <c r="Z582" t="inlineStr">
        <is>
          <t>1987-11-04</t>
        </is>
      </c>
      <c r="AA582" t="n">
        <v>86</v>
      </c>
      <c r="AB582" t="n">
        <v>76</v>
      </c>
      <c r="AC582" t="n">
        <v>79</v>
      </c>
      <c r="AD582" t="n">
        <v>1</v>
      </c>
      <c r="AE582" t="n">
        <v>1</v>
      </c>
      <c r="AF582" t="n">
        <v>1</v>
      </c>
      <c r="AG582" t="n">
        <v>1</v>
      </c>
      <c r="AH582" t="n">
        <v>0</v>
      </c>
      <c r="AI582" t="n">
        <v>0</v>
      </c>
      <c r="AJ582" t="n">
        <v>0</v>
      </c>
      <c r="AK582" t="n">
        <v>0</v>
      </c>
      <c r="AL582" t="n">
        <v>1</v>
      </c>
      <c r="AM582" t="n">
        <v>1</v>
      </c>
      <c r="AN582" t="n">
        <v>0</v>
      </c>
      <c r="AO582" t="n">
        <v>0</v>
      </c>
      <c r="AP582" t="n">
        <v>0</v>
      </c>
      <c r="AQ582" t="n">
        <v>0</v>
      </c>
      <c r="AR582" t="inlineStr">
        <is>
          <t>No</t>
        </is>
      </c>
      <c r="AS582" t="inlineStr">
        <is>
          <t>Yes</t>
        </is>
      </c>
      <c r="AT582">
        <f>HYPERLINK("http://catalog.hathitrust.org/Record/000175979","HathiTrust Record")</f>
        <v/>
      </c>
      <c r="AU582">
        <f>HYPERLINK("https://creighton-primo.hosted.exlibrisgroup.com/primo-explore/search?tab=default_tab&amp;search_scope=EVERYTHING&amp;vid=01CRU&amp;lang=en_US&amp;offset=0&amp;query=any,contains,991001385529702656","Catalog Record")</f>
        <v/>
      </c>
      <c r="AV582">
        <f>HYPERLINK("http://www.worldcat.org/oclc/3989787","WorldCat Record")</f>
        <v/>
      </c>
      <c r="AW582" t="inlineStr">
        <is>
          <t>13888224:eng</t>
        </is>
      </c>
      <c r="AX582" t="inlineStr">
        <is>
          <t>3989787</t>
        </is>
      </c>
      <c r="AY582" t="inlineStr">
        <is>
          <t>991001385529702656</t>
        </is>
      </c>
      <c r="AZ582" t="inlineStr">
        <is>
          <t>991001385529702656</t>
        </is>
      </c>
      <c r="BA582" t="inlineStr">
        <is>
          <t>2268208590002656</t>
        </is>
      </c>
      <c r="BB582" t="inlineStr">
        <is>
          <t>BOOK</t>
        </is>
      </c>
      <c r="BE582" t="inlineStr">
        <is>
          <t>30001000463663</t>
        </is>
      </c>
      <c r="BF582" t="inlineStr">
        <is>
          <t>893374491</t>
        </is>
      </c>
    </row>
    <row r="583">
      <c r="A583" t="inlineStr">
        <is>
          <t>No</t>
        </is>
      </c>
      <c r="B583" t="inlineStr">
        <is>
          <t>CUHSL</t>
        </is>
      </c>
      <c r="C583" t="inlineStr">
        <is>
          <t>SHELVES</t>
        </is>
      </c>
      <c r="D583" t="inlineStr">
        <is>
          <t>WY 31 A512f 1987</t>
        </is>
      </c>
      <c r="E583" t="inlineStr">
        <is>
          <t>0                      WY 0031000A  512f        1987</t>
        </is>
      </c>
      <c r="F583" t="inlineStr">
        <is>
          <t>Facts about nursing / prepared by American Nurses' Association.</t>
        </is>
      </c>
      <c r="H583" t="inlineStr">
        <is>
          <t>No</t>
        </is>
      </c>
      <c r="I583" t="inlineStr">
        <is>
          <t>1</t>
        </is>
      </c>
      <c r="J583" t="inlineStr">
        <is>
          <t>No</t>
        </is>
      </c>
      <c r="K583" t="inlineStr">
        <is>
          <t>Yes</t>
        </is>
      </c>
      <c r="L583" t="inlineStr">
        <is>
          <t>0</t>
        </is>
      </c>
      <c r="M583" t="inlineStr">
        <is>
          <t>American Nurses Association.</t>
        </is>
      </c>
      <c r="N583" t="inlineStr">
        <is>
          <t>New York, N.Y. : American Nurses Association, c1987.</t>
        </is>
      </c>
      <c r="O583" t="inlineStr">
        <is>
          <t>1987</t>
        </is>
      </c>
      <c r="P583" t="inlineStr">
        <is>
          <t>1986-87 ed.</t>
        </is>
      </c>
      <c r="Q583" t="inlineStr">
        <is>
          <t>eng</t>
        </is>
      </c>
      <c r="R583" t="inlineStr">
        <is>
          <t>nyu</t>
        </is>
      </c>
      <c r="T583" t="inlineStr">
        <is>
          <t xml:space="preserve">WY </t>
        </is>
      </c>
      <c r="U583" t="n">
        <v>12</v>
      </c>
      <c r="V583" t="n">
        <v>12</v>
      </c>
      <c r="W583" t="inlineStr">
        <is>
          <t>1993-07-30</t>
        </is>
      </c>
      <c r="X583" t="inlineStr">
        <is>
          <t>1993-07-30</t>
        </is>
      </c>
      <c r="Y583" t="inlineStr">
        <is>
          <t>1990-05-11</t>
        </is>
      </c>
      <c r="Z583" t="inlineStr">
        <is>
          <t>1990-05-11</t>
        </is>
      </c>
      <c r="AA583" t="n">
        <v>5</v>
      </c>
      <c r="AB583" t="n">
        <v>5</v>
      </c>
      <c r="AC583" t="n">
        <v>28</v>
      </c>
      <c r="AD583" t="n">
        <v>1</v>
      </c>
      <c r="AE583" t="n">
        <v>1</v>
      </c>
      <c r="AF583" t="n">
        <v>0</v>
      </c>
      <c r="AG583" t="n">
        <v>1</v>
      </c>
      <c r="AH583" t="n">
        <v>0</v>
      </c>
      <c r="AI583" t="n">
        <v>0</v>
      </c>
      <c r="AJ583" t="n">
        <v>0</v>
      </c>
      <c r="AK583" t="n">
        <v>1</v>
      </c>
      <c r="AL583" t="n">
        <v>0</v>
      </c>
      <c r="AM583" t="n">
        <v>0</v>
      </c>
      <c r="AN583" t="n">
        <v>0</v>
      </c>
      <c r="AO583" t="n">
        <v>0</v>
      </c>
      <c r="AP583" t="n">
        <v>0</v>
      </c>
      <c r="AQ583" t="n">
        <v>0</v>
      </c>
      <c r="AR583" t="inlineStr">
        <is>
          <t>No</t>
        </is>
      </c>
      <c r="AS583" t="inlineStr">
        <is>
          <t>No</t>
        </is>
      </c>
      <c r="AU583">
        <f>HYPERLINK("https://creighton-primo.hosted.exlibrisgroup.com/primo-explore/search?tab=default_tab&amp;search_scope=EVERYTHING&amp;vid=01CRU&amp;lang=en_US&amp;offset=0&amp;query=any,contains,991001415169702656","Catalog Record")</f>
        <v/>
      </c>
      <c r="AV583">
        <f>HYPERLINK("http://www.worldcat.org/oclc/19841923","WorldCat Record")</f>
        <v/>
      </c>
      <c r="AW583" t="inlineStr">
        <is>
          <t>3856314879:eng</t>
        </is>
      </c>
      <c r="AX583" t="inlineStr">
        <is>
          <t>19841923</t>
        </is>
      </c>
      <c r="AY583" t="inlineStr">
        <is>
          <t>991001415169702656</t>
        </is>
      </c>
      <c r="AZ583" t="inlineStr">
        <is>
          <t>991001415169702656</t>
        </is>
      </c>
      <c r="BA583" t="inlineStr">
        <is>
          <t>2268292930002656</t>
        </is>
      </c>
      <c r="BB583" t="inlineStr">
        <is>
          <t>BOOK</t>
        </is>
      </c>
      <c r="BE583" t="inlineStr">
        <is>
          <t>30001001180266</t>
        </is>
      </c>
      <c r="BF583" t="inlineStr">
        <is>
          <t>893455790</t>
        </is>
      </c>
    </row>
    <row r="584">
      <c r="A584" t="inlineStr">
        <is>
          <t>No</t>
        </is>
      </c>
      <c r="B584" t="inlineStr">
        <is>
          <t>CUHSL</t>
        </is>
      </c>
      <c r="C584" t="inlineStr">
        <is>
          <t>SHELVES</t>
        </is>
      </c>
      <c r="D584" t="inlineStr">
        <is>
          <t>WY31 C469 2002</t>
        </is>
      </c>
      <c r="E584" t="inlineStr">
        <is>
          <t>0                      WY 0031000C  469         2002</t>
        </is>
      </c>
      <c r="F584" t="inlineStr">
        <is>
          <t>Characteristics of foreign nurse graduates in the United States workforce, 2000-2001 : a survey by the Commission on Graduates of Foreign Nursing Schools.</t>
        </is>
      </c>
      <c r="H584" t="inlineStr">
        <is>
          <t>No</t>
        </is>
      </c>
      <c r="I584" t="inlineStr">
        <is>
          <t>1</t>
        </is>
      </c>
      <c r="J584" t="inlineStr">
        <is>
          <t>No</t>
        </is>
      </c>
      <c r="K584" t="inlineStr">
        <is>
          <t>No</t>
        </is>
      </c>
      <c r="L584" t="inlineStr">
        <is>
          <t>0</t>
        </is>
      </c>
      <c r="N584" t="inlineStr">
        <is>
          <t>Philadelphia, Pa. : Commission on Graduates of Foreign Nursing Schools, c2002.</t>
        </is>
      </c>
      <c r="O584" t="inlineStr">
        <is>
          <t>2002</t>
        </is>
      </c>
      <c r="Q584" t="inlineStr">
        <is>
          <t>eng</t>
        </is>
      </c>
      <c r="R584" t="inlineStr">
        <is>
          <t>pau</t>
        </is>
      </c>
      <c r="T584" t="inlineStr">
        <is>
          <t xml:space="preserve">WY </t>
        </is>
      </c>
      <c r="U584" t="n">
        <v>2</v>
      </c>
      <c r="V584" t="n">
        <v>2</v>
      </c>
      <c r="W584" t="inlineStr">
        <is>
          <t>2004-03-07</t>
        </is>
      </c>
      <c r="X584" t="inlineStr">
        <is>
          <t>2004-03-07</t>
        </is>
      </c>
      <c r="Y584" t="inlineStr">
        <is>
          <t>2003-01-20</t>
        </is>
      </c>
      <c r="Z584" t="inlineStr">
        <is>
          <t>2003-01-20</t>
        </is>
      </c>
      <c r="AA584" t="n">
        <v>11</v>
      </c>
      <c r="AB584" t="n">
        <v>9</v>
      </c>
      <c r="AC584" t="n">
        <v>9</v>
      </c>
      <c r="AD584" t="n">
        <v>1</v>
      </c>
      <c r="AE584" t="n">
        <v>1</v>
      </c>
      <c r="AF584" t="n">
        <v>1</v>
      </c>
      <c r="AG584" t="n">
        <v>1</v>
      </c>
      <c r="AH584" t="n">
        <v>0</v>
      </c>
      <c r="AI584" t="n">
        <v>0</v>
      </c>
      <c r="AJ584" t="n">
        <v>1</v>
      </c>
      <c r="AK584" t="n">
        <v>1</v>
      </c>
      <c r="AL584" t="n">
        <v>0</v>
      </c>
      <c r="AM584" t="n">
        <v>0</v>
      </c>
      <c r="AN584" t="n">
        <v>0</v>
      </c>
      <c r="AO584" t="n">
        <v>0</v>
      </c>
      <c r="AP584" t="n">
        <v>0</v>
      </c>
      <c r="AQ584" t="n">
        <v>0</v>
      </c>
      <c r="AR584" t="inlineStr">
        <is>
          <t>No</t>
        </is>
      </c>
      <c r="AS584" t="inlineStr">
        <is>
          <t>No</t>
        </is>
      </c>
      <c r="AU584">
        <f>HYPERLINK("https://creighton-primo.hosted.exlibrisgroup.com/primo-explore/search?tab=default_tab&amp;search_scope=EVERYTHING&amp;vid=01CRU&amp;lang=en_US&amp;offset=0&amp;query=any,contains,991000336379702656","Catalog Record")</f>
        <v/>
      </c>
      <c r="AV584">
        <f>HYPERLINK("http://www.worldcat.org/oclc/50258923","WorldCat Record")</f>
        <v/>
      </c>
      <c r="AW584" t="inlineStr">
        <is>
          <t>791200:eng</t>
        </is>
      </c>
      <c r="AX584" t="inlineStr">
        <is>
          <t>50258923</t>
        </is>
      </c>
      <c r="AY584" t="inlineStr">
        <is>
          <t>991000336379702656</t>
        </is>
      </c>
      <c r="AZ584" t="inlineStr">
        <is>
          <t>991000336379702656</t>
        </is>
      </c>
      <c r="BA584" t="inlineStr">
        <is>
          <t>2270156740002656</t>
        </is>
      </c>
      <c r="BB584" t="inlineStr">
        <is>
          <t>BOOK</t>
        </is>
      </c>
      <c r="BD584" t="inlineStr">
        <is>
          <t>9780963059208</t>
        </is>
      </c>
      <c r="BE584" t="inlineStr">
        <is>
          <t>30001004501120</t>
        </is>
      </c>
      <c r="BF584" t="inlineStr">
        <is>
          <t>893269365</t>
        </is>
      </c>
    </row>
    <row r="585">
      <c r="A585" t="inlineStr">
        <is>
          <t>No</t>
        </is>
      </c>
      <c r="B585" t="inlineStr">
        <is>
          <t>CUHSL</t>
        </is>
      </c>
      <c r="C585" t="inlineStr">
        <is>
          <t>SHELVES</t>
        </is>
      </c>
      <c r="D585" t="inlineStr">
        <is>
          <t>WY 31 G231n 1979</t>
        </is>
      </c>
      <c r="E585" t="inlineStr">
        <is>
          <t>0                      WY 0031000G  231n        1979</t>
        </is>
      </c>
      <c r="F585" t="inlineStr">
        <is>
          <t>The NLN pre-nursing and guidance examination : a validation study / Robin Garfinkel, Yvonne Rubens.</t>
        </is>
      </c>
      <c r="H585" t="inlineStr">
        <is>
          <t>No</t>
        </is>
      </c>
      <c r="I585" t="inlineStr">
        <is>
          <t>1</t>
        </is>
      </c>
      <c r="J585" t="inlineStr">
        <is>
          <t>No</t>
        </is>
      </c>
      <c r="K585" t="inlineStr">
        <is>
          <t>No</t>
        </is>
      </c>
      <c r="L585" t="inlineStr">
        <is>
          <t>0</t>
        </is>
      </c>
      <c r="M585" t="inlineStr">
        <is>
          <t>Garfinkel, Robin.</t>
        </is>
      </c>
      <c r="N585" t="inlineStr">
        <is>
          <t>New York : National League for Nursing, c1979.</t>
        </is>
      </c>
      <c r="O585" t="inlineStr">
        <is>
          <t>1979</t>
        </is>
      </c>
      <c r="Q585" t="inlineStr">
        <is>
          <t>eng</t>
        </is>
      </c>
      <c r="R585" t="inlineStr">
        <is>
          <t>nyu</t>
        </is>
      </c>
      <c r="S585" t="inlineStr">
        <is>
          <t>NLN pub. no. 17-1788</t>
        </is>
      </c>
      <c r="T585" t="inlineStr">
        <is>
          <t xml:space="preserve">WY </t>
        </is>
      </c>
      <c r="U585" t="n">
        <v>1</v>
      </c>
      <c r="V585" t="n">
        <v>1</v>
      </c>
      <c r="W585" t="inlineStr">
        <is>
          <t>1990-08-29</t>
        </is>
      </c>
      <c r="X585" t="inlineStr">
        <is>
          <t>1990-08-29</t>
        </is>
      </c>
      <c r="Y585" t="inlineStr">
        <is>
          <t>1987-11-02</t>
        </is>
      </c>
      <c r="Z585" t="inlineStr">
        <is>
          <t>1987-11-02</t>
        </is>
      </c>
      <c r="AA585" t="n">
        <v>86</v>
      </c>
      <c r="AB585" t="n">
        <v>78</v>
      </c>
      <c r="AC585" t="n">
        <v>80</v>
      </c>
      <c r="AD585" t="n">
        <v>2</v>
      </c>
      <c r="AE585" t="n">
        <v>2</v>
      </c>
      <c r="AF585" t="n">
        <v>3</v>
      </c>
      <c r="AG585" t="n">
        <v>3</v>
      </c>
      <c r="AH585" t="n">
        <v>1</v>
      </c>
      <c r="AI585" t="n">
        <v>1</v>
      </c>
      <c r="AJ585" t="n">
        <v>0</v>
      </c>
      <c r="AK585" t="n">
        <v>0</v>
      </c>
      <c r="AL585" t="n">
        <v>2</v>
      </c>
      <c r="AM585" t="n">
        <v>2</v>
      </c>
      <c r="AN585" t="n">
        <v>0</v>
      </c>
      <c r="AO585" t="n">
        <v>0</v>
      </c>
      <c r="AP585" t="n">
        <v>0</v>
      </c>
      <c r="AQ585" t="n">
        <v>0</v>
      </c>
      <c r="AR585" t="inlineStr">
        <is>
          <t>No</t>
        </is>
      </c>
      <c r="AS585" t="inlineStr">
        <is>
          <t>Yes</t>
        </is>
      </c>
      <c r="AT585">
        <f>HYPERLINK("http://catalog.hathitrust.org/Record/000759086","HathiTrust Record")</f>
        <v/>
      </c>
      <c r="AU585">
        <f>HYPERLINK("https://creighton-primo.hosted.exlibrisgroup.com/primo-explore/search?tab=default_tab&amp;search_scope=EVERYTHING&amp;vid=01CRU&amp;lang=en_US&amp;offset=0&amp;query=any,contains,991001379029702656","Catalog Record")</f>
        <v/>
      </c>
      <c r="AV585">
        <f>HYPERLINK("http://www.worldcat.org/oclc/5584082","WorldCat Record")</f>
        <v/>
      </c>
      <c r="AW585" t="inlineStr">
        <is>
          <t>18959314:eng</t>
        </is>
      </c>
      <c r="AX585" t="inlineStr">
        <is>
          <t>5584082</t>
        </is>
      </c>
      <c r="AY585" t="inlineStr">
        <is>
          <t>991001379029702656</t>
        </is>
      </c>
      <c r="AZ585" t="inlineStr">
        <is>
          <t>991001379029702656</t>
        </is>
      </c>
      <c r="BA585" t="inlineStr">
        <is>
          <t>2256455610002656</t>
        </is>
      </c>
      <c r="BB585" t="inlineStr">
        <is>
          <t>BOOK</t>
        </is>
      </c>
      <c r="BE585" t="inlineStr">
        <is>
          <t>30001000462533</t>
        </is>
      </c>
      <c r="BF585" t="inlineStr">
        <is>
          <t>893638274</t>
        </is>
      </c>
    </row>
    <row r="586">
      <c r="A586" t="inlineStr">
        <is>
          <t>No</t>
        </is>
      </c>
      <c r="B586" t="inlineStr">
        <is>
          <t>CUHSL</t>
        </is>
      </c>
      <c r="C586" t="inlineStr">
        <is>
          <t>SHELVES</t>
        </is>
      </c>
      <c r="D586" t="inlineStr">
        <is>
          <t>WY 31 J71 1982</t>
        </is>
      </c>
      <c r="E586" t="inlineStr">
        <is>
          <t>0                      WY 0031000J  71          1982</t>
        </is>
      </c>
      <c r="F586" t="inlineStr">
        <is>
          <t>Supply and demand relations and the shortage of nurses / Walter L. Johnson and John C. Vaughn.</t>
        </is>
      </c>
      <c r="H586" t="inlineStr">
        <is>
          <t>No</t>
        </is>
      </c>
      <c r="I586" t="inlineStr">
        <is>
          <t>1</t>
        </is>
      </c>
      <c r="J586" t="inlineStr">
        <is>
          <t>No</t>
        </is>
      </c>
      <c r="K586" t="inlineStr">
        <is>
          <t>No</t>
        </is>
      </c>
      <c r="L586" t="inlineStr">
        <is>
          <t>0</t>
        </is>
      </c>
      <c r="M586" t="inlineStr">
        <is>
          <t>Johnson, Walter L.</t>
        </is>
      </c>
      <c r="N586" t="inlineStr">
        <is>
          <t>New York, N.Y. : National League for Nursing, c1982.</t>
        </is>
      </c>
      <c r="O586" t="inlineStr">
        <is>
          <t>1982</t>
        </is>
      </c>
      <c r="Q586" t="inlineStr">
        <is>
          <t>eng</t>
        </is>
      </c>
      <c r="R586" t="inlineStr">
        <is>
          <t>nyu</t>
        </is>
      </c>
      <c r="S586" t="inlineStr">
        <is>
          <t>NLN pub. no. 19-1916</t>
        </is>
      </c>
      <c r="T586" t="inlineStr">
        <is>
          <t xml:space="preserve">WY </t>
        </is>
      </c>
      <c r="U586" t="n">
        <v>3</v>
      </c>
      <c r="V586" t="n">
        <v>3</v>
      </c>
      <c r="W586" t="inlineStr">
        <is>
          <t>1992-11-30</t>
        </is>
      </c>
      <c r="X586" t="inlineStr">
        <is>
          <t>1992-11-30</t>
        </is>
      </c>
      <c r="Y586" t="inlineStr">
        <is>
          <t>1987-11-03</t>
        </is>
      </c>
      <c r="Z586" t="inlineStr">
        <is>
          <t>1987-11-03</t>
        </is>
      </c>
      <c r="AA586" t="n">
        <v>53</v>
      </c>
      <c r="AB586" t="n">
        <v>48</v>
      </c>
      <c r="AC586" t="n">
        <v>51</v>
      </c>
      <c r="AD586" t="n">
        <v>1</v>
      </c>
      <c r="AE586" t="n">
        <v>1</v>
      </c>
      <c r="AF586" t="n">
        <v>3</v>
      </c>
      <c r="AG586" t="n">
        <v>3</v>
      </c>
      <c r="AH586" t="n">
        <v>1</v>
      </c>
      <c r="AI586" t="n">
        <v>1</v>
      </c>
      <c r="AJ586" t="n">
        <v>0</v>
      </c>
      <c r="AK586" t="n">
        <v>0</v>
      </c>
      <c r="AL586" t="n">
        <v>2</v>
      </c>
      <c r="AM586" t="n">
        <v>2</v>
      </c>
      <c r="AN586" t="n">
        <v>0</v>
      </c>
      <c r="AO586" t="n">
        <v>0</v>
      </c>
      <c r="AP586" t="n">
        <v>0</v>
      </c>
      <c r="AQ586" t="n">
        <v>0</v>
      </c>
      <c r="AR586" t="inlineStr">
        <is>
          <t>No</t>
        </is>
      </c>
      <c r="AS586" t="inlineStr">
        <is>
          <t>No</t>
        </is>
      </c>
      <c r="AU586">
        <f>HYPERLINK("https://creighton-primo.hosted.exlibrisgroup.com/primo-explore/search?tab=default_tab&amp;search_scope=EVERYTHING&amp;vid=01CRU&amp;lang=en_US&amp;offset=0&amp;query=any,contains,991001382519702656","Catalog Record")</f>
        <v/>
      </c>
      <c r="AV586">
        <f>HYPERLINK("http://www.worldcat.org/oclc/9209950","WorldCat Record")</f>
        <v/>
      </c>
      <c r="AW586" t="inlineStr">
        <is>
          <t>25435706:eng</t>
        </is>
      </c>
      <c r="AX586" t="inlineStr">
        <is>
          <t>9209950</t>
        </is>
      </c>
      <c r="AY586" t="inlineStr">
        <is>
          <t>991001382519702656</t>
        </is>
      </c>
      <c r="AZ586" t="inlineStr">
        <is>
          <t>991001382519702656</t>
        </is>
      </c>
      <c r="BA586" t="inlineStr">
        <is>
          <t>2256397140002656</t>
        </is>
      </c>
      <c r="BB586" t="inlineStr">
        <is>
          <t>BOOK</t>
        </is>
      </c>
      <c r="BE586" t="inlineStr">
        <is>
          <t>30001000463051</t>
        </is>
      </c>
      <c r="BF586" t="inlineStr">
        <is>
          <t>893834654</t>
        </is>
      </c>
    </row>
    <row r="587">
      <c r="A587" t="inlineStr">
        <is>
          <t>No</t>
        </is>
      </c>
      <c r="B587" t="inlineStr">
        <is>
          <t>CUHSL</t>
        </is>
      </c>
      <c r="C587" t="inlineStr">
        <is>
          <t>SHELVES</t>
        </is>
      </c>
      <c r="D587" t="inlineStr">
        <is>
          <t>WY 31 L665f 1975</t>
        </is>
      </c>
      <c r="E587" t="inlineStr">
        <is>
          <t>0                      WY 0031000L  665f        1975</t>
        </is>
      </c>
      <c r="F587" t="inlineStr">
        <is>
          <t>Factors affecting staffing levels and patterns of nursing personnel / Harry D. Levine, and P. Joseph Phillip, Bureau of Research Services, American Hospital Association.</t>
        </is>
      </c>
      <c r="H587" t="inlineStr">
        <is>
          <t>No</t>
        </is>
      </c>
      <c r="I587" t="inlineStr">
        <is>
          <t>1</t>
        </is>
      </c>
      <c r="J587" t="inlineStr">
        <is>
          <t>No</t>
        </is>
      </c>
      <c r="K587" t="inlineStr">
        <is>
          <t>No</t>
        </is>
      </c>
      <c r="L587" t="inlineStr">
        <is>
          <t>0</t>
        </is>
      </c>
      <c r="M587" t="inlineStr">
        <is>
          <t>Levine, Harry D.</t>
        </is>
      </c>
      <c r="N587" t="inlineStr">
        <is>
          <t>Bethesda, Md. : Division of Nursing; U.S.G.P.O., Washington : 1975.</t>
        </is>
      </c>
      <c r="O587" t="inlineStr">
        <is>
          <t>1975</t>
        </is>
      </c>
      <c r="Q587" t="inlineStr">
        <is>
          <t>eng</t>
        </is>
      </c>
      <c r="R587" t="inlineStr">
        <is>
          <t xml:space="preserve">xx </t>
        </is>
      </c>
      <c r="S587" t="inlineStr">
        <is>
          <t>DHEW publication ; no. (HRA) 75-6</t>
        </is>
      </c>
      <c r="T587" t="inlineStr">
        <is>
          <t xml:space="preserve">WY </t>
        </is>
      </c>
      <c r="U587" t="n">
        <v>4</v>
      </c>
      <c r="V587" t="n">
        <v>4</v>
      </c>
      <c r="W587" t="inlineStr">
        <is>
          <t>1992-11-30</t>
        </is>
      </c>
      <c r="X587" t="inlineStr">
        <is>
          <t>1992-11-30</t>
        </is>
      </c>
      <c r="Y587" t="inlineStr">
        <is>
          <t>1991-09-12</t>
        </is>
      </c>
      <c r="Z587" t="inlineStr">
        <is>
          <t>1991-09-12</t>
        </is>
      </c>
      <c r="AA587" t="n">
        <v>126</v>
      </c>
      <c r="AB587" t="n">
        <v>111</v>
      </c>
      <c r="AC587" t="n">
        <v>122</v>
      </c>
      <c r="AD587" t="n">
        <v>2</v>
      </c>
      <c r="AE587" t="n">
        <v>2</v>
      </c>
      <c r="AF587" t="n">
        <v>6</v>
      </c>
      <c r="AG587" t="n">
        <v>6</v>
      </c>
      <c r="AH587" t="n">
        <v>0</v>
      </c>
      <c r="AI587" t="n">
        <v>0</v>
      </c>
      <c r="AJ587" t="n">
        <v>2</v>
      </c>
      <c r="AK587" t="n">
        <v>2</v>
      </c>
      <c r="AL587" t="n">
        <v>3</v>
      </c>
      <c r="AM587" t="n">
        <v>3</v>
      </c>
      <c r="AN587" t="n">
        <v>1</v>
      </c>
      <c r="AO587" t="n">
        <v>1</v>
      </c>
      <c r="AP587" t="n">
        <v>0</v>
      </c>
      <c r="AQ587" t="n">
        <v>0</v>
      </c>
      <c r="AR587" t="inlineStr">
        <is>
          <t>Yes</t>
        </is>
      </c>
      <c r="AS587" t="inlineStr">
        <is>
          <t>No</t>
        </is>
      </c>
      <c r="AT587">
        <f>HYPERLINK("http://catalog.hathitrust.org/Record/000252032","HathiTrust Record")</f>
        <v/>
      </c>
      <c r="AU587">
        <f>HYPERLINK("https://creighton-primo.hosted.exlibrisgroup.com/primo-explore/search?tab=default_tab&amp;search_scope=EVERYTHING&amp;vid=01CRU&amp;lang=en_US&amp;offset=0&amp;query=any,contains,991001013939702656","Catalog Record")</f>
        <v/>
      </c>
      <c r="AV587">
        <f>HYPERLINK("http://www.worldcat.org/oclc/3018349","WorldCat Record")</f>
        <v/>
      </c>
      <c r="AW587" t="inlineStr">
        <is>
          <t>2347855:eng</t>
        </is>
      </c>
      <c r="AX587" t="inlineStr">
        <is>
          <t>3018349</t>
        </is>
      </c>
      <c r="AY587" t="inlineStr">
        <is>
          <t>991001013939702656</t>
        </is>
      </c>
      <c r="AZ587" t="inlineStr">
        <is>
          <t>991001013939702656</t>
        </is>
      </c>
      <c r="BA587" t="inlineStr">
        <is>
          <t>2259570970002656</t>
        </is>
      </c>
      <c r="BB587" t="inlineStr">
        <is>
          <t>BOOK</t>
        </is>
      </c>
      <c r="BE587" t="inlineStr">
        <is>
          <t>30001002240341</t>
        </is>
      </c>
      <c r="BF587" t="inlineStr">
        <is>
          <t>893632655</t>
        </is>
      </c>
    </row>
    <row r="588">
      <c r="A588" t="inlineStr">
        <is>
          <t>No</t>
        </is>
      </c>
      <c r="B588" t="inlineStr">
        <is>
          <t>CUHSL</t>
        </is>
      </c>
      <c r="C588" t="inlineStr">
        <is>
          <t>SHELVES</t>
        </is>
      </c>
      <c r="D588" t="inlineStr">
        <is>
          <t>WY 31 N277g 1968</t>
        </is>
      </c>
      <c r="E588" t="inlineStr">
        <is>
          <t>0                      WY 0031000N  277g        1968</t>
        </is>
      </c>
      <c r="F588" t="inlineStr">
        <is>
          <t>Guidelines for assessing the nursing education needs of a community.</t>
        </is>
      </c>
      <c r="H588" t="inlineStr">
        <is>
          <t>No</t>
        </is>
      </c>
      <c r="I588" t="inlineStr">
        <is>
          <t>1</t>
        </is>
      </c>
      <c r="J588" t="inlineStr">
        <is>
          <t>No</t>
        </is>
      </c>
      <c r="K588" t="inlineStr">
        <is>
          <t>No</t>
        </is>
      </c>
      <c r="L588" t="inlineStr">
        <is>
          <t>0</t>
        </is>
      </c>
      <c r="M588" t="inlineStr">
        <is>
          <t>National League for Nursing. Sub-Committee to Develop Guidelines for Assessing Nursing Education Needs.</t>
        </is>
      </c>
      <c r="N588" t="inlineStr">
        <is>
          <t>New York : National League for Nursing, 1968.</t>
        </is>
      </c>
      <c r="O588" t="inlineStr">
        <is>
          <t>1968</t>
        </is>
      </c>
      <c r="P588" t="inlineStr">
        <is>
          <t>Rev. February 1968.</t>
        </is>
      </c>
      <c r="Q588" t="inlineStr">
        <is>
          <t>eng</t>
        </is>
      </c>
      <c r="R588" t="inlineStr">
        <is>
          <t>nyu</t>
        </is>
      </c>
      <c r="S588" t="inlineStr">
        <is>
          <t>NLN pub. no. 11-1245</t>
        </is>
      </c>
      <c r="T588" t="inlineStr">
        <is>
          <t xml:space="preserve">WY </t>
        </is>
      </c>
      <c r="U588" t="n">
        <v>1</v>
      </c>
      <c r="V588" t="n">
        <v>1</v>
      </c>
      <c r="W588" t="inlineStr">
        <is>
          <t>1990-04-20</t>
        </is>
      </c>
      <c r="X588" t="inlineStr">
        <is>
          <t>1990-04-20</t>
        </is>
      </c>
      <c r="Y588" t="inlineStr">
        <is>
          <t>1987-10-13</t>
        </is>
      </c>
      <c r="Z588" t="inlineStr">
        <is>
          <t>1987-10-13</t>
        </is>
      </c>
      <c r="AA588" t="n">
        <v>23</v>
      </c>
      <c r="AB588" t="n">
        <v>21</v>
      </c>
      <c r="AC588" t="n">
        <v>48</v>
      </c>
      <c r="AD588" t="n">
        <v>1</v>
      </c>
      <c r="AE588" t="n">
        <v>1</v>
      </c>
      <c r="AF588" t="n">
        <v>2</v>
      </c>
      <c r="AG588" t="n">
        <v>3</v>
      </c>
      <c r="AH588" t="n">
        <v>0</v>
      </c>
      <c r="AI588" t="n">
        <v>0</v>
      </c>
      <c r="AJ588" t="n">
        <v>0</v>
      </c>
      <c r="AK588" t="n">
        <v>0</v>
      </c>
      <c r="AL588" t="n">
        <v>2</v>
      </c>
      <c r="AM588" t="n">
        <v>3</v>
      </c>
      <c r="AN588" t="n">
        <v>0</v>
      </c>
      <c r="AO588" t="n">
        <v>0</v>
      </c>
      <c r="AP588" t="n">
        <v>0</v>
      </c>
      <c r="AQ588" t="n">
        <v>0</v>
      </c>
      <c r="AR588" t="inlineStr">
        <is>
          <t>No</t>
        </is>
      </c>
      <c r="AS588" t="inlineStr">
        <is>
          <t>No</t>
        </is>
      </c>
      <c r="AU588">
        <f>HYPERLINK("https://creighton-primo.hosted.exlibrisgroup.com/primo-explore/search?tab=default_tab&amp;search_scope=EVERYTHING&amp;vid=01CRU&amp;lang=en_US&amp;offset=0&amp;query=any,contains,991001360919702656","Catalog Record")</f>
        <v/>
      </c>
      <c r="AV588">
        <f>HYPERLINK("http://www.worldcat.org/oclc/6068202","WorldCat Record")</f>
        <v/>
      </c>
      <c r="AW588" t="inlineStr">
        <is>
          <t>119219628:eng</t>
        </is>
      </c>
      <c r="AX588" t="inlineStr">
        <is>
          <t>6068202</t>
        </is>
      </c>
      <c r="AY588" t="inlineStr">
        <is>
          <t>991001360919702656</t>
        </is>
      </c>
      <c r="AZ588" t="inlineStr">
        <is>
          <t>991001360919702656</t>
        </is>
      </c>
      <c r="BA588" t="inlineStr">
        <is>
          <t>2255526900002656</t>
        </is>
      </c>
      <c r="BB588" t="inlineStr">
        <is>
          <t>BOOK</t>
        </is>
      </c>
      <c r="BE588" t="inlineStr">
        <is>
          <t>30001000460651</t>
        </is>
      </c>
      <c r="BF588" t="inlineStr">
        <is>
          <t>893736516</t>
        </is>
      </c>
    </row>
    <row r="589">
      <c r="A589" t="inlineStr">
        <is>
          <t>No</t>
        </is>
      </c>
      <c r="B589" t="inlineStr">
        <is>
          <t>CUHSL</t>
        </is>
      </c>
      <c r="C589" t="inlineStr">
        <is>
          <t>SHELVES</t>
        </is>
      </c>
      <c r="D589" t="inlineStr">
        <is>
          <t>WY 31 N974 1988</t>
        </is>
      </c>
      <c r="E589" t="inlineStr">
        <is>
          <t>0                      WY 0031000N  974         1988</t>
        </is>
      </c>
      <c r="F589" t="inlineStr">
        <is>
          <t>Nurse faculty : socioeconomic trends, 1988 / [compiled] by Ann Gothler.</t>
        </is>
      </c>
      <c r="H589" t="inlineStr">
        <is>
          <t>No</t>
        </is>
      </c>
      <c r="I589" t="inlineStr">
        <is>
          <t>1</t>
        </is>
      </c>
      <c r="J589" t="inlineStr">
        <is>
          <t>No</t>
        </is>
      </c>
      <c r="K589" t="inlineStr">
        <is>
          <t>Yes</t>
        </is>
      </c>
      <c r="L589" t="inlineStr">
        <is>
          <t>0</t>
        </is>
      </c>
      <c r="N589" t="inlineStr">
        <is>
          <t>New York : Division of Public Policy and Research, National League for Nursing, c1989.</t>
        </is>
      </c>
      <c r="O589" t="inlineStr">
        <is>
          <t>1989</t>
        </is>
      </c>
      <c r="Q589" t="inlineStr">
        <is>
          <t>eng</t>
        </is>
      </c>
      <c r="R589" t="inlineStr">
        <is>
          <t>nyu</t>
        </is>
      </c>
      <c r="S589" t="inlineStr">
        <is>
          <t>NLN pub. no. 19-2240.</t>
        </is>
      </c>
      <c r="T589" t="inlineStr">
        <is>
          <t xml:space="preserve">WY </t>
        </is>
      </c>
      <c r="U589" t="n">
        <v>2</v>
      </c>
      <c r="V589" t="n">
        <v>2</v>
      </c>
      <c r="W589" t="inlineStr">
        <is>
          <t>1989-04-20</t>
        </is>
      </c>
      <c r="X589" t="inlineStr">
        <is>
          <t>1989-04-20</t>
        </is>
      </c>
      <c r="Y589" t="inlineStr">
        <is>
          <t>1989-04-19</t>
        </is>
      </c>
      <c r="Z589" t="inlineStr">
        <is>
          <t>1989-04-19</t>
        </is>
      </c>
      <c r="AA589" t="n">
        <v>64</v>
      </c>
      <c r="AB589" t="n">
        <v>56</v>
      </c>
      <c r="AC589" t="n">
        <v>95</v>
      </c>
      <c r="AD589" t="n">
        <v>2</v>
      </c>
      <c r="AE589" t="n">
        <v>3</v>
      </c>
      <c r="AF589" t="n">
        <v>3</v>
      </c>
      <c r="AG589" t="n">
        <v>6</v>
      </c>
      <c r="AH589" t="n">
        <v>0</v>
      </c>
      <c r="AI589" t="n">
        <v>2</v>
      </c>
      <c r="AJ589" t="n">
        <v>0</v>
      </c>
      <c r="AK589" t="n">
        <v>0</v>
      </c>
      <c r="AL589" t="n">
        <v>3</v>
      </c>
      <c r="AM589" t="n">
        <v>3</v>
      </c>
      <c r="AN589" t="n">
        <v>0</v>
      </c>
      <c r="AO589" t="n">
        <v>1</v>
      </c>
      <c r="AP589" t="n">
        <v>0</v>
      </c>
      <c r="AQ589" t="n">
        <v>0</v>
      </c>
      <c r="AR589" t="inlineStr">
        <is>
          <t>No</t>
        </is>
      </c>
      <c r="AS589" t="inlineStr">
        <is>
          <t>No</t>
        </is>
      </c>
      <c r="AU589">
        <f>HYPERLINK("https://creighton-primo.hosted.exlibrisgroup.com/primo-explore/search?tab=default_tab&amp;search_scope=EVERYTHING&amp;vid=01CRU&amp;lang=en_US&amp;offset=0&amp;query=any,contains,991001244109702656","Catalog Record")</f>
        <v/>
      </c>
      <c r="AV589">
        <f>HYPERLINK("http://www.worldcat.org/oclc/20893842","WorldCat Record")</f>
        <v/>
      </c>
      <c r="AW589" t="inlineStr">
        <is>
          <t>22704950:eng</t>
        </is>
      </c>
      <c r="AX589" t="inlineStr">
        <is>
          <t>20893842</t>
        </is>
      </c>
      <c r="AY589" t="inlineStr">
        <is>
          <t>991001244109702656</t>
        </is>
      </c>
      <c r="AZ589" t="inlineStr">
        <is>
          <t>991001244109702656</t>
        </is>
      </c>
      <c r="BA589" t="inlineStr">
        <is>
          <t>2262155000002656</t>
        </is>
      </c>
      <c r="BB589" t="inlineStr">
        <is>
          <t>BOOK</t>
        </is>
      </c>
      <c r="BD589" t="inlineStr">
        <is>
          <t>9780887374227</t>
        </is>
      </c>
      <c r="BE589" t="inlineStr">
        <is>
          <t>30001001676529</t>
        </is>
      </c>
      <c r="BF589" t="inlineStr">
        <is>
          <t>893727370</t>
        </is>
      </c>
    </row>
    <row r="590">
      <c r="A590" t="inlineStr">
        <is>
          <t>No</t>
        </is>
      </c>
      <c r="B590" t="inlineStr">
        <is>
          <t>CUHSL</t>
        </is>
      </c>
      <c r="C590" t="inlineStr">
        <is>
          <t>SHELVES</t>
        </is>
      </c>
      <c r="D590" t="inlineStr">
        <is>
          <t>WY 31 N9742 1974</t>
        </is>
      </c>
      <c r="E590" t="inlineStr">
        <is>
          <t>0                      WY 0031000N  9742        1974</t>
        </is>
      </c>
      <c r="F590" t="inlineStr">
        <is>
          <t>Nurse-faculty census 1974.</t>
        </is>
      </c>
      <c r="H590" t="inlineStr">
        <is>
          <t>No</t>
        </is>
      </c>
      <c r="I590" t="inlineStr">
        <is>
          <t>1</t>
        </is>
      </c>
      <c r="J590" t="inlineStr">
        <is>
          <t>No</t>
        </is>
      </c>
      <c r="K590" t="inlineStr">
        <is>
          <t>No</t>
        </is>
      </c>
      <c r="L590" t="inlineStr">
        <is>
          <t>0</t>
        </is>
      </c>
      <c r="N590" t="inlineStr">
        <is>
          <t>New York : National League for Nursing, Division of Research, 1974.</t>
        </is>
      </c>
      <c r="O590" t="inlineStr">
        <is>
          <t>1974</t>
        </is>
      </c>
      <c r="Q590" t="inlineStr">
        <is>
          <t>eng</t>
        </is>
      </c>
      <c r="R590" t="inlineStr">
        <is>
          <t>nyu</t>
        </is>
      </c>
      <c r="S590" t="inlineStr">
        <is>
          <t>NLN pub. no. 19-1548</t>
        </is>
      </c>
      <c r="T590" t="inlineStr">
        <is>
          <t xml:space="preserve">WY </t>
        </is>
      </c>
      <c r="U590" t="n">
        <v>1</v>
      </c>
      <c r="V590" t="n">
        <v>1</v>
      </c>
      <c r="W590" t="inlineStr">
        <is>
          <t>1990-06-12</t>
        </is>
      </c>
      <c r="X590" t="inlineStr">
        <is>
          <t>1990-06-12</t>
        </is>
      </c>
      <c r="Y590" t="inlineStr">
        <is>
          <t>1987-11-03</t>
        </is>
      </c>
      <c r="Z590" t="inlineStr">
        <is>
          <t>1987-11-03</t>
        </is>
      </c>
      <c r="AA590" t="n">
        <v>16</v>
      </c>
      <c r="AB590" t="n">
        <v>15</v>
      </c>
      <c r="AC590" t="n">
        <v>15</v>
      </c>
      <c r="AD590" t="n">
        <v>1</v>
      </c>
      <c r="AE590" t="n">
        <v>1</v>
      </c>
      <c r="AF590" t="n">
        <v>1</v>
      </c>
      <c r="AG590" t="n">
        <v>1</v>
      </c>
      <c r="AH590" t="n">
        <v>0</v>
      </c>
      <c r="AI590" t="n">
        <v>0</v>
      </c>
      <c r="AJ590" t="n">
        <v>0</v>
      </c>
      <c r="AK590" t="n">
        <v>0</v>
      </c>
      <c r="AL590" t="n">
        <v>1</v>
      </c>
      <c r="AM590" t="n">
        <v>1</v>
      </c>
      <c r="AN590" t="n">
        <v>0</v>
      </c>
      <c r="AO590" t="n">
        <v>0</v>
      </c>
      <c r="AP590" t="n">
        <v>0</v>
      </c>
      <c r="AQ590" t="n">
        <v>0</v>
      </c>
      <c r="AR590" t="inlineStr">
        <is>
          <t>No</t>
        </is>
      </c>
      <c r="AS590" t="inlineStr">
        <is>
          <t>No</t>
        </is>
      </c>
      <c r="AU590">
        <f>HYPERLINK("https://creighton-primo.hosted.exlibrisgroup.com/primo-explore/search?tab=default_tab&amp;search_scope=EVERYTHING&amp;vid=01CRU&amp;lang=en_US&amp;offset=0&amp;query=any,contains,991001380749702656","Catalog Record")</f>
        <v/>
      </c>
      <c r="AV590">
        <f>HYPERLINK("http://www.worldcat.org/oclc/20574650","WorldCat Record")</f>
        <v/>
      </c>
      <c r="AW590" t="inlineStr">
        <is>
          <t>3898495:eng</t>
        </is>
      </c>
      <c r="AX590" t="inlineStr">
        <is>
          <t>20574650</t>
        </is>
      </c>
      <c r="AY590" t="inlineStr">
        <is>
          <t>991001380749702656</t>
        </is>
      </c>
      <c r="AZ590" t="inlineStr">
        <is>
          <t>991001380749702656</t>
        </is>
      </c>
      <c r="BA590" t="inlineStr">
        <is>
          <t>2255866790002656</t>
        </is>
      </c>
      <c r="BB590" t="inlineStr">
        <is>
          <t>BOOK</t>
        </is>
      </c>
      <c r="BE590" t="inlineStr">
        <is>
          <t>30001000462681</t>
        </is>
      </c>
      <c r="BF590" t="inlineStr">
        <is>
          <t>893358521</t>
        </is>
      </c>
    </row>
    <row r="591">
      <c r="A591" t="inlineStr">
        <is>
          <t>No</t>
        </is>
      </c>
      <c r="B591" t="inlineStr">
        <is>
          <t>CUHSL</t>
        </is>
      </c>
      <c r="C591" t="inlineStr">
        <is>
          <t>SHELVES</t>
        </is>
      </c>
      <c r="D591" t="inlineStr">
        <is>
          <t>WY 31 N9742 1976</t>
        </is>
      </c>
      <c r="E591" t="inlineStr">
        <is>
          <t>0                      WY 0031000N  9742        1976</t>
        </is>
      </c>
      <c r="F591" t="inlineStr">
        <is>
          <t>Nurse-faculty census, 1976.</t>
        </is>
      </c>
      <c r="H591" t="inlineStr">
        <is>
          <t>No</t>
        </is>
      </c>
      <c r="I591" t="inlineStr">
        <is>
          <t>1</t>
        </is>
      </c>
      <c r="J591" t="inlineStr">
        <is>
          <t>No</t>
        </is>
      </c>
      <c r="K591" t="inlineStr">
        <is>
          <t>No</t>
        </is>
      </c>
      <c r="L591" t="inlineStr">
        <is>
          <t>0</t>
        </is>
      </c>
      <c r="N591" t="inlineStr">
        <is>
          <t>New York : Division of Research, National League for Nursing, 1977.</t>
        </is>
      </c>
      <c r="O591" t="inlineStr">
        <is>
          <t>1977</t>
        </is>
      </c>
      <c r="Q591" t="inlineStr">
        <is>
          <t>eng</t>
        </is>
      </c>
      <c r="R591" t="inlineStr">
        <is>
          <t>nyu</t>
        </is>
      </c>
      <c r="S591" t="inlineStr">
        <is>
          <t>NLN pub. no. 19-1650</t>
        </is>
      </c>
      <c r="T591" t="inlineStr">
        <is>
          <t xml:space="preserve">WY </t>
        </is>
      </c>
      <c r="U591" t="n">
        <v>1</v>
      </c>
      <c r="V591" t="n">
        <v>1</v>
      </c>
      <c r="W591" t="inlineStr">
        <is>
          <t>1990-07-11</t>
        </is>
      </c>
      <c r="X591" t="inlineStr">
        <is>
          <t>1990-07-11</t>
        </is>
      </c>
      <c r="Y591" t="inlineStr">
        <is>
          <t>1987-11-03</t>
        </is>
      </c>
      <c r="Z591" t="inlineStr">
        <is>
          <t>1987-11-03</t>
        </is>
      </c>
      <c r="AA591" t="n">
        <v>11</v>
      </c>
      <c r="AB591" t="n">
        <v>10</v>
      </c>
      <c r="AC591" t="n">
        <v>22</v>
      </c>
      <c r="AD591" t="n">
        <v>1</v>
      </c>
      <c r="AE591" t="n">
        <v>1</v>
      </c>
      <c r="AF591" t="n">
        <v>0</v>
      </c>
      <c r="AG591" t="n">
        <v>2</v>
      </c>
      <c r="AH591" t="n">
        <v>0</v>
      </c>
      <c r="AI591" t="n">
        <v>0</v>
      </c>
      <c r="AJ591" t="n">
        <v>0</v>
      </c>
      <c r="AK591" t="n">
        <v>0</v>
      </c>
      <c r="AL591" t="n">
        <v>0</v>
      </c>
      <c r="AM591" t="n">
        <v>2</v>
      </c>
      <c r="AN591" t="n">
        <v>0</v>
      </c>
      <c r="AO591" t="n">
        <v>0</v>
      </c>
      <c r="AP591" t="n">
        <v>0</v>
      </c>
      <c r="AQ591" t="n">
        <v>0</v>
      </c>
      <c r="AR591" t="inlineStr">
        <is>
          <t>No</t>
        </is>
      </c>
      <c r="AS591" t="inlineStr">
        <is>
          <t>No</t>
        </is>
      </c>
      <c r="AU591">
        <f>HYPERLINK("https://creighton-primo.hosted.exlibrisgroup.com/primo-explore/search?tab=default_tab&amp;search_scope=EVERYTHING&amp;vid=01CRU&amp;lang=en_US&amp;offset=0&amp;query=any,contains,991001380999702656","Catalog Record")</f>
        <v/>
      </c>
      <c r="AV591">
        <f>HYPERLINK("http://www.worldcat.org/oclc/2904884","WorldCat Record")</f>
        <v/>
      </c>
      <c r="AW591" t="inlineStr">
        <is>
          <t>3373069835:eng</t>
        </is>
      </c>
      <c r="AX591" t="inlineStr">
        <is>
          <t>2904884</t>
        </is>
      </c>
      <c r="AY591" t="inlineStr">
        <is>
          <t>991001380999702656</t>
        </is>
      </c>
      <c r="AZ591" t="inlineStr">
        <is>
          <t>991001380999702656</t>
        </is>
      </c>
      <c r="BA591" t="inlineStr">
        <is>
          <t>2272253910002656</t>
        </is>
      </c>
      <c r="BB591" t="inlineStr">
        <is>
          <t>BOOK</t>
        </is>
      </c>
      <c r="BE591" t="inlineStr">
        <is>
          <t>30001000462731</t>
        </is>
      </c>
      <c r="BF591" t="inlineStr">
        <is>
          <t>893358522</t>
        </is>
      </c>
    </row>
    <row r="592">
      <c r="A592" t="inlineStr">
        <is>
          <t>No</t>
        </is>
      </c>
      <c r="B592" t="inlineStr">
        <is>
          <t>CUHSL</t>
        </is>
      </c>
      <c r="C592" t="inlineStr">
        <is>
          <t>SHELVES</t>
        </is>
      </c>
      <c r="D592" t="inlineStr">
        <is>
          <t>WY 31 R813n 1989</t>
        </is>
      </c>
      <c r="E592" t="inlineStr">
        <is>
          <t>0                      WY 0031000R  813n        1989</t>
        </is>
      </c>
      <c r="F592" t="inlineStr">
        <is>
          <t>Nursing student census, 1989 / Peri Rosenfeld.</t>
        </is>
      </c>
      <c r="H592" t="inlineStr">
        <is>
          <t>No</t>
        </is>
      </c>
      <c r="I592" t="inlineStr">
        <is>
          <t>1</t>
        </is>
      </c>
      <c r="J592" t="inlineStr">
        <is>
          <t>No</t>
        </is>
      </c>
      <c r="K592" t="inlineStr">
        <is>
          <t>No</t>
        </is>
      </c>
      <c r="L592" t="inlineStr">
        <is>
          <t>0</t>
        </is>
      </c>
      <c r="M592" t="inlineStr">
        <is>
          <t>Rosenfeld, Peri.</t>
        </is>
      </c>
      <c r="N592" t="inlineStr">
        <is>
          <t>New York : Division of Public Policy and Research, National League for Nursing, c1990</t>
        </is>
      </c>
      <c r="O592" t="inlineStr">
        <is>
          <t>1990</t>
        </is>
      </c>
      <c r="Q592" t="inlineStr">
        <is>
          <t>eng</t>
        </is>
      </c>
      <c r="R592" t="inlineStr">
        <is>
          <t>nyu</t>
        </is>
      </c>
      <c r="S592" t="inlineStr">
        <is>
          <t>NLN pub. no. 19-2291.</t>
        </is>
      </c>
      <c r="T592" t="inlineStr">
        <is>
          <t xml:space="preserve">WY </t>
        </is>
      </c>
      <c r="U592" t="n">
        <v>3</v>
      </c>
      <c r="V592" t="n">
        <v>3</v>
      </c>
      <c r="W592" t="inlineStr">
        <is>
          <t>1990-01-31</t>
        </is>
      </c>
      <c r="X592" t="inlineStr">
        <is>
          <t>1990-01-31</t>
        </is>
      </c>
      <c r="Y592" t="inlineStr">
        <is>
          <t>1990-01-31</t>
        </is>
      </c>
      <c r="Z592" t="inlineStr">
        <is>
          <t>1990-01-31</t>
        </is>
      </c>
      <c r="AA592" t="n">
        <v>59</v>
      </c>
      <c r="AB592" t="n">
        <v>54</v>
      </c>
      <c r="AC592" t="n">
        <v>54</v>
      </c>
      <c r="AD592" t="n">
        <v>2</v>
      </c>
      <c r="AE592" t="n">
        <v>2</v>
      </c>
      <c r="AF592" t="n">
        <v>0</v>
      </c>
      <c r="AG592" t="n">
        <v>0</v>
      </c>
      <c r="AH592" t="n">
        <v>0</v>
      </c>
      <c r="AI592" t="n">
        <v>0</v>
      </c>
      <c r="AJ592" t="n">
        <v>0</v>
      </c>
      <c r="AK592" t="n">
        <v>0</v>
      </c>
      <c r="AL592" t="n">
        <v>0</v>
      </c>
      <c r="AM592" t="n">
        <v>0</v>
      </c>
      <c r="AN592" t="n">
        <v>0</v>
      </c>
      <c r="AO592" t="n">
        <v>0</v>
      </c>
      <c r="AP592" t="n">
        <v>0</v>
      </c>
      <c r="AQ592" t="n">
        <v>0</v>
      </c>
      <c r="AR592" t="inlineStr">
        <is>
          <t>No</t>
        </is>
      </c>
      <c r="AS592" t="inlineStr">
        <is>
          <t>No</t>
        </is>
      </c>
      <c r="AU592">
        <f>HYPERLINK("https://creighton-primo.hosted.exlibrisgroup.com/primo-explore/search?tab=default_tab&amp;search_scope=EVERYTHING&amp;vid=01CRU&amp;lang=en_US&amp;offset=0&amp;query=any,contains,991001386509702656","Catalog Record")</f>
        <v/>
      </c>
      <c r="AV592">
        <f>HYPERLINK("http://www.worldcat.org/oclc/38967988","WorldCat Record")</f>
        <v/>
      </c>
      <c r="AW592" t="inlineStr">
        <is>
          <t>41850302:eng</t>
        </is>
      </c>
      <c r="AX592" t="inlineStr">
        <is>
          <t>38967988</t>
        </is>
      </c>
      <c r="AY592" t="inlineStr">
        <is>
          <t>991001386509702656</t>
        </is>
      </c>
      <c r="AZ592" t="inlineStr">
        <is>
          <t>991001386509702656</t>
        </is>
      </c>
      <c r="BA592" t="inlineStr">
        <is>
          <t>2272525230002656</t>
        </is>
      </c>
      <c r="BB592" t="inlineStr">
        <is>
          <t>BOOK</t>
        </is>
      </c>
      <c r="BD592" t="inlineStr">
        <is>
          <t>9780887374531</t>
        </is>
      </c>
      <c r="BE592" t="inlineStr">
        <is>
          <t>30001001799867</t>
        </is>
      </c>
      <c r="BF592" t="inlineStr">
        <is>
          <t>893465448</t>
        </is>
      </c>
    </row>
    <row r="593">
      <c r="A593" t="inlineStr">
        <is>
          <t>No</t>
        </is>
      </c>
      <c r="B593" t="inlineStr">
        <is>
          <t>CUHSL</t>
        </is>
      </c>
      <c r="C593" t="inlineStr">
        <is>
          <t>SHELVES</t>
        </is>
      </c>
      <c r="D593" t="inlineStr">
        <is>
          <t>WY 31 U58r 1986</t>
        </is>
      </c>
      <c r="E593" t="inlineStr">
        <is>
          <t>0                      WY 0031000U  58r         1986</t>
        </is>
      </c>
      <c r="F593" t="inlineStr">
        <is>
          <t>Report on nursing : fifth report to the President &amp; Congress on the status of health personnel in the United States.</t>
        </is>
      </c>
      <c r="H593" t="inlineStr">
        <is>
          <t>No</t>
        </is>
      </c>
      <c r="I593" t="inlineStr">
        <is>
          <t>1</t>
        </is>
      </c>
      <c r="J593" t="inlineStr">
        <is>
          <t>No</t>
        </is>
      </c>
      <c r="K593" t="inlineStr">
        <is>
          <t>No</t>
        </is>
      </c>
      <c r="L593" t="inlineStr">
        <is>
          <t>0</t>
        </is>
      </c>
      <c r="M593" t="inlineStr">
        <is>
          <t>United States. Health Resources and Services Administration. Bureau of Health Professions.</t>
        </is>
      </c>
      <c r="N593" t="inlineStr">
        <is>
          <t>Rockville, Md. : U.S. Dept. of Health &amp; Human Services, Public Health Service, Health Resources and Services Administration, Bureau of Health Professions ; Springfield, VA : Available through NTIS, 1986.</t>
        </is>
      </c>
      <c r="O593" t="inlineStr">
        <is>
          <t>1986</t>
        </is>
      </c>
      <c r="Q593" t="inlineStr">
        <is>
          <t>eng</t>
        </is>
      </c>
      <c r="R593" t="inlineStr">
        <is>
          <t>mdu</t>
        </is>
      </c>
      <c r="T593" t="inlineStr">
        <is>
          <t xml:space="preserve">WY </t>
        </is>
      </c>
      <c r="U593" t="n">
        <v>10</v>
      </c>
      <c r="V593" t="n">
        <v>10</v>
      </c>
      <c r="W593" t="inlineStr">
        <is>
          <t>1992-11-30</t>
        </is>
      </c>
      <c r="X593" t="inlineStr">
        <is>
          <t>1992-11-30</t>
        </is>
      </c>
      <c r="Y593" t="inlineStr">
        <is>
          <t>1989-03-16</t>
        </is>
      </c>
      <c r="Z593" t="inlineStr">
        <is>
          <t>1989-03-16</t>
        </is>
      </c>
      <c r="AA593" t="n">
        <v>21</v>
      </c>
      <c r="AB593" t="n">
        <v>20</v>
      </c>
      <c r="AC593" t="n">
        <v>20</v>
      </c>
      <c r="AD593" t="n">
        <v>1</v>
      </c>
      <c r="AE593" t="n">
        <v>1</v>
      </c>
      <c r="AF593" t="n">
        <v>0</v>
      </c>
      <c r="AG593" t="n">
        <v>0</v>
      </c>
      <c r="AH593" t="n">
        <v>0</v>
      </c>
      <c r="AI593" t="n">
        <v>0</v>
      </c>
      <c r="AJ593" t="n">
        <v>0</v>
      </c>
      <c r="AK593" t="n">
        <v>0</v>
      </c>
      <c r="AL593" t="n">
        <v>0</v>
      </c>
      <c r="AM593" t="n">
        <v>0</v>
      </c>
      <c r="AN593" t="n">
        <v>0</v>
      </c>
      <c r="AO593" t="n">
        <v>0</v>
      </c>
      <c r="AP593" t="n">
        <v>0</v>
      </c>
      <c r="AQ593" t="n">
        <v>0</v>
      </c>
      <c r="AR593" t="inlineStr">
        <is>
          <t>No</t>
        </is>
      </c>
      <c r="AS593" t="inlineStr">
        <is>
          <t>No</t>
        </is>
      </c>
      <c r="AU593">
        <f>HYPERLINK("https://creighton-primo.hosted.exlibrisgroup.com/primo-explore/search?tab=default_tab&amp;search_scope=EVERYTHING&amp;vid=01CRU&amp;lang=en_US&amp;offset=0&amp;query=any,contains,991001241689702656","Catalog Record")</f>
        <v/>
      </c>
      <c r="AV593">
        <f>HYPERLINK("http://www.worldcat.org/oclc/14186037","WorldCat Record")</f>
        <v/>
      </c>
      <c r="AW593" t="inlineStr">
        <is>
          <t>7713718:eng</t>
        </is>
      </c>
      <c r="AX593" t="inlineStr">
        <is>
          <t>14186037</t>
        </is>
      </c>
      <c r="AY593" t="inlineStr">
        <is>
          <t>991001241689702656</t>
        </is>
      </c>
      <c r="AZ593" t="inlineStr">
        <is>
          <t>991001241689702656</t>
        </is>
      </c>
      <c r="BA593" t="inlineStr">
        <is>
          <t>2260772450002656</t>
        </is>
      </c>
      <c r="BB593" t="inlineStr">
        <is>
          <t>BOOK</t>
        </is>
      </c>
      <c r="BE593" t="inlineStr">
        <is>
          <t>30001001675810</t>
        </is>
      </c>
      <c r="BF593" t="inlineStr">
        <is>
          <t>893834610</t>
        </is>
      </c>
    </row>
    <row r="594">
      <c r="A594" t="inlineStr">
        <is>
          <t>No</t>
        </is>
      </c>
      <c r="B594" t="inlineStr">
        <is>
          <t>CUHSL</t>
        </is>
      </c>
      <c r="C594" t="inlineStr">
        <is>
          <t>SHELVES</t>
        </is>
      </c>
      <c r="D594" t="inlineStr">
        <is>
          <t>WY 32 AA1 C163 1987</t>
        </is>
      </c>
      <c r="E594" t="inlineStr">
        <is>
          <t>0                      WY 0032000AA 1                  C  163         1987</t>
        </is>
      </c>
      <c r="F594" t="inlineStr">
        <is>
          <t>Nursing and the law / Sue Dill Calloway.</t>
        </is>
      </c>
      <c r="H594" t="inlineStr">
        <is>
          <t>No</t>
        </is>
      </c>
      <c r="I594" t="inlineStr">
        <is>
          <t>1</t>
        </is>
      </c>
      <c r="J594" t="inlineStr">
        <is>
          <t>No</t>
        </is>
      </c>
      <c r="K594" t="inlineStr">
        <is>
          <t>No</t>
        </is>
      </c>
      <c r="L594" t="inlineStr">
        <is>
          <t>0</t>
        </is>
      </c>
      <c r="M594" t="inlineStr">
        <is>
          <t>Calloway, Sue Dill.</t>
        </is>
      </c>
      <c r="N594" t="inlineStr">
        <is>
          <t>Eau Claire, Wis. : Professional Education Systems, c1987.</t>
        </is>
      </c>
      <c r="O594" t="inlineStr">
        <is>
          <t>1987</t>
        </is>
      </c>
      <c r="P594" t="inlineStr">
        <is>
          <t>2nd ed.</t>
        </is>
      </c>
      <c r="Q594" t="inlineStr">
        <is>
          <t>eng</t>
        </is>
      </c>
      <c r="R594" t="inlineStr">
        <is>
          <t>wiu</t>
        </is>
      </c>
      <c r="T594" t="inlineStr">
        <is>
          <t xml:space="preserve">WY </t>
        </is>
      </c>
      <c r="U594" t="n">
        <v>4</v>
      </c>
      <c r="V594" t="n">
        <v>4</v>
      </c>
      <c r="W594" t="inlineStr">
        <is>
          <t>1996-10-09</t>
        </is>
      </c>
      <c r="X594" t="inlineStr">
        <is>
          <t>1996-10-09</t>
        </is>
      </c>
      <c r="Y594" t="inlineStr">
        <is>
          <t>1988-02-04</t>
        </is>
      </c>
      <c r="Z594" t="inlineStr">
        <is>
          <t>1988-02-04</t>
        </is>
      </c>
      <c r="AA594" t="n">
        <v>41</v>
      </c>
      <c r="AB594" t="n">
        <v>40</v>
      </c>
      <c r="AC594" t="n">
        <v>61</v>
      </c>
      <c r="AD594" t="n">
        <v>1</v>
      </c>
      <c r="AE594" t="n">
        <v>2</v>
      </c>
      <c r="AF594" t="n">
        <v>2</v>
      </c>
      <c r="AG594" t="n">
        <v>3</v>
      </c>
      <c r="AH594" t="n">
        <v>0</v>
      </c>
      <c r="AI594" t="n">
        <v>0</v>
      </c>
      <c r="AJ594" t="n">
        <v>0</v>
      </c>
      <c r="AK594" t="n">
        <v>0</v>
      </c>
      <c r="AL594" t="n">
        <v>0</v>
      </c>
      <c r="AM594" t="n">
        <v>0</v>
      </c>
      <c r="AN594" t="n">
        <v>0</v>
      </c>
      <c r="AO594" t="n">
        <v>1</v>
      </c>
      <c r="AP594" t="n">
        <v>2</v>
      </c>
      <c r="AQ594" t="n">
        <v>2</v>
      </c>
      <c r="AR594" t="inlineStr">
        <is>
          <t>No</t>
        </is>
      </c>
      <c r="AS594" t="inlineStr">
        <is>
          <t>Yes</t>
        </is>
      </c>
      <c r="AT594">
        <f>HYPERLINK("http://catalog.hathitrust.org/Record/000921575","HathiTrust Record")</f>
        <v/>
      </c>
      <c r="AU594">
        <f>HYPERLINK("https://creighton-primo.hosted.exlibrisgroup.com/primo-explore/search?tab=default_tab&amp;search_scope=EVERYTHING&amp;vid=01CRU&amp;lang=en_US&amp;offset=0&amp;query=any,contains,991001537979702656","Catalog Record")</f>
        <v/>
      </c>
      <c r="AV594">
        <f>HYPERLINK("http://www.worldcat.org/oclc/15492730","WorldCat Record")</f>
        <v/>
      </c>
      <c r="AW594" t="inlineStr">
        <is>
          <t>2542053710:eng</t>
        </is>
      </c>
      <c r="AX594" t="inlineStr">
        <is>
          <t>15492730</t>
        </is>
      </c>
      <c r="AY594" t="inlineStr">
        <is>
          <t>991001537979702656</t>
        </is>
      </c>
      <c r="AZ594" t="inlineStr">
        <is>
          <t>991001537979702656</t>
        </is>
      </c>
      <c r="BA594" t="inlineStr">
        <is>
          <t>2255855470002656</t>
        </is>
      </c>
      <c r="BB594" t="inlineStr">
        <is>
          <t>BOOK</t>
        </is>
      </c>
      <c r="BD594" t="inlineStr">
        <is>
          <t>9780941161237</t>
        </is>
      </c>
      <c r="BE594" t="inlineStr">
        <is>
          <t>30001000623811</t>
        </is>
      </c>
      <c r="BF594" t="inlineStr">
        <is>
          <t>893541487</t>
        </is>
      </c>
    </row>
    <row r="595">
      <c r="A595" t="inlineStr">
        <is>
          <t>No</t>
        </is>
      </c>
      <c r="B595" t="inlineStr">
        <is>
          <t>CUHSL</t>
        </is>
      </c>
      <c r="C595" t="inlineStr">
        <is>
          <t>SHELVES</t>
        </is>
      </c>
      <c r="D595" t="inlineStr">
        <is>
          <t>WY 32 AA1 H2s 1975</t>
        </is>
      </c>
      <c r="E595" t="inlineStr">
        <is>
          <t>0                      WY 0032000AA 1                  H  2s          1975</t>
        </is>
      </c>
      <c r="F595" t="inlineStr">
        <is>
          <t>Statutory regulation of the scope of nursing practice : a critical survey / Virginia C. Hall.</t>
        </is>
      </c>
      <c r="H595" t="inlineStr">
        <is>
          <t>No</t>
        </is>
      </c>
      <c r="I595" t="inlineStr">
        <is>
          <t>1</t>
        </is>
      </c>
      <c r="J595" t="inlineStr">
        <is>
          <t>No</t>
        </is>
      </c>
      <c r="K595" t="inlineStr">
        <is>
          <t>No</t>
        </is>
      </c>
      <c r="L595" t="inlineStr">
        <is>
          <t>0</t>
        </is>
      </c>
      <c r="M595" t="inlineStr">
        <is>
          <t>Hall, Virginia C.</t>
        </is>
      </c>
      <c r="N595" t="inlineStr">
        <is>
          <t>Chicago : National Joint Practice Commission, c1975.</t>
        </is>
      </c>
      <c r="O595" t="inlineStr">
        <is>
          <t>1975</t>
        </is>
      </c>
      <c r="Q595" t="inlineStr">
        <is>
          <t>eng</t>
        </is>
      </c>
      <c r="R595" t="inlineStr">
        <is>
          <t>ilu</t>
        </is>
      </c>
      <c r="T595" t="inlineStr">
        <is>
          <t xml:space="preserve">WY </t>
        </is>
      </c>
      <c r="U595" t="n">
        <v>2</v>
      </c>
      <c r="V595" t="n">
        <v>2</v>
      </c>
      <c r="W595" t="inlineStr">
        <is>
          <t>2000-02-14</t>
        </is>
      </c>
      <c r="X595" t="inlineStr">
        <is>
          <t>2000-02-14</t>
        </is>
      </c>
      <c r="Y595" t="inlineStr">
        <is>
          <t>1987-12-28</t>
        </is>
      </c>
      <c r="Z595" t="inlineStr">
        <is>
          <t>1987-12-28</t>
        </is>
      </c>
      <c r="AA595" t="n">
        <v>132</v>
      </c>
      <c r="AB595" t="n">
        <v>121</v>
      </c>
      <c r="AC595" t="n">
        <v>123</v>
      </c>
      <c r="AD595" t="n">
        <v>2</v>
      </c>
      <c r="AE595" t="n">
        <v>2</v>
      </c>
      <c r="AF595" t="n">
        <v>9</v>
      </c>
      <c r="AG595" t="n">
        <v>9</v>
      </c>
      <c r="AH595" t="n">
        <v>0</v>
      </c>
      <c r="AI595" t="n">
        <v>0</v>
      </c>
      <c r="AJ595" t="n">
        <v>0</v>
      </c>
      <c r="AK595" t="n">
        <v>0</v>
      </c>
      <c r="AL595" t="n">
        <v>2</v>
      </c>
      <c r="AM595" t="n">
        <v>2</v>
      </c>
      <c r="AN595" t="n">
        <v>0</v>
      </c>
      <c r="AO595" t="n">
        <v>0</v>
      </c>
      <c r="AP595" t="n">
        <v>7</v>
      </c>
      <c r="AQ595" t="n">
        <v>7</v>
      </c>
      <c r="AR595" t="inlineStr">
        <is>
          <t>No</t>
        </is>
      </c>
      <c r="AS595" t="inlineStr">
        <is>
          <t>Yes</t>
        </is>
      </c>
      <c r="AT595">
        <f>HYPERLINK("http://catalog.hathitrust.org/Record/000694160","HathiTrust Record")</f>
        <v/>
      </c>
      <c r="AU595">
        <f>HYPERLINK("https://creighton-primo.hosted.exlibrisgroup.com/primo-explore/search?tab=default_tab&amp;search_scope=EVERYTHING&amp;vid=01CRU&amp;lang=en_US&amp;offset=0&amp;query=any,contains,991001044099702656","Catalog Record")</f>
        <v/>
      </c>
      <c r="AV595">
        <f>HYPERLINK("http://www.worldcat.org/oclc/1858796","WorldCat Record")</f>
        <v/>
      </c>
      <c r="AW595" t="inlineStr">
        <is>
          <t>2633919:eng</t>
        </is>
      </c>
      <c r="AX595" t="inlineStr">
        <is>
          <t>1858796</t>
        </is>
      </c>
      <c r="AY595" t="inlineStr">
        <is>
          <t>991001044099702656</t>
        </is>
      </c>
      <c r="AZ595" t="inlineStr">
        <is>
          <t>991001044099702656</t>
        </is>
      </c>
      <c r="BA595" t="inlineStr">
        <is>
          <t>2266966150002656</t>
        </is>
      </c>
      <c r="BB595" t="inlineStr">
        <is>
          <t>BOOK</t>
        </is>
      </c>
      <c r="BE595" t="inlineStr">
        <is>
          <t>30001000243339</t>
        </is>
      </c>
      <c r="BF595" t="inlineStr">
        <is>
          <t>893552092</t>
        </is>
      </c>
    </row>
    <row r="596">
      <c r="A596" t="inlineStr">
        <is>
          <t>No</t>
        </is>
      </c>
      <c r="B596" t="inlineStr">
        <is>
          <t>CUHSL</t>
        </is>
      </c>
      <c r="C596" t="inlineStr">
        <is>
          <t>SHELVES</t>
        </is>
      </c>
      <c r="D596" t="inlineStr">
        <is>
          <t>WY33 AA1 B8n 2001</t>
        </is>
      </c>
      <c r="E596" t="inlineStr">
        <is>
          <t>0                      WY 0033000AA 1                  B  8n          2001</t>
        </is>
      </c>
      <c r="F596" t="inlineStr">
        <is>
          <t>Nurses and the law : a guide to principles and applications / Nancy J. Brent.</t>
        </is>
      </c>
      <c r="H596" t="inlineStr">
        <is>
          <t>No</t>
        </is>
      </c>
      <c r="I596" t="inlineStr">
        <is>
          <t>1</t>
        </is>
      </c>
      <c r="J596" t="inlineStr">
        <is>
          <t>No</t>
        </is>
      </c>
      <c r="K596" t="inlineStr">
        <is>
          <t>No</t>
        </is>
      </c>
      <c r="L596" t="inlineStr">
        <is>
          <t>0</t>
        </is>
      </c>
      <c r="M596" t="inlineStr">
        <is>
          <t>Brent, Nancy J.</t>
        </is>
      </c>
      <c r="N596" t="inlineStr">
        <is>
          <t>Philadelphia : W.B. Saunders, c2001.</t>
        </is>
      </c>
      <c r="O596" t="inlineStr">
        <is>
          <t>2001</t>
        </is>
      </c>
      <c r="P596" t="inlineStr">
        <is>
          <t>2nd ed.</t>
        </is>
      </c>
      <c r="Q596" t="inlineStr">
        <is>
          <t>eng</t>
        </is>
      </c>
      <c r="R596" t="inlineStr">
        <is>
          <t>pau</t>
        </is>
      </c>
      <c r="T596" t="inlineStr">
        <is>
          <t xml:space="preserve">WY </t>
        </is>
      </c>
      <c r="U596" t="n">
        <v>3</v>
      </c>
      <c r="V596" t="n">
        <v>3</v>
      </c>
      <c r="W596" t="inlineStr">
        <is>
          <t>2002-05-10</t>
        </is>
      </c>
      <c r="X596" t="inlineStr">
        <is>
          <t>2002-05-10</t>
        </is>
      </c>
      <c r="Y596" t="inlineStr">
        <is>
          <t>2001-12-10</t>
        </is>
      </c>
      <c r="Z596" t="inlineStr">
        <is>
          <t>2001-12-10</t>
        </is>
      </c>
      <c r="AA596" t="n">
        <v>447</v>
      </c>
      <c r="AB596" t="n">
        <v>414</v>
      </c>
      <c r="AC596" t="n">
        <v>669</v>
      </c>
      <c r="AD596" t="n">
        <v>1</v>
      </c>
      <c r="AE596" t="n">
        <v>1</v>
      </c>
      <c r="AF596" t="n">
        <v>16</v>
      </c>
      <c r="AG596" t="n">
        <v>27</v>
      </c>
      <c r="AH596" t="n">
        <v>5</v>
      </c>
      <c r="AI596" t="n">
        <v>10</v>
      </c>
      <c r="AJ596" t="n">
        <v>3</v>
      </c>
      <c r="AK596" t="n">
        <v>4</v>
      </c>
      <c r="AL596" t="n">
        <v>8</v>
      </c>
      <c r="AM596" t="n">
        <v>13</v>
      </c>
      <c r="AN596" t="n">
        <v>1</v>
      </c>
      <c r="AO596" t="n">
        <v>1</v>
      </c>
      <c r="AP596" t="n">
        <v>1</v>
      </c>
      <c r="AQ596" t="n">
        <v>4</v>
      </c>
      <c r="AR596" t="inlineStr">
        <is>
          <t>No</t>
        </is>
      </c>
      <c r="AS596" t="inlineStr">
        <is>
          <t>Yes</t>
        </is>
      </c>
      <c r="AT596">
        <f>HYPERLINK("http://catalog.hathitrust.org/Record/004145349","HathiTrust Record")</f>
        <v/>
      </c>
      <c r="AU596">
        <f>HYPERLINK("https://creighton-primo.hosted.exlibrisgroup.com/primo-explore/search?tab=default_tab&amp;search_scope=EVERYTHING&amp;vid=01CRU&amp;lang=en_US&amp;offset=0&amp;query=any,contains,991001709939702656","Catalog Record")</f>
        <v/>
      </c>
      <c r="AV596">
        <f>HYPERLINK("http://www.worldcat.org/oclc/45093704","WorldCat Record")</f>
        <v/>
      </c>
      <c r="AW596" t="inlineStr">
        <is>
          <t>34854183:eng</t>
        </is>
      </c>
      <c r="AX596" t="inlineStr">
        <is>
          <t>45093704</t>
        </is>
      </c>
      <c r="AY596" t="inlineStr">
        <is>
          <t>991001709939702656</t>
        </is>
      </c>
      <c r="AZ596" t="inlineStr">
        <is>
          <t>991001709939702656</t>
        </is>
      </c>
      <c r="BA596" t="inlineStr">
        <is>
          <t>2260696210002656</t>
        </is>
      </c>
      <c r="BB596" t="inlineStr">
        <is>
          <t>BOOK</t>
        </is>
      </c>
      <c r="BD596" t="inlineStr">
        <is>
          <t>9780721691954</t>
        </is>
      </c>
      <c r="BE596" t="inlineStr">
        <is>
          <t>30001004560555</t>
        </is>
      </c>
      <c r="BF596" t="inlineStr">
        <is>
          <t>893816568</t>
        </is>
      </c>
    </row>
    <row r="597">
      <c r="A597" t="inlineStr">
        <is>
          <t>No</t>
        </is>
      </c>
      <c r="B597" t="inlineStr">
        <is>
          <t>CUHSL</t>
        </is>
      </c>
      <c r="C597" t="inlineStr">
        <is>
          <t>SHELVES</t>
        </is>
      </c>
      <c r="D597" t="inlineStr">
        <is>
          <t>WY 33 AA1 C93m 1988</t>
        </is>
      </c>
      <c r="E597" t="inlineStr">
        <is>
          <t>0                      WY 0033000AA 1                  C  93m         1988</t>
        </is>
      </c>
      <c r="F597" t="inlineStr">
        <is>
          <t>Nursing jurisprudence / Maureen Cushing.</t>
        </is>
      </c>
      <c r="H597" t="inlineStr">
        <is>
          <t>No</t>
        </is>
      </c>
      <c r="I597" t="inlineStr">
        <is>
          <t>1</t>
        </is>
      </c>
      <c r="J597" t="inlineStr">
        <is>
          <t>No</t>
        </is>
      </c>
      <c r="K597" t="inlineStr">
        <is>
          <t>No</t>
        </is>
      </c>
      <c r="L597" t="inlineStr">
        <is>
          <t>0</t>
        </is>
      </c>
      <c r="M597" t="inlineStr">
        <is>
          <t>Cushing, Mary.</t>
        </is>
      </c>
      <c r="N597" t="inlineStr">
        <is>
          <t>Norwalk, Conn. : Appleton &amp; Lange, c1988.</t>
        </is>
      </c>
      <c r="O597" t="inlineStr">
        <is>
          <t>1988</t>
        </is>
      </c>
      <c r="Q597" t="inlineStr">
        <is>
          <t>eng</t>
        </is>
      </c>
      <c r="R597" t="inlineStr">
        <is>
          <t>xxu</t>
        </is>
      </c>
      <c r="T597" t="inlineStr">
        <is>
          <t xml:space="preserve">WY </t>
        </is>
      </c>
      <c r="U597" t="n">
        <v>3</v>
      </c>
      <c r="V597" t="n">
        <v>3</v>
      </c>
      <c r="W597" t="inlineStr">
        <is>
          <t>1996-10-09</t>
        </is>
      </c>
      <c r="X597" t="inlineStr">
        <is>
          <t>1996-10-09</t>
        </is>
      </c>
      <c r="Y597" t="inlineStr">
        <is>
          <t>1988-08-06</t>
        </is>
      </c>
      <c r="Z597" t="inlineStr">
        <is>
          <t>1988-08-06</t>
        </is>
      </c>
      <c r="AA597" t="n">
        <v>335</v>
      </c>
      <c r="AB597" t="n">
        <v>312</v>
      </c>
      <c r="AC597" t="n">
        <v>319</v>
      </c>
      <c r="AD597" t="n">
        <v>2</v>
      </c>
      <c r="AE597" t="n">
        <v>2</v>
      </c>
      <c r="AF597" t="n">
        <v>18</v>
      </c>
      <c r="AG597" t="n">
        <v>18</v>
      </c>
      <c r="AH597" t="n">
        <v>3</v>
      </c>
      <c r="AI597" t="n">
        <v>3</v>
      </c>
      <c r="AJ597" t="n">
        <v>3</v>
      </c>
      <c r="AK597" t="n">
        <v>3</v>
      </c>
      <c r="AL597" t="n">
        <v>10</v>
      </c>
      <c r="AM597" t="n">
        <v>10</v>
      </c>
      <c r="AN597" t="n">
        <v>1</v>
      </c>
      <c r="AO597" t="n">
        <v>1</v>
      </c>
      <c r="AP597" t="n">
        <v>5</v>
      </c>
      <c r="AQ597" t="n">
        <v>5</v>
      </c>
      <c r="AR597" t="inlineStr">
        <is>
          <t>No</t>
        </is>
      </c>
      <c r="AS597" t="inlineStr">
        <is>
          <t>Yes</t>
        </is>
      </c>
      <c r="AT597">
        <f>HYPERLINK("http://catalog.hathitrust.org/Record/001292775","HathiTrust Record")</f>
        <v/>
      </c>
      <c r="AU597">
        <f>HYPERLINK("https://creighton-primo.hosted.exlibrisgroup.com/primo-explore/search?tab=default_tab&amp;search_scope=EVERYTHING&amp;vid=01CRU&amp;lang=en_US&amp;offset=0&amp;query=any,contains,991001419249702656","Catalog Record")</f>
        <v/>
      </c>
      <c r="AV597">
        <f>HYPERLINK("http://www.worldcat.org/oclc/16804990","WorldCat Record")</f>
        <v/>
      </c>
      <c r="AW597" t="inlineStr">
        <is>
          <t>13169487:eng</t>
        </is>
      </c>
      <c r="AX597" t="inlineStr">
        <is>
          <t>16804990</t>
        </is>
      </c>
      <c r="AY597" t="inlineStr">
        <is>
          <t>991001419249702656</t>
        </is>
      </c>
      <c r="AZ597" t="inlineStr">
        <is>
          <t>991001419249702656</t>
        </is>
      </c>
      <c r="BA597" t="inlineStr">
        <is>
          <t>2254950410002656</t>
        </is>
      </c>
      <c r="BB597" t="inlineStr">
        <is>
          <t>BOOK</t>
        </is>
      </c>
      <c r="BD597" t="inlineStr">
        <is>
          <t>9780838570395</t>
        </is>
      </c>
      <c r="BE597" t="inlineStr">
        <is>
          <t>30001001181744</t>
        </is>
      </c>
      <c r="BF597" t="inlineStr">
        <is>
          <t>893731989</t>
        </is>
      </c>
    </row>
    <row r="598">
      <c r="A598" t="inlineStr">
        <is>
          <t>No</t>
        </is>
      </c>
      <c r="B598" t="inlineStr">
        <is>
          <t>CUHSL</t>
        </is>
      </c>
      <c r="C598" t="inlineStr">
        <is>
          <t>SHELVES</t>
        </is>
      </c>
      <c r="D598" t="inlineStr">
        <is>
          <t>WY 33 AA1 C9L 1986</t>
        </is>
      </c>
      <c r="E598" t="inlineStr">
        <is>
          <t>0                      WY 0033000AA 1                  C  9L          1986</t>
        </is>
      </c>
      <c r="F598" t="inlineStr">
        <is>
          <t>Law every nurse should know / Helen Creighton.</t>
        </is>
      </c>
      <c r="H598" t="inlineStr">
        <is>
          <t>No</t>
        </is>
      </c>
      <c r="I598" t="inlineStr">
        <is>
          <t>1</t>
        </is>
      </c>
      <c r="J598" t="inlineStr">
        <is>
          <t>No</t>
        </is>
      </c>
      <c r="K598" t="inlineStr">
        <is>
          <t>No</t>
        </is>
      </c>
      <c r="L598" t="inlineStr">
        <is>
          <t>0</t>
        </is>
      </c>
      <c r="M598" t="inlineStr">
        <is>
          <t>Creighton, Helen, 1914-</t>
        </is>
      </c>
      <c r="N598" t="inlineStr">
        <is>
          <t>Philadelphia : Saunders, c1986.</t>
        </is>
      </c>
      <c r="O598" t="inlineStr">
        <is>
          <t>1986</t>
        </is>
      </c>
      <c r="P598" t="inlineStr">
        <is>
          <t>5th ed.</t>
        </is>
      </c>
      <c r="Q598" t="inlineStr">
        <is>
          <t>eng</t>
        </is>
      </c>
      <c r="R598" t="inlineStr">
        <is>
          <t>xxu</t>
        </is>
      </c>
      <c r="T598" t="inlineStr">
        <is>
          <t xml:space="preserve">WY </t>
        </is>
      </c>
      <c r="U598" t="n">
        <v>4</v>
      </c>
      <c r="V598" t="n">
        <v>4</v>
      </c>
      <c r="W598" t="inlineStr">
        <is>
          <t>1993-09-03</t>
        </is>
      </c>
      <c r="X598" t="inlineStr">
        <is>
          <t>1993-09-03</t>
        </is>
      </c>
      <c r="Y598" t="inlineStr">
        <is>
          <t>1987-10-22</t>
        </is>
      </c>
      <c r="Z598" t="inlineStr">
        <is>
          <t>1987-10-22</t>
        </is>
      </c>
      <c r="AA598" t="n">
        <v>561</v>
      </c>
      <c r="AB598" t="n">
        <v>498</v>
      </c>
      <c r="AC598" t="n">
        <v>905</v>
      </c>
      <c r="AD598" t="n">
        <v>3</v>
      </c>
      <c r="AE598" t="n">
        <v>4</v>
      </c>
      <c r="AF598" t="n">
        <v>16</v>
      </c>
      <c r="AG598" t="n">
        <v>32</v>
      </c>
      <c r="AH598" t="n">
        <v>5</v>
      </c>
      <c r="AI598" t="n">
        <v>10</v>
      </c>
      <c r="AJ598" t="n">
        <v>2</v>
      </c>
      <c r="AK598" t="n">
        <v>4</v>
      </c>
      <c r="AL598" t="n">
        <v>8</v>
      </c>
      <c r="AM598" t="n">
        <v>10</v>
      </c>
      <c r="AN598" t="n">
        <v>2</v>
      </c>
      <c r="AO598" t="n">
        <v>3</v>
      </c>
      <c r="AP598" t="n">
        <v>1</v>
      </c>
      <c r="AQ598" t="n">
        <v>9</v>
      </c>
      <c r="AR598" t="inlineStr">
        <is>
          <t>No</t>
        </is>
      </c>
      <c r="AS598" t="inlineStr">
        <is>
          <t>Yes</t>
        </is>
      </c>
      <c r="AT598">
        <f>HYPERLINK("http://catalog.hathitrust.org/Record/000614889","HathiTrust Record")</f>
        <v/>
      </c>
      <c r="AU598">
        <f>HYPERLINK("https://creighton-primo.hosted.exlibrisgroup.com/primo-explore/search?tab=default_tab&amp;search_scope=EVERYTHING&amp;vid=01CRU&amp;lang=en_US&amp;offset=0&amp;query=any,contains,991000739129702656","Catalog Record")</f>
        <v/>
      </c>
      <c r="AV598">
        <f>HYPERLINK("http://www.worldcat.org/oclc/12583018","WorldCat Record")</f>
        <v/>
      </c>
      <c r="AW598" t="inlineStr">
        <is>
          <t>448017:eng</t>
        </is>
      </c>
      <c r="AX598" t="inlineStr">
        <is>
          <t>12583018</t>
        </is>
      </c>
      <c r="AY598" t="inlineStr">
        <is>
          <t>991000739129702656</t>
        </is>
      </c>
      <c r="AZ598" t="inlineStr">
        <is>
          <t>991000739129702656</t>
        </is>
      </c>
      <c r="BA598" t="inlineStr">
        <is>
          <t>2271736570002656</t>
        </is>
      </c>
      <c r="BB598" t="inlineStr">
        <is>
          <t>BOOK</t>
        </is>
      </c>
      <c r="BD598" t="inlineStr">
        <is>
          <t>9780721618333</t>
        </is>
      </c>
      <c r="BE598" t="inlineStr">
        <is>
          <t>30001000042855</t>
        </is>
      </c>
      <c r="BF598" t="inlineStr">
        <is>
          <t>893731034</t>
        </is>
      </c>
    </row>
    <row r="599">
      <c r="A599" t="inlineStr">
        <is>
          <t>No</t>
        </is>
      </c>
      <c r="B599" t="inlineStr">
        <is>
          <t>CUHSL</t>
        </is>
      </c>
      <c r="C599" t="inlineStr">
        <is>
          <t>SHELVES</t>
        </is>
      </c>
      <c r="D599" t="inlineStr">
        <is>
          <t>WY 33 AA1 F466L 1983</t>
        </is>
      </c>
      <c r="E599" t="inlineStr">
        <is>
          <t>0                      WY 0033000AA 1                  F  466L        1983</t>
        </is>
      </c>
      <c r="F599" t="inlineStr">
        <is>
          <t>The law and liability : a guide for nurses / Janine Fiesta.</t>
        </is>
      </c>
      <c r="H599" t="inlineStr">
        <is>
          <t>No</t>
        </is>
      </c>
      <c r="I599" t="inlineStr">
        <is>
          <t>1</t>
        </is>
      </c>
      <c r="J599" t="inlineStr">
        <is>
          <t>No</t>
        </is>
      </c>
      <c r="K599" t="inlineStr">
        <is>
          <t>No</t>
        </is>
      </c>
      <c r="L599" t="inlineStr">
        <is>
          <t>0</t>
        </is>
      </c>
      <c r="M599" t="inlineStr">
        <is>
          <t>Fiesta, Janine.</t>
        </is>
      </c>
      <c r="N599" t="inlineStr">
        <is>
          <t>New York : Wiley, c1983.</t>
        </is>
      </c>
      <c r="O599" t="inlineStr">
        <is>
          <t>1983</t>
        </is>
      </c>
      <c r="Q599" t="inlineStr">
        <is>
          <t>eng</t>
        </is>
      </c>
      <c r="R599" t="inlineStr">
        <is>
          <t>nyu</t>
        </is>
      </c>
      <c r="S599" t="inlineStr">
        <is>
          <t>A Wiley medical publication.</t>
        </is>
      </c>
      <c r="T599" t="inlineStr">
        <is>
          <t xml:space="preserve">WY </t>
        </is>
      </c>
      <c r="U599" t="n">
        <v>7</v>
      </c>
      <c r="V599" t="n">
        <v>7</v>
      </c>
      <c r="W599" t="inlineStr">
        <is>
          <t>1998-09-16</t>
        </is>
      </c>
      <c r="X599" t="inlineStr">
        <is>
          <t>1998-09-16</t>
        </is>
      </c>
      <c r="Y599" t="inlineStr">
        <is>
          <t>1991-02-01</t>
        </is>
      </c>
      <c r="Z599" t="inlineStr">
        <is>
          <t>1991-02-01</t>
        </is>
      </c>
      <c r="AA599" t="n">
        <v>299</v>
      </c>
      <c r="AB599" t="n">
        <v>284</v>
      </c>
      <c r="AC599" t="n">
        <v>650</v>
      </c>
      <c r="AD599" t="n">
        <v>1</v>
      </c>
      <c r="AE599" t="n">
        <v>4</v>
      </c>
      <c r="AF599" t="n">
        <v>14</v>
      </c>
      <c r="AG599" t="n">
        <v>25</v>
      </c>
      <c r="AH599" t="n">
        <v>6</v>
      </c>
      <c r="AI599" t="n">
        <v>10</v>
      </c>
      <c r="AJ599" t="n">
        <v>0</v>
      </c>
      <c r="AK599" t="n">
        <v>1</v>
      </c>
      <c r="AL599" t="n">
        <v>4</v>
      </c>
      <c r="AM599" t="n">
        <v>9</v>
      </c>
      <c r="AN599" t="n">
        <v>0</v>
      </c>
      <c r="AO599" t="n">
        <v>2</v>
      </c>
      <c r="AP599" t="n">
        <v>5</v>
      </c>
      <c r="AQ599" t="n">
        <v>6</v>
      </c>
      <c r="AR599" t="inlineStr">
        <is>
          <t>No</t>
        </is>
      </c>
      <c r="AS599" t="inlineStr">
        <is>
          <t>Yes</t>
        </is>
      </c>
      <c r="AT599">
        <f>HYPERLINK("http://catalog.hathitrust.org/Record/000109019","HathiTrust Record")</f>
        <v/>
      </c>
      <c r="AU599">
        <f>HYPERLINK("https://creighton-primo.hosted.exlibrisgroup.com/primo-explore/search?tab=default_tab&amp;search_scope=EVERYTHING&amp;vid=01CRU&amp;lang=en_US&amp;offset=0&amp;query=any,contains,991000817249702656","Catalog Record")</f>
        <v/>
      </c>
      <c r="AV599">
        <f>HYPERLINK("http://www.worldcat.org/oclc/8688404","WorldCat Record")</f>
        <v/>
      </c>
      <c r="AW599" t="inlineStr">
        <is>
          <t>836721154:eng</t>
        </is>
      </c>
      <c r="AX599" t="inlineStr">
        <is>
          <t>8688404</t>
        </is>
      </c>
      <c r="AY599" t="inlineStr">
        <is>
          <t>991000817249702656</t>
        </is>
      </c>
      <c r="AZ599" t="inlineStr">
        <is>
          <t>991000817249702656</t>
        </is>
      </c>
      <c r="BA599" t="inlineStr">
        <is>
          <t>2272501000002656</t>
        </is>
      </c>
      <c r="BB599" t="inlineStr">
        <is>
          <t>BOOK</t>
        </is>
      </c>
      <c r="BD599" t="inlineStr">
        <is>
          <t>9780471078791</t>
        </is>
      </c>
      <c r="BE599" t="inlineStr">
        <is>
          <t>30001002086652</t>
        </is>
      </c>
      <c r="BF599" t="inlineStr">
        <is>
          <t>893831448</t>
        </is>
      </c>
    </row>
    <row r="600">
      <c r="A600" t="inlineStr">
        <is>
          <t>No</t>
        </is>
      </c>
      <c r="B600" t="inlineStr">
        <is>
          <t>CUHSL</t>
        </is>
      </c>
      <c r="C600" t="inlineStr">
        <is>
          <t>SHELVES</t>
        </is>
      </c>
      <c r="D600" t="inlineStr">
        <is>
          <t>WY 33 AA1 G9L 1997</t>
        </is>
      </c>
      <c r="E600" t="inlineStr">
        <is>
          <t>0                      WY 0033000AA 1                  G  9L          1997</t>
        </is>
      </c>
      <c r="F600" t="inlineStr">
        <is>
          <t>Legal issues in nursing / Ginny Wacker Guido.</t>
        </is>
      </c>
      <c r="H600" t="inlineStr">
        <is>
          <t>No</t>
        </is>
      </c>
      <c r="I600" t="inlineStr">
        <is>
          <t>1</t>
        </is>
      </c>
      <c r="J600" t="inlineStr">
        <is>
          <t>No</t>
        </is>
      </c>
      <c r="K600" t="inlineStr">
        <is>
          <t>No</t>
        </is>
      </c>
      <c r="L600" t="inlineStr">
        <is>
          <t>0</t>
        </is>
      </c>
      <c r="M600" t="inlineStr">
        <is>
          <t>Guido, Ginny Wacker.</t>
        </is>
      </c>
      <c r="N600" t="inlineStr">
        <is>
          <t>Stamford, Conn. : Appleton &amp; Lange, c1997.</t>
        </is>
      </c>
      <c r="O600" t="inlineStr">
        <is>
          <t>1997</t>
        </is>
      </c>
      <c r="P600" t="inlineStr">
        <is>
          <t>2nd ed.</t>
        </is>
      </c>
      <c r="Q600" t="inlineStr">
        <is>
          <t>eng</t>
        </is>
      </c>
      <c r="R600" t="inlineStr">
        <is>
          <t>ctu</t>
        </is>
      </c>
      <c r="T600" t="inlineStr">
        <is>
          <t xml:space="preserve">WY </t>
        </is>
      </c>
      <c r="U600" t="n">
        <v>7</v>
      </c>
      <c r="V600" t="n">
        <v>7</v>
      </c>
      <c r="W600" t="inlineStr">
        <is>
          <t>2005-10-16</t>
        </is>
      </c>
      <c r="X600" t="inlineStr">
        <is>
          <t>2005-10-16</t>
        </is>
      </c>
      <c r="Y600" t="inlineStr">
        <is>
          <t>1997-04-29</t>
        </is>
      </c>
      <c r="Z600" t="inlineStr">
        <is>
          <t>1997-04-29</t>
        </is>
      </c>
      <c r="AA600" t="n">
        <v>350</v>
      </c>
      <c r="AB600" t="n">
        <v>327</v>
      </c>
      <c r="AC600" t="n">
        <v>1152</v>
      </c>
      <c r="AD600" t="n">
        <v>2</v>
      </c>
      <c r="AE600" t="n">
        <v>6</v>
      </c>
      <c r="AF600" t="n">
        <v>17</v>
      </c>
      <c r="AG600" t="n">
        <v>42</v>
      </c>
      <c r="AH600" t="n">
        <v>4</v>
      </c>
      <c r="AI600" t="n">
        <v>14</v>
      </c>
      <c r="AJ600" t="n">
        <v>4</v>
      </c>
      <c r="AK600" t="n">
        <v>7</v>
      </c>
      <c r="AL600" t="n">
        <v>6</v>
      </c>
      <c r="AM600" t="n">
        <v>15</v>
      </c>
      <c r="AN600" t="n">
        <v>1</v>
      </c>
      <c r="AO600" t="n">
        <v>5</v>
      </c>
      <c r="AP600" t="n">
        <v>3</v>
      </c>
      <c r="AQ600" t="n">
        <v>8</v>
      </c>
      <c r="AR600" t="inlineStr">
        <is>
          <t>No</t>
        </is>
      </c>
      <c r="AS600" t="inlineStr">
        <is>
          <t>Yes</t>
        </is>
      </c>
      <c r="AT600">
        <f>HYPERLINK("http://catalog.hathitrust.org/Record/003094623","HathiTrust Record")</f>
        <v/>
      </c>
      <c r="AU600">
        <f>HYPERLINK("https://creighton-primo.hosted.exlibrisgroup.com/primo-explore/search?tab=default_tab&amp;search_scope=EVERYTHING&amp;vid=01CRU&amp;lang=en_US&amp;offset=0&amp;query=any,contains,991001049169702656","Catalog Record")</f>
        <v/>
      </c>
      <c r="AV600">
        <f>HYPERLINK("http://www.worldcat.org/oclc/34604216","WorldCat Record")</f>
        <v/>
      </c>
      <c r="AW600" t="inlineStr">
        <is>
          <t>872481:eng</t>
        </is>
      </c>
      <c r="AX600" t="inlineStr">
        <is>
          <t>34604216</t>
        </is>
      </c>
      <c r="AY600" t="inlineStr">
        <is>
          <t>991001049169702656</t>
        </is>
      </c>
      <c r="AZ600" t="inlineStr">
        <is>
          <t>991001049169702656</t>
        </is>
      </c>
      <c r="BA600" t="inlineStr">
        <is>
          <t>2271228170002656</t>
        </is>
      </c>
      <c r="BB600" t="inlineStr">
        <is>
          <t>BOOK</t>
        </is>
      </c>
      <c r="BD600" t="inlineStr">
        <is>
          <t>9780838556474</t>
        </is>
      </c>
      <c r="BE600" t="inlineStr">
        <is>
          <t>30001003585785</t>
        </is>
      </c>
      <c r="BF600" t="inlineStr">
        <is>
          <t>893148829</t>
        </is>
      </c>
    </row>
    <row r="601">
      <c r="A601" t="inlineStr">
        <is>
          <t>No</t>
        </is>
      </c>
      <c r="B601" t="inlineStr">
        <is>
          <t>CUHSL</t>
        </is>
      </c>
      <c r="C601" t="inlineStr">
        <is>
          <t>SHELVES</t>
        </is>
      </c>
      <c r="D601" t="inlineStr">
        <is>
          <t>WY33 AA1 H399 2004</t>
        </is>
      </c>
      <c r="E601" t="inlineStr">
        <is>
          <t>0                      WY 0033000AA 1                  H  399         2004</t>
        </is>
      </c>
      <c r="F601" t="inlineStr">
        <is>
          <t>Health policy and politics : a nurse's guide / [edited by] Jeri A. Milstead.</t>
        </is>
      </c>
      <c r="H601" t="inlineStr">
        <is>
          <t>No</t>
        </is>
      </c>
      <c r="I601" t="inlineStr">
        <is>
          <t>1</t>
        </is>
      </c>
      <c r="J601" t="inlineStr">
        <is>
          <t>No</t>
        </is>
      </c>
      <c r="K601" t="inlineStr">
        <is>
          <t>Yes</t>
        </is>
      </c>
      <c r="L601" t="inlineStr">
        <is>
          <t>0</t>
        </is>
      </c>
      <c r="N601" t="inlineStr">
        <is>
          <t>Sudbury, Mass. : Jones and Bartlett, c2004.</t>
        </is>
      </c>
      <c r="O601" t="inlineStr">
        <is>
          <t>2004</t>
        </is>
      </c>
      <c r="P601" t="inlineStr">
        <is>
          <t>2nd ed.</t>
        </is>
      </c>
      <c r="Q601" t="inlineStr">
        <is>
          <t>eng</t>
        </is>
      </c>
      <c r="R601" t="inlineStr">
        <is>
          <t>mau</t>
        </is>
      </c>
      <c r="T601" t="inlineStr">
        <is>
          <t xml:space="preserve">WY </t>
        </is>
      </c>
      <c r="U601" t="n">
        <v>0</v>
      </c>
      <c r="V601" t="n">
        <v>0</v>
      </c>
      <c r="W601" t="inlineStr">
        <is>
          <t>2004-03-10</t>
        </is>
      </c>
      <c r="X601" t="inlineStr">
        <is>
          <t>2004-03-10</t>
        </is>
      </c>
      <c r="Y601" t="inlineStr">
        <is>
          <t>2004-02-24</t>
        </is>
      </c>
      <c r="Z601" t="inlineStr">
        <is>
          <t>2004-02-24</t>
        </is>
      </c>
      <c r="AA601" t="n">
        <v>290</v>
      </c>
      <c r="AB601" t="n">
        <v>260</v>
      </c>
      <c r="AC601" t="n">
        <v>807</v>
      </c>
      <c r="AD601" t="n">
        <v>1</v>
      </c>
      <c r="AE601" t="n">
        <v>4</v>
      </c>
      <c r="AF601" t="n">
        <v>10</v>
      </c>
      <c r="AG601" t="n">
        <v>33</v>
      </c>
      <c r="AH601" t="n">
        <v>4</v>
      </c>
      <c r="AI601" t="n">
        <v>14</v>
      </c>
      <c r="AJ601" t="n">
        <v>3</v>
      </c>
      <c r="AK601" t="n">
        <v>8</v>
      </c>
      <c r="AL601" t="n">
        <v>5</v>
      </c>
      <c r="AM601" t="n">
        <v>14</v>
      </c>
      <c r="AN601" t="n">
        <v>0</v>
      </c>
      <c r="AO601" t="n">
        <v>3</v>
      </c>
      <c r="AP601" t="n">
        <v>0</v>
      </c>
      <c r="AQ601" t="n">
        <v>1</v>
      </c>
      <c r="AR601" t="inlineStr">
        <is>
          <t>No</t>
        </is>
      </c>
      <c r="AS601" t="inlineStr">
        <is>
          <t>Yes</t>
        </is>
      </c>
      <c r="AT601">
        <f>HYPERLINK("http://catalog.hathitrust.org/Record/004373534","HathiTrust Record")</f>
        <v/>
      </c>
      <c r="AU601">
        <f>HYPERLINK("https://creighton-primo.hosted.exlibrisgroup.com/primo-explore/search?tab=default_tab&amp;search_scope=EVERYTHING&amp;vid=01CRU&amp;lang=en_US&amp;offset=0&amp;query=any,contains,991000366559702656","Catalog Record")</f>
        <v/>
      </c>
      <c r="AV601">
        <f>HYPERLINK("http://www.worldcat.org/oclc/53138565","WorldCat Record")</f>
        <v/>
      </c>
      <c r="AW601" t="inlineStr">
        <is>
          <t>903473825:eng</t>
        </is>
      </c>
      <c r="AX601" t="inlineStr">
        <is>
          <t>53138565</t>
        </is>
      </c>
      <c r="AY601" t="inlineStr">
        <is>
          <t>991000366559702656</t>
        </is>
      </c>
      <c r="AZ601" t="inlineStr">
        <is>
          <t>991000366559702656</t>
        </is>
      </c>
      <c r="BA601" t="inlineStr">
        <is>
          <t>2266279430002656</t>
        </is>
      </c>
      <c r="BB601" t="inlineStr">
        <is>
          <t>BOOK</t>
        </is>
      </c>
      <c r="BD601" t="inlineStr">
        <is>
          <t>9780763731588</t>
        </is>
      </c>
      <c r="BE601" t="inlineStr">
        <is>
          <t>30001004509586</t>
        </is>
      </c>
      <c r="BF601" t="inlineStr">
        <is>
          <t>893285524</t>
        </is>
      </c>
    </row>
    <row r="602">
      <c r="A602" t="inlineStr">
        <is>
          <t>No</t>
        </is>
      </c>
      <c r="B602" t="inlineStr">
        <is>
          <t>CUHSL</t>
        </is>
      </c>
      <c r="C602" t="inlineStr">
        <is>
          <t>SHELVES</t>
        </is>
      </c>
      <c r="D602" t="inlineStr">
        <is>
          <t>WY 33 AA1 L113e 1986</t>
        </is>
      </c>
      <c r="E602" t="inlineStr">
        <is>
          <t>0                      WY 0033000AA 1                  L  113e        1986</t>
        </is>
      </c>
      <c r="F602" t="inlineStr">
        <is>
          <t>Enforcement of the nursing practice act / Clare LaBar.</t>
        </is>
      </c>
      <c r="H602" t="inlineStr">
        <is>
          <t>No</t>
        </is>
      </c>
      <c r="I602" t="inlineStr">
        <is>
          <t>1</t>
        </is>
      </c>
      <c r="J602" t="inlineStr">
        <is>
          <t>No</t>
        </is>
      </c>
      <c r="K602" t="inlineStr">
        <is>
          <t>No</t>
        </is>
      </c>
      <c r="L602" t="inlineStr">
        <is>
          <t>0</t>
        </is>
      </c>
      <c r="M602" t="inlineStr">
        <is>
          <t>LaBar, Clare.</t>
        </is>
      </c>
      <c r="N602" t="inlineStr">
        <is>
          <t>Kansas City, Mo. (2420 Pershing Rd., Kansas City 64108) : American Nurses' Association, c1986.</t>
        </is>
      </c>
      <c r="O602" t="inlineStr">
        <is>
          <t>1986</t>
        </is>
      </c>
      <c r="Q602" t="inlineStr">
        <is>
          <t>eng</t>
        </is>
      </c>
      <c r="R602" t="inlineStr">
        <is>
          <t>xxu</t>
        </is>
      </c>
      <c r="S602" t="inlineStr">
        <is>
          <t>ANA pub ; no. D-89</t>
        </is>
      </c>
      <c r="T602" t="inlineStr">
        <is>
          <t xml:space="preserve">WY </t>
        </is>
      </c>
      <c r="U602" t="n">
        <v>2</v>
      </c>
      <c r="V602" t="n">
        <v>2</v>
      </c>
      <c r="W602" t="inlineStr">
        <is>
          <t>1991-04-07</t>
        </is>
      </c>
      <c r="X602" t="inlineStr">
        <is>
          <t>1991-04-07</t>
        </is>
      </c>
      <c r="Y602" t="inlineStr">
        <is>
          <t>1987-12-02</t>
        </is>
      </c>
      <c r="Z602" t="inlineStr">
        <is>
          <t>1987-12-02</t>
        </is>
      </c>
      <c r="AA602" t="n">
        <v>84</v>
      </c>
      <c r="AB602" t="n">
        <v>82</v>
      </c>
      <c r="AC602" t="n">
        <v>93</v>
      </c>
      <c r="AD602" t="n">
        <v>1</v>
      </c>
      <c r="AE602" t="n">
        <v>1</v>
      </c>
      <c r="AF602" t="n">
        <v>3</v>
      </c>
      <c r="AG602" t="n">
        <v>3</v>
      </c>
      <c r="AH602" t="n">
        <v>0</v>
      </c>
      <c r="AI602" t="n">
        <v>0</v>
      </c>
      <c r="AJ602" t="n">
        <v>0</v>
      </c>
      <c r="AK602" t="n">
        <v>0</v>
      </c>
      <c r="AL602" t="n">
        <v>2</v>
      </c>
      <c r="AM602" t="n">
        <v>2</v>
      </c>
      <c r="AN602" t="n">
        <v>0</v>
      </c>
      <c r="AO602" t="n">
        <v>0</v>
      </c>
      <c r="AP602" t="n">
        <v>1</v>
      </c>
      <c r="AQ602" t="n">
        <v>1</v>
      </c>
      <c r="AR602" t="inlineStr">
        <is>
          <t>No</t>
        </is>
      </c>
      <c r="AS602" t="inlineStr">
        <is>
          <t>Yes</t>
        </is>
      </c>
      <c r="AT602">
        <f>HYPERLINK("http://catalog.hathitrust.org/Record/000597226","HathiTrust Record")</f>
        <v/>
      </c>
      <c r="AU602">
        <f>HYPERLINK("https://creighton-primo.hosted.exlibrisgroup.com/primo-explore/search?tab=default_tab&amp;search_scope=EVERYTHING&amp;vid=01CRU&amp;lang=en_US&amp;offset=0&amp;query=any,contains,991001521409702656","Catalog Record")</f>
        <v/>
      </c>
      <c r="AV602">
        <f>HYPERLINK("http://www.worldcat.org/oclc/14817171","WorldCat Record")</f>
        <v/>
      </c>
      <c r="AW602" t="inlineStr">
        <is>
          <t>8490961:eng</t>
        </is>
      </c>
      <c r="AX602" t="inlineStr">
        <is>
          <t>14817171</t>
        </is>
      </c>
      <c r="AY602" t="inlineStr">
        <is>
          <t>991001521409702656</t>
        </is>
      </c>
      <c r="AZ602" t="inlineStr">
        <is>
          <t>991001521409702656</t>
        </is>
      </c>
      <c r="BA602" t="inlineStr">
        <is>
          <t>2259445930002656</t>
        </is>
      </c>
      <c r="BB602" t="inlineStr">
        <is>
          <t>BOOK</t>
        </is>
      </c>
      <c r="BE602" t="inlineStr">
        <is>
          <t>30001000602807</t>
        </is>
      </c>
      <c r="BF602" t="inlineStr">
        <is>
          <t>893826834</t>
        </is>
      </c>
    </row>
    <row r="603">
      <c r="A603" t="inlineStr">
        <is>
          <t>No</t>
        </is>
      </c>
      <c r="B603" t="inlineStr">
        <is>
          <t>CUHSL</t>
        </is>
      </c>
      <c r="C603" t="inlineStr">
        <is>
          <t>SHELVES</t>
        </is>
      </c>
      <c r="D603" t="inlineStr">
        <is>
          <t>WY 33 AA1 M9L 1982</t>
        </is>
      </c>
      <c r="E603" t="inlineStr">
        <is>
          <t>0                      WY 0033000AA 1                  M  9L          1982</t>
        </is>
      </c>
      <c r="F603" t="inlineStr">
        <is>
          <t>Legal accountability in the nursing process / Irene Murchison, Thomas S. Nichols, Rachel Hanson.</t>
        </is>
      </c>
      <c r="H603" t="inlineStr">
        <is>
          <t>No</t>
        </is>
      </c>
      <c r="I603" t="inlineStr">
        <is>
          <t>1</t>
        </is>
      </c>
      <c r="J603" t="inlineStr">
        <is>
          <t>No</t>
        </is>
      </c>
      <c r="K603" t="inlineStr">
        <is>
          <t>No</t>
        </is>
      </c>
      <c r="L603" t="inlineStr">
        <is>
          <t>0</t>
        </is>
      </c>
      <c r="M603" t="inlineStr">
        <is>
          <t>Murchison, Irene A.</t>
        </is>
      </c>
      <c r="N603" t="inlineStr">
        <is>
          <t>St. Louis : Mosby, c1982.</t>
        </is>
      </c>
      <c r="O603" t="inlineStr">
        <is>
          <t>1982</t>
        </is>
      </c>
      <c r="P603" t="inlineStr">
        <is>
          <t>2nd ed.</t>
        </is>
      </c>
      <c r="Q603" t="inlineStr">
        <is>
          <t>eng</t>
        </is>
      </c>
      <c r="R603" t="inlineStr">
        <is>
          <t>mou</t>
        </is>
      </c>
      <c r="T603" t="inlineStr">
        <is>
          <t xml:space="preserve">WY </t>
        </is>
      </c>
      <c r="U603" t="n">
        <v>1</v>
      </c>
      <c r="V603" t="n">
        <v>1</v>
      </c>
      <c r="W603" t="inlineStr">
        <is>
          <t>1991-02-01</t>
        </is>
      </c>
      <c r="X603" t="inlineStr">
        <is>
          <t>1991-02-01</t>
        </is>
      </c>
      <c r="Y603" t="inlineStr">
        <is>
          <t>1991-02-01</t>
        </is>
      </c>
      <c r="Z603" t="inlineStr">
        <is>
          <t>1991-02-01</t>
        </is>
      </c>
      <c r="AA603" t="n">
        <v>383</v>
      </c>
      <c r="AB603" t="n">
        <v>334</v>
      </c>
      <c r="AC603" t="n">
        <v>524</v>
      </c>
      <c r="AD603" t="n">
        <v>1</v>
      </c>
      <c r="AE603" t="n">
        <v>1</v>
      </c>
      <c r="AF603" t="n">
        <v>19</v>
      </c>
      <c r="AG603" t="n">
        <v>23</v>
      </c>
      <c r="AH603" t="n">
        <v>8</v>
      </c>
      <c r="AI603" t="n">
        <v>9</v>
      </c>
      <c r="AJ603" t="n">
        <v>2</v>
      </c>
      <c r="AK603" t="n">
        <v>2</v>
      </c>
      <c r="AL603" t="n">
        <v>9</v>
      </c>
      <c r="AM603" t="n">
        <v>10</v>
      </c>
      <c r="AN603" t="n">
        <v>1</v>
      </c>
      <c r="AO603" t="n">
        <v>1</v>
      </c>
      <c r="AP603" t="n">
        <v>3</v>
      </c>
      <c r="AQ603" t="n">
        <v>5</v>
      </c>
      <c r="AR603" t="inlineStr">
        <is>
          <t>No</t>
        </is>
      </c>
      <c r="AS603" t="inlineStr">
        <is>
          <t>Yes</t>
        </is>
      </c>
      <c r="AT603">
        <f>HYPERLINK("http://catalog.hathitrust.org/Record/000188764","HathiTrust Record")</f>
        <v/>
      </c>
      <c r="AU603">
        <f>HYPERLINK("https://creighton-primo.hosted.exlibrisgroup.com/primo-explore/search?tab=default_tab&amp;search_scope=EVERYTHING&amp;vid=01CRU&amp;lang=en_US&amp;offset=0&amp;query=any,contains,991000817209702656","Catalog Record")</f>
        <v/>
      </c>
      <c r="AV603">
        <f>HYPERLINK("http://www.worldcat.org/oclc/7923808","WorldCat Record")</f>
        <v/>
      </c>
      <c r="AW603" t="inlineStr">
        <is>
          <t>451262:eng</t>
        </is>
      </c>
      <c r="AX603" t="inlineStr">
        <is>
          <t>7923808</t>
        </is>
      </c>
      <c r="AY603" t="inlineStr">
        <is>
          <t>991000817209702656</t>
        </is>
      </c>
      <c r="AZ603" t="inlineStr">
        <is>
          <t>991000817209702656</t>
        </is>
      </c>
      <c r="BA603" t="inlineStr">
        <is>
          <t>2269189190002656</t>
        </is>
      </c>
      <c r="BB603" t="inlineStr">
        <is>
          <t>BOOK</t>
        </is>
      </c>
      <c r="BD603" t="inlineStr">
        <is>
          <t>9780801636042</t>
        </is>
      </c>
      <c r="BE603" t="inlineStr">
        <is>
          <t>30001002086660</t>
        </is>
      </c>
      <c r="BF603" t="inlineStr">
        <is>
          <t>893161233</t>
        </is>
      </c>
    </row>
    <row r="604">
      <c r="A604" t="inlineStr">
        <is>
          <t>No</t>
        </is>
      </c>
      <c r="B604" t="inlineStr">
        <is>
          <t>CUHSL</t>
        </is>
      </c>
      <c r="C604" t="inlineStr">
        <is>
          <t>SHELVES</t>
        </is>
      </c>
      <c r="D604" t="inlineStr">
        <is>
          <t>WY 33 AA1 N79 1996</t>
        </is>
      </c>
      <c r="E604" t="inlineStr">
        <is>
          <t>0                      WY 0033000AA 1                  N  79          1996</t>
        </is>
      </c>
      <c r="F604" t="inlineStr">
        <is>
          <t>Nurse's legal handbook.</t>
        </is>
      </c>
      <c r="H604" t="inlineStr">
        <is>
          <t>No</t>
        </is>
      </c>
      <c r="I604" t="inlineStr">
        <is>
          <t>1</t>
        </is>
      </c>
      <c r="J604" t="inlineStr">
        <is>
          <t>No</t>
        </is>
      </c>
      <c r="K604" t="inlineStr">
        <is>
          <t>Yes</t>
        </is>
      </c>
      <c r="L604" t="inlineStr">
        <is>
          <t>0</t>
        </is>
      </c>
      <c r="N604" t="inlineStr">
        <is>
          <t>Springhouse, Pa. : Springhouse Corp., c1996.</t>
        </is>
      </c>
      <c r="O604" t="inlineStr">
        <is>
          <t>1996</t>
        </is>
      </c>
      <c r="P604" t="inlineStr">
        <is>
          <t>3rd ed.</t>
        </is>
      </c>
      <c r="Q604" t="inlineStr">
        <is>
          <t>eng</t>
        </is>
      </c>
      <c r="R604" t="inlineStr">
        <is>
          <t>pau</t>
        </is>
      </c>
      <c r="T604" t="inlineStr">
        <is>
          <t xml:space="preserve">WY </t>
        </is>
      </c>
      <c r="U604" t="n">
        <v>4</v>
      </c>
      <c r="V604" t="n">
        <v>4</v>
      </c>
      <c r="W604" t="inlineStr">
        <is>
          <t>1997-06-23</t>
        </is>
      </c>
      <c r="X604" t="inlineStr">
        <is>
          <t>1997-06-23</t>
        </is>
      </c>
      <c r="Y604" t="inlineStr">
        <is>
          <t>1997-05-02</t>
        </is>
      </c>
      <c r="Z604" t="inlineStr">
        <is>
          <t>1997-05-02</t>
        </is>
      </c>
      <c r="AA604" t="n">
        <v>223</v>
      </c>
      <c r="AB604" t="n">
        <v>213</v>
      </c>
      <c r="AC604" t="n">
        <v>808</v>
      </c>
      <c r="AD604" t="n">
        <v>1</v>
      </c>
      <c r="AE604" t="n">
        <v>1</v>
      </c>
      <c r="AF604" t="n">
        <v>8</v>
      </c>
      <c r="AG604" t="n">
        <v>27</v>
      </c>
      <c r="AH604" t="n">
        <v>2</v>
      </c>
      <c r="AI604" t="n">
        <v>9</v>
      </c>
      <c r="AJ604" t="n">
        <v>1</v>
      </c>
      <c r="AK604" t="n">
        <v>6</v>
      </c>
      <c r="AL604" t="n">
        <v>4</v>
      </c>
      <c r="AM604" t="n">
        <v>11</v>
      </c>
      <c r="AN604" t="n">
        <v>0</v>
      </c>
      <c r="AO604" t="n">
        <v>0</v>
      </c>
      <c r="AP604" t="n">
        <v>1</v>
      </c>
      <c r="AQ604" t="n">
        <v>5</v>
      </c>
      <c r="AR604" t="inlineStr">
        <is>
          <t>No</t>
        </is>
      </c>
      <c r="AS604" t="inlineStr">
        <is>
          <t>Yes</t>
        </is>
      </c>
      <c r="AT604">
        <f>HYPERLINK("http://catalog.hathitrust.org/Record/003069815","HathiTrust Record")</f>
        <v/>
      </c>
      <c r="AU604">
        <f>HYPERLINK("https://creighton-primo.hosted.exlibrisgroup.com/primo-explore/search?tab=default_tab&amp;search_scope=EVERYTHING&amp;vid=01CRU&amp;lang=en_US&amp;offset=0&amp;query=any,contains,991001058219702656","Catalog Record")</f>
        <v/>
      </c>
      <c r="AV604">
        <f>HYPERLINK("http://www.worldcat.org/oclc/35293047","WorldCat Record")</f>
        <v/>
      </c>
      <c r="AW604" t="inlineStr">
        <is>
          <t>502583264:eng</t>
        </is>
      </c>
      <c r="AX604" t="inlineStr">
        <is>
          <t>35293047</t>
        </is>
      </c>
      <c r="AY604" t="inlineStr">
        <is>
          <t>991001058219702656</t>
        </is>
      </c>
      <c r="AZ604" t="inlineStr">
        <is>
          <t>991001058219702656</t>
        </is>
      </c>
      <c r="BA604" t="inlineStr">
        <is>
          <t>2271023010002656</t>
        </is>
      </c>
      <c r="BB604" t="inlineStr">
        <is>
          <t>BOOK</t>
        </is>
      </c>
      <c r="BD604" t="inlineStr">
        <is>
          <t>9780874348491</t>
        </is>
      </c>
      <c r="BE604" t="inlineStr">
        <is>
          <t>30001003588672</t>
        </is>
      </c>
      <c r="BF604" t="inlineStr">
        <is>
          <t>893560849</t>
        </is>
      </c>
    </row>
    <row r="605">
      <c r="A605" t="inlineStr">
        <is>
          <t>No</t>
        </is>
      </c>
      <c r="B605" t="inlineStr">
        <is>
          <t>CUHSL</t>
        </is>
      </c>
      <c r="C605" t="inlineStr">
        <is>
          <t>SHELVES</t>
        </is>
      </c>
      <c r="D605" t="inlineStr">
        <is>
          <t>WY 33 AA1 N79 1999</t>
        </is>
      </c>
      <c r="E605" t="inlineStr">
        <is>
          <t>0                      WY 0033000AA 1                  N  79          1999</t>
        </is>
      </c>
      <c r="F605" t="inlineStr">
        <is>
          <t>Nurse's legal handbook.</t>
        </is>
      </c>
      <c r="H605" t="inlineStr">
        <is>
          <t>No</t>
        </is>
      </c>
      <c r="I605" t="inlineStr">
        <is>
          <t>1</t>
        </is>
      </c>
      <c r="J605" t="inlineStr">
        <is>
          <t>No</t>
        </is>
      </c>
      <c r="K605" t="inlineStr">
        <is>
          <t>Yes</t>
        </is>
      </c>
      <c r="L605" t="inlineStr">
        <is>
          <t>0</t>
        </is>
      </c>
      <c r="N605" t="inlineStr">
        <is>
          <t>Springhouse, Pa. : Springhouse Corp., c1999.</t>
        </is>
      </c>
      <c r="O605" t="inlineStr">
        <is>
          <t>1999</t>
        </is>
      </c>
      <c r="P605" t="inlineStr">
        <is>
          <t>4th ed.</t>
        </is>
      </c>
      <c r="Q605" t="inlineStr">
        <is>
          <t>eng</t>
        </is>
      </c>
      <c r="R605" t="inlineStr">
        <is>
          <t>pau</t>
        </is>
      </c>
      <c r="T605" t="inlineStr">
        <is>
          <t xml:space="preserve">WY </t>
        </is>
      </c>
      <c r="U605" t="n">
        <v>4</v>
      </c>
      <c r="V605" t="n">
        <v>4</v>
      </c>
      <c r="W605" t="inlineStr">
        <is>
          <t>2000-04-01</t>
        </is>
      </c>
      <c r="X605" t="inlineStr">
        <is>
          <t>2000-04-01</t>
        </is>
      </c>
      <c r="Y605" t="inlineStr">
        <is>
          <t>2000-03-27</t>
        </is>
      </c>
      <c r="Z605" t="inlineStr">
        <is>
          <t>2000-03-27</t>
        </is>
      </c>
      <c r="AA605" t="n">
        <v>318</v>
      </c>
      <c r="AB605" t="n">
        <v>287</v>
      </c>
      <c r="AC605" t="n">
        <v>808</v>
      </c>
      <c r="AD605" t="n">
        <v>1</v>
      </c>
      <c r="AE605" t="n">
        <v>1</v>
      </c>
      <c r="AF605" t="n">
        <v>6</v>
      </c>
      <c r="AG605" t="n">
        <v>27</v>
      </c>
      <c r="AH605" t="n">
        <v>3</v>
      </c>
      <c r="AI605" t="n">
        <v>9</v>
      </c>
      <c r="AJ605" t="n">
        <v>1</v>
      </c>
      <c r="AK605" t="n">
        <v>6</v>
      </c>
      <c r="AL605" t="n">
        <v>3</v>
      </c>
      <c r="AM605" t="n">
        <v>11</v>
      </c>
      <c r="AN605" t="n">
        <v>0</v>
      </c>
      <c r="AO605" t="n">
        <v>0</v>
      </c>
      <c r="AP605" t="n">
        <v>1</v>
      </c>
      <c r="AQ605" t="n">
        <v>5</v>
      </c>
      <c r="AR605" t="inlineStr">
        <is>
          <t>No</t>
        </is>
      </c>
      <c r="AS605" t="inlineStr">
        <is>
          <t>Yes</t>
        </is>
      </c>
      <c r="AT605">
        <f>HYPERLINK("http://catalog.hathitrust.org/Record/004090950","HathiTrust Record")</f>
        <v/>
      </c>
      <c r="AU605">
        <f>HYPERLINK("https://creighton-primo.hosted.exlibrisgroup.com/primo-explore/search?tab=default_tab&amp;search_scope=EVERYTHING&amp;vid=01CRU&amp;lang=en_US&amp;offset=0&amp;query=any,contains,991001800229702656","Catalog Record")</f>
        <v/>
      </c>
      <c r="AV605">
        <f>HYPERLINK("http://www.worldcat.org/oclc/42643691","WorldCat Record")</f>
        <v/>
      </c>
      <c r="AW605" t="inlineStr">
        <is>
          <t>502583264:eng</t>
        </is>
      </c>
      <c r="AX605" t="inlineStr">
        <is>
          <t>42643691</t>
        </is>
      </c>
      <c r="AY605" t="inlineStr">
        <is>
          <t>991001800229702656</t>
        </is>
      </c>
      <c r="AZ605" t="inlineStr">
        <is>
          <t>991001800229702656</t>
        </is>
      </c>
      <c r="BA605" t="inlineStr">
        <is>
          <t>2257504070002656</t>
        </is>
      </c>
      <c r="BB605" t="inlineStr">
        <is>
          <t>BOOK</t>
        </is>
      </c>
      <c r="BD605" t="inlineStr">
        <is>
          <t>9780874349917</t>
        </is>
      </c>
      <c r="BE605" t="inlineStr">
        <is>
          <t>30001003883396</t>
        </is>
      </c>
      <c r="BF605" t="inlineStr">
        <is>
          <t>893461162</t>
        </is>
      </c>
    </row>
    <row r="606">
      <c r="A606" t="inlineStr">
        <is>
          <t>No</t>
        </is>
      </c>
      <c r="B606" t="inlineStr">
        <is>
          <t>CUHSL</t>
        </is>
      </c>
      <c r="C606" t="inlineStr">
        <is>
          <t>SHELVES</t>
        </is>
      </c>
      <c r="D606" t="inlineStr">
        <is>
          <t>WY 33 AA1 N79 2004</t>
        </is>
      </c>
      <c r="E606" t="inlineStr">
        <is>
          <t>0                      WY 0033000AA 1                  N  79          2004</t>
        </is>
      </c>
      <c r="F606" t="inlineStr">
        <is>
          <t>Nurse's legal handbook.</t>
        </is>
      </c>
      <c r="H606" t="inlineStr">
        <is>
          <t>No</t>
        </is>
      </c>
      <c r="I606" t="inlineStr">
        <is>
          <t>1</t>
        </is>
      </c>
      <c r="J606" t="inlineStr">
        <is>
          <t>No</t>
        </is>
      </c>
      <c r="K606" t="inlineStr">
        <is>
          <t>Yes</t>
        </is>
      </c>
      <c r="L606" t="inlineStr">
        <is>
          <t>0</t>
        </is>
      </c>
      <c r="N606" t="inlineStr">
        <is>
          <t>Philadelphia, PA : Lippincott Williams &amp; Wilkins, c2004.</t>
        </is>
      </c>
      <c r="O606" t="inlineStr">
        <is>
          <t>2004</t>
        </is>
      </c>
      <c r="P606" t="inlineStr">
        <is>
          <t>5th ed.</t>
        </is>
      </c>
      <c r="Q606" t="inlineStr">
        <is>
          <t>eng</t>
        </is>
      </c>
      <c r="R606" t="inlineStr">
        <is>
          <t>pau</t>
        </is>
      </c>
      <c r="T606" t="inlineStr">
        <is>
          <t xml:space="preserve">WY </t>
        </is>
      </c>
      <c r="U606" t="n">
        <v>0</v>
      </c>
      <c r="V606" t="n">
        <v>0</v>
      </c>
      <c r="W606" t="inlineStr">
        <is>
          <t>2004-09-02</t>
        </is>
      </c>
      <c r="X606" t="inlineStr">
        <is>
          <t>2004-09-02</t>
        </is>
      </c>
      <c r="Y606" t="inlineStr">
        <is>
          <t>2004-09-02</t>
        </is>
      </c>
      <c r="Z606" t="inlineStr">
        <is>
          <t>2004-09-02</t>
        </is>
      </c>
      <c r="AA606" t="n">
        <v>437</v>
      </c>
      <c r="AB606" t="n">
        <v>410</v>
      </c>
      <c r="AC606" t="n">
        <v>808</v>
      </c>
      <c r="AD606" t="n">
        <v>1</v>
      </c>
      <c r="AE606" t="n">
        <v>1</v>
      </c>
      <c r="AF606" t="n">
        <v>15</v>
      </c>
      <c r="AG606" t="n">
        <v>27</v>
      </c>
      <c r="AH606" t="n">
        <v>5</v>
      </c>
      <c r="AI606" t="n">
        <v>9</v>
      </c>
      <c r="AJ606" t="n">
        <v>3</v>
      </c>
      <c r="AK606" t="n">
        <v>6</v>
      </c>
      <c r="AL606" t="n">
        <v>7</v>
      </c>
      <c r="AM606" t="n">
        <v>11</v>
      </c>
      <c r="AN606" t="n">
        <v>0</v>
      </c>
      <c r="AO606" t="n">
        <v>0</v>
      </c>
      <c r="AP606" t="n">
        <v>2</v>
      </c>
      <c r="AQ606" t="n">
        <v>5</v>
      </c>
      <c r="AR606" t="inlineStr">
        <is>
          <t>No</t>
        </is>
      </c>
      <c r="AS606" t="inlineStr">
        <is>
          <t>No</t>
        </is>
      </c>
      <c r="AU606">
        <f>HYPERLINK("https://creighton-primo.hosted.exlibrisgroup.com/primo-explore/search?tab=default_tab&amp;search_scope=EVERYTHING&amp;vid=01CRU&amp;lang=en_US&amp;offset=0&amp;query=any,contains,991001729709702656","Catalog Record")</f>
        <v/>
      </c>
      <c r="AV606">
        <f>HYPERLINK("http://www.worldcat.org/oclc/53224847","WorldCat Record")</f>
        <v/>
      </c>
      <c r="AW606" t="inlineStr">
        <is>
          <t>502583264:eng</t>
        </is>
      </c>
      <c r="AX606" t="inlineStr">
        <is>
          <t>53224847</t>
        </is>
      </c>
      <c r="AY606" t="inlineStr">
        <is>
          <t>991001729709702656</t>
        </is>
      </c>
      <c r="AZ606" t="inlineStr">
        <is>
          <t>991001729709702656</t>
        </is>
      </c>
      <c r="BA606" t="inlineStr">
        <is>
          <t>2263204050002656</t>
        </is>
      </c>
      <c r="BB606" t="inlineStr">
        <is>
          <t>BOOK</t>
        </is>
      </c>
      <c r="BD606" t="inlineStr">
        <is>
          <t>9781582552804</t>
        </is>
      </c>
      <c r="BE606" t="inlineStr">
        <is>
          <t>30001004840577</t>
        </is>
      </c>
      <c r="BF606" t="inlineStr">
        <is>
          <t>893364509</t>
        </is>
      </c>
    </row>
    <row r="607">
      <c r="A607" t="inlineStr">
        <is>
          <t>No</t>
        </is>
      </c>
      <c r="B607" t="inlineStr">
        <is>
          <t>CUHSL</t>
        </is>
      </c>
      <c r="C607" t="inlineStr">
        <is>
          <t>SHELVES</t>
        </is>
      </c>
      <c r="D607" t="inlineStr">
        <is>
          <t>WY 33 AA1 R6L 1982</t>
        </is>
      </c>
      <c r="E607" t="inlineStr">
        <is>
          <t>0                      WY 0033000AA 1                  R  6L          1982</t>
        </is>
      </c>
      <c r="F607" t="inlineStr">
        <is>
          <t>The legal dimensions of nursing practice / LaVerne R. Rocereto, Cynthia M. Maleski.</t>
        </is>
      </c>
      <c r="H607" t="inlineStr">
        <is>
          <t>No</t>
        </is>
      </c>
      <c r="I607" t="inlineStr">
        <is>
          <t>1</t>
        </is>
      </c>
      <c r="J607" t="inlineStr">
        <is>
          <t>No</t>
        </is>
      </c>
      <c r="K607" t="inlineStr">
        <is>
          <t>No</t>
        </is>
      </c>
      <c r="L607" t="inlineStr">
        <is>
          <t>0</t>
        </is>
      </c>
      <c r="M607" t="inlineStr">
        <is>
          <t>Rocereto, LaVerne R. (LaVerne Rodgers)</t>
        </is>
      </c>
      <c r="N607" t="inlineStr">
        <is>
          <t>New York : Springer Pub. Co., c1982.</t>
        </is>
      </c>
      <c r="O607" t="inlineStr">
        <is>
          <t>1982</t>
        </is>
      </c>
      <c r="Q607" t="inlineStr">
        <is>
          <t>eng</t>
        </is>
      </c>
      <c r="R607" t="inlineStr">
        <is>
          <t>xxu</t>
        </is>
      </c>
      <c r="T607" t="inlineStr">
        <is>
          <t xml:space="preserve">WY </t>
        </is>
      </c>
      <c r="U607" t="n">
        <v>2</v>
      </c>
      <c r="V607" t="n">
        <v>2</v>
      </c>
      <c r="W607" t="inlineStr">
        <is>
          <t>1990-10-27</t>
        </is>
      </c>
      <c r="X607" t="inlineStr">
        <is>
          <t>1990-10-27</t>
        </is>
      </c>
      <c r="Y607" t="inlineStr">
        <is>
          <t>1989-07-13</t>
        </is>
      </c>
      <c r="Z607" t="inlineStr">
        <is>
          <t>1989-07-13</t>
        </is>
      </c>
      <c r="AA607" t="n">
        <v>263</v>
      </c>
      <c r="AB607" t="n">
        <v>238</v>
      </c>
      <c r="AC607" t="n">
        <v>240</v>
      </c>
      <c r="AD607" t="n">
        <v>2</v>
      </c>
      <c r="AE607" t="n">
        <v>2</v>
      </c>
      <c r="AF607" t="n">
        <v>13</v>
      </c>
      <c r="AG607" t="n">
        <v>13</v>
      </c>
      <c r="AH607" t="n">
        <v>4</v>
      </c>
      <c r="AI607" t="n">
        <v>4</v>
      </c>
      <c r="AJ607" t="n">
        <v>1</v>
      </c>
      <c r="AK607" t="n">
        <v>1</v>
      </c>
      <c r="AL607" t="n">
        <v>4</v>
      </c>
      <c r="AM607" t="n">
        <v>4</v>
      </c>
      <c r="AN607" t="n">
        <v>1</v>
      </c>
      <c r="AO607" t="n">
        <v>1</v>
      </c>
      <c r="AP607" t="n">
        <v>5</v>
      </c>
      <c r="AQ607" t="n">
        <v>5</v>
      </c>
      <c r="AR607" t="inlineStr">
        <is>
          <t>No</t>
        </is>
      </c>
      <c r="AS607" t="inlineStr">
        <is>
          <t>Yes</t>
        </is>
      </c>
      <c r="AT607">
        <f>HYPERLINK("http://catalog.hathitrust.org/Record/000108381","HathiTrust Record")</f>
        <v/>
      </c>
      <c r="AU607">
        <f>HYPERLINK("https://creighton-primo.hosted.exlibrisgroup.com/primo-explore/search?tab=default_tab&amp;search_scope=EVERYTHING&amp;vid=01CRU&amp;lang=en_US&amp;offset=0&amp;query=any,contains,991000931039702656","Catalog Record")</f>
        <v/>
      </c>
      <c r="AV607">
        <f>HYPERLINK("http://www.worldcat.org/oclc/8114420","WorldCat Record")</f>
        <v/>
      </c>
      <c r="AW607" t="inlineStr">
        <is>
          <t>30869624:eng</t>
        </is>
      </c>
      <c r="AX607" t="inlineStr">
        <is>
          <t>8114420</t>
        </is>
      </c>
      <c r="AY607" t="inlineStr">
        <is>
          <t>991000931039702656</t>
        </is>
      </c>
      <c r="AZ607" t="inlineStr">
        <is>
          <t>991000931039702656</t>
        </is>
      </c>
      <c r="BA607" t="inlineStr">
        <is>
          <t>2268967060002656</t>
        </is>
      </c>
      <c r="BB607" t="inlineStr">
        <is>
          <t>BOOK</t>
        </is>
      </c>
      <c r="BD607" t="inlineStr">
        <is>
          <t>9780826135209</t>
        </is>
      </c>
      <c r="BE607" t="inlineStr">
        <is>
          <t>30001000185225</t>
        </is>
      </c>
      <c r="BF607" t="inlineStr">
        <is>
          <t>893460142</t>
        </is>
      </c>
    </row>
    <row r="608">
      <c r="A608" t="inlineStr">
        <is>
          <t>No</t>
        </is>
      </c>
      <c r="B608" t="inlineStr">
        <is>
          <t>CUHSL</t>
        </is>
      </c>
      <c r="C608" t="inlineStr">
        <is>
          <t>SHELVES</t>
        </is>
      </c>
      <c r="D608" t="inlineStr">
        <is>
          <t>WY 33 AA1 R893c 1998</t>
        </is>
      </c>
      <c r="E608" t="inlineStr">
        <is>
          <t>0                      WY 0033000AA 1                  R  893c        1998</t>
        </is>
      </c>
      <c r="F608" t="inlineStr">
        <is>
          <t>Corporate compliance in home health : establishing a plan, managing the risks / Fay A. Rozovsky.</t>
        </is>
      </c>
      <c r="H608" t="inlineStr">
        <is>
          <t>No</t>
        </is>
      </c>
      <c r="I608" t="inlineStr">
        <is>
          <t>1</t>
        </is>
      </c>
      <c r="J608" t="inlineStr">
        <is>
          <t>No</t>
        </is>
      </c>
      <c r="K608" t="inlineStr">
        <is>
          <t>No</t>
        </is>
      </c>
      <c r="L608" t="inlineStr">
        <is>
          <t>0</t>
        </is>
      </c>
      <c r="M608" t="inlineStr">
        <is>
          <t>Rozovsky, F. A. (Fay Adrienne), 1950-</t>
        </is>
      </c>
      <c r="N608" t="inlineStr">
        <is>
          <t>Gaithersburg, Md. : Aspen Publishers, 1998.</t>
        </is>
      </c>
      <c r="O608" t="inlineStr">
        <is>
          <t>1998</t>
        </is>
      </c>
      <c r="Q608" t="inlineStr">
        <is>
          <t>eng</t>
        </is>
      </c>
      <c r="R608" t="inlineStr">
        <is>
          <t>mdu</t>
        </is>
      </c>
      <c r="T608" t="inlineStr">
        <is>
          <t xml:space="preserve">WY </t>
        </is>
      </c>
      <c r="U608" t="n">
        <v>1</v>
      </c>
      <c r="V608" t="n">
        <v>1</v>
      </c>
      <c r="W608" t="inlineStr">
        <is>
          <t>1999-09-27</t>
        </is>
      </c>
      <c r="X608" t="inlineStr">
        <is>
          <t>1999-09-27</t>
        </is>
      </c>
      <c r="Y608" t="inlineStr">
        <is>
          <t>1999-09-24</t>
        </is>
      </c>
      <c r="Z608" t="inlineStr">
        <is>
          <t>1999-09-24</t>
        </is>
      </c>
      <c r="AA608" t="n">
        <v>72</v>
      </c>
      <c r="AB608" t="n">
        <v>69</v>
      </c>
      <c r="AC608" t="n">
        <v>69</v>
      </c>
      <c r="AD608" t="n">
        <v>1</v>
      </c>
      <c r="AE608" t="n">
        <v>1</v>
      </c>
      <c r="AF608" t="n">
        <v>2</v>
      </c>
      <c r="AG608" t="n">
        <v>2</v>
      </c>
      <c r="AH608" t="n">
        <v>0</v>
      </c>
      <c r="AI608" t="n">
        <v>0</v>
      </c>
      <c r="AJ608" t="n">
        <v>0</v>
      </c>
      <c r="AK608" t="n">
        <v>0</v>
      </c>
      <c r="AL608" t="n">
        <v>0</v>
      </c>
      <c r="AM608" t="n">
        <v>0</v>
      </c>
      <c r="AN608" t="n">
        <v>0</v>
      </c>
      <c r="AO608" t="n">
        <v>0</v>
      </c>
      <c r="AP608" t="n">
        <v>2</v>
      </c>
      <c r="AQ608" t="n">
        <v>2</v>
      </c>
      <c r="AR608" t="inlineStr">
        <is>
          <t>No</t>
        </is>
      </c>
      <c r="AS608" t="inlineStr">
        <is>
          <t>No</t>
        </is>
      </c>
      <c r="AU608">
        <f>HYPERLINK("https://creighton-primo.hosted.exlibrisgroup.com/primo-explore/search?tab=default_tab&amp;search_scope=EVERYTHING&amp;vid=01CRU&amp;lang=en_US&amp;offset=0&amp;query=any,contains,991001338339702656","Catalog Record")</f>
        <v/>
      </c>
      <c r="AV608">
        <f>HYPERLINK("http://www.worldcat.org/oclc/39108789","WorldCat Record")</f>
        <v/>
      </c>
      <c r="AW608" t="inlineStr">
        <is>
          <t>24763971:eng</t>
        </is>
      </c>
      <c r="AX608" t="inlineStr">
        <is>
          <t>39108789</t>
        </is>
      </c>
      <c r="AY608" t="inlineStr">
        <is>
          <t>991001338339702656</t>
        </is>
      </c>
      <c r="AZ608" t="inlineStr">
        <is>
          <t>991001338339702656</t>
        </is>
      </c>
      <c r="BA608" t="inlineStr">
        <is>
          <t>2263759830002656</t>
        </is>
      </c>
      <c r="BB608" t="inlineStr">
        <is>
          <t>BOOK</t>
        </is>
      </c>
      <c r="BD608" t="inlineStr">
        <is>
          <t>9780834211735</t>
        </is>
      </c>
      <c r="BE608" t="inlineStr">
        <is>
          <t>30001003790914</t>
        </is>
      </c>
      <c r="BF608" t="inlineStr">
        <is>
          <t>893643503</t>
        </is>
      </c>
    </row>
    <row r="609">
      <c r="A609" t="inlineStr">
        <is>
          <t>No</t>
        </is>
      </c>
      <c r="B609" t="inlineStr">
        <is>
          <t>CUHSL</t>
        </is>
      </c>
      <c r="C609" t="inlineStr">
        <is>
          <t>SHELVES</t>
        </is>
      </c>
      <c r="D609" t="inlineStr">
        <is>
          <t>WY 33.1 M284n 1982</t>
        </is>
      </c>
      <c r="E609" t="inlineStr">
        <is>
          <t>0                      WY 0033100M  284n        1982</t>
        </is>
      </c>
      <c r="F609" t="inlineStr">
        <is>
          <t>The nurse anesthetist and the law / Mary Jeanette Mannino.</t>
        </is>
      </c>
      <c r="H609" t="inlineStr">
        <is>
          <t>No</t>
        </is>
      </c>
      <c r="I609" t="inlineStr">
        <is>
          <t>1</t>
        </is>
      </c>
      <c r="J609" t="inlineStr">
        <is>
          <t>No</t>
        </is>
      </c>
      <c r="K609" t="inlineStr">
        <is>
          <t>No</t>
        </is>
      </c>
      <c r="L609" t="inlineStr">
        <is>
          <t>0</t>
        </is>
      </c>
      <c r="M609" t="inlineStr">
        <is>
          <t>Mannino, Mary Jeanette.</t>
        </is>
      </c>
      <c r="N609" t="inlineStr">
        <is>
          <t>New York, NY : Grune &amp; Stratton, c1982.</t>
        </is>
      </c>
      <c r="O609" t="inlineStr">
        <is>
          <t>1982</t>
        </is>
      </c>
      <c r="Q609" t="inlineStr">
        <is>
          <t>eng</t>
        </is>
      </c>
      <c r="R609" t="inlineStr">
        <is>
          <t>xxu</t>
        </is>
      </c>
      <c r="T609" t="inlineStr">
        <is>
          <t xml:space="preserve">WY </t>
        </is>
      </c>
      <c r="U609" t="n">
        <v>1</v>
      </c>
      <c r="V609" t="n">
        <v>1</v>
      </c>
      <c r="W609" t="inlineStr">
        <is>
          <t>1997-08-11</t>
        </is>
      </c>
      <c r="X609" t="inlineStr">
        <is>
          <t>1997-08-11</t>
        </is>
      </c>
      <c r="Y609" t="inlineStr">
        <is>
          <t>1987-12-28</t>
        </is>
      </c>
      <c r="Z609" t="inlineStr">
        <is>
          <t>1987-12-28</t>
        </is>
      </c>
      <c r="AA609" t="n">
        <v>159</v>
      </c>
      <c r="AB609" t="n">
        <v>140</v>
      </c>
      <c r="AC609" t="n">
        <v>142</v>
      </c>
      <c r="AD609" t="n">
        <v>2</v>
      </c>
      <c r="AE609" t="n">
        <v>2</v>
      </c>
      <c r="AF609" t="n">
        <v>7</v>
      </c>
      <c r="AG609" t="n">
        <v>7</v>
      </c>
      <c r="AH609" t="n">
        <v>0</v>
      </c>
      <c r="AI609" t="n">
        <v>0</v>
      </c>
      <c r="AJ609" t="n">
        <v>0</v>
      </c>
      <c r="AK609" t="n">
        <v>0</v>
      </c>
      <c r="AL609" t="n">
        <v>0</v>
      </c>
      <c r="AM609" t="n">
        <v>0</v>
      </c>
      <c r="AN609" t="n">
        <v>1</v>
      </c>
      <c r="AO609" t="n">
        <v>1</v>
      </c>
      <c r="AP609" t="n">
        <v>6</v>
      </c>
      <c r="AQ609" t="n">
        <v>6</v>
      </c>
      <c r="AR609" t="inlineStr">
        <is>
          <t>No</t>
        </is>
      </c>
      <c r="AS609" t="inlineStr">
        <is>
          <t>Yes</t>
        </is>
      </c>
      <c r="AT609">
        <f>HYPERLINK("http://catalog.hathitrust.org/Record/000204554","HathiTrust Record")</f>
        <v/>
      </c>
      <c r="AU609">
        <f>HYPERLINK("https://creighton-primo.hosted.exlibrisgroup.com/primo-explore/search?tab=default_tab&amp;search_scope=EVERYTHING&amp;vid=01CRU&amp;lang=en_US&amp;offset=0&amp;query=any,contains,991001044299702656","Catalog Record")</f>
        <v/>
      </c>
      <c r="AV609">
        <f>HYPERLINK("http://www.worldcat.org/oclc/8626911","WorldCat Record")</f>
        <v/>
      </c>
      <c r="AW609" t="inlineStr">
        <is>
          <t>465844:eng</t>
        </is>
      </c>
      <c r="AX609" t="inlineStr">
        <is>
          <t>8626911</t>
        </is>
      </c>
      <c r="AY609" t="inlineStr">
        <is>
          <t>991001044299702656</t>
        </is>
      </c>
      <c r="AZ609" t="inlineStr">
        <is>
          <t>991001044299702656</t>
        </is>
      </c>
      <c r="BA609" t="inlineStr">
        <is>
          <t>2254700430002656</t>
        </is>
      </c>
      <c r="BB609" t="inlineStr">
        <is>
          <t>BOOK</t>
        </is>
      </c>
      <c r="BD609" t="inlineStr">
        <is>
          <t>9780808914969</t>
        </is>
      </c>
      <c r="BE609" t="inlineStr">
        <is>
          <t>30001000243461</t>
        </is>
      </c>
      <c r="BF609" t="inlineStr">
        <is>
          <t>893643166</t>
        </is>
      </c>
    </row>
    <row r="610">
      <c r="A610" t="inlineStr">
        <is>
          <t>No</t>
        </is>
      </c>
      <c r="B610" t="inlineStr">
        <is>
          <t>CUHSL</t>
        </is>
      </c>
      <c r="C610" t="inlineStr">
        <is>
          <t>SHELVES</t>
        </is>
      </c>
      <c r="D610" t="inlineStr">
        <is>
          <t>WY 33.1 W187f 1979</t>
        </is>
      </c>
      <c r="E610" t="inlineStr">
        <is>
          <t>0                      WY 0033100W  187f        1979</t>
        </is>
      </c>
      <c r="F610" t="inlineStr">
        <is>
          <t>Facts and myths about nursing legislation / Stanley Wall.</t>
        </is>
      </c>
      <c r="H610" t="inlineStr">
        <is>
          <t>No</t>
        </is>
      </c>
      <c r="I610" t="inlineStr">
        <is>
          <t>1</t>
        </is>
      </c>
      <c r="J610" t="inlineStr">
        <is>
          <t>No</t>
        </is>
      </c>
      <c r="K610" t="inlineStr">
        <is>
          <t>No</t>
        </is>
      </c>
      <c r="L610" t="inlineStr">
        <is>
          <t>0</t>
        </is>
      </c>
      <c r="M610" t="inlineStr">
        <is>
          <t>Wall, Stanley.</t>
        </is>
      </c>
      <c r="N610" t="inlineStr">
        <is>
          <t>New York : National League for Nursing, c1979.</t>
        </is>
      </c>
      <c r="O610" t="inlineStr">
        <is>
          <t>1979</t>
        </is>
      </c>
      <c r="Q610" t="inlineStr">
        <is>
          <t>eng</t>
        </is>
      </c>
      <c r="R610" t="inlineStr">
        <is>
          <t>nyu</t>
        </is>
      </c>
      <c r="S610" t="inlineStr">
        <is>
          <t>NLN pub. no. 23-1790</t>
        </is>
      </c>
      <c r="T610" t="inlineStr">
        <is>
          <t xml:space="preserve">WY </t>
        </is>
      </c>
      <c r="U610" t="n">
        <v>1</v>
      </c>
      <c r="V610" t="n">
        <v>1</v>
      </c>
      <c r="W610" t="inlineStr">
        <is>
          <t>1990-07-11</t>
        </is>
      </c>
      <c r="X610" t="inlineStr">
        <is>
          <t>1990-07-11</t>
        </is>
      </c>
      <c r="Y610" t="inlineStr">
        <is>
          <t>1987-11-04</t>
        </is>
      </c>
      <c r="Z610" t="inlineStr">
        <is>
          <t>1987-11-04</t>
        </is>
      </c>
      <c r="AA610" t="n">
        <v>72</v>
      </c>
      <c r="AB610" t="n">
        <v>62</v>
      </c>
      <c r="AC610" t="n">
        <v>64</v>
      </c>
      <c r="AD610" t="n">
        <v>1</v>
      </c>
      <c r="AE610" t="n">
        <v>1</v>
      </c>
      <c r="AF610" t="n">
        <v>2</v>
      </c>
      <c r="AG610" t="n">
        <v>2</v>
      </c>
      <c r="AH610" t="n">
        <v>0</v>
      </c>
      <c r="AI610" t="n">
        <v>0</v>
      </c>
      <c r="AJ610" t="n">
        <v>0</v>
      </c>
      <c r="AK610" t="n">
        <v>0</v>
      </c>
      <c r="AL610" t="n">
        <v>2</v>
      </c>
      <c r="AM610" t="n">
        <v>2</v>
      </c>
      <c r="AN610" t="n">
        <v>0</v>
      </c>
      <c r="AO610" t="n">
        <v>0</v>
      </c>
      <c r="AP610" t="n">
        <v>0</v>
      </c>
      <c r="AQ610" t="n">
        <v>0</v>
      </c>
      <c r="AR610" t="inlineStr">
        <is>
          <t>No</t>
        </is>
      </c>
      <c r="AS610" t="inlineStr">
        <is>
          <t>No</t>
        </is>
      </c>
      <c r="AU610">
        <f>HYPERLINK("https://creighton-primo.hosted.exlibrisgroup.com/primo-explore/search?tab=default_tab&amp;search_scope=EVERYTHING&amp;vid=01CRU&amp;lang=en_US&amp;offset=0&amp;query=any,contains,991001388699702656","Catalog Record")</f>
        <v/>
      </c>
      <c r="AV610">
        <f>HYPERLINK("http://www.worldcat.org/oclc/5584134","WorldCat Record")</f>
        <v/>
      </c>
      <c r="AW610" t="inlineStr">
        <is>
          <t>2555216612:eng</t>
        </is>
      </c>
      <c r="AX610" t="inlineStr">
        <is>
          <t>5584134</t>
        </is>
      </c>
      <c r="AY610" t="inlineStr">
        <is>
          <t>991001388699702656</t>
        </is>
      </c>
      <c r="AZ610" t="inlineStr">
        <is>
          <t>991001388699702656</t>
        </is>
      </c>
      <c r="BA610" t="inlineStr">
        <is>
          <t>2269628920002656</t>
        </is>
      </c>
      <c r="BB610" t="inlineStr">
        <is>
          <t>BOOK</t>
        </is>
      </c>
      <c r="BE610" t="inlineStr">
        <is>
          <t>30001000464398</t>
        </is>
      </c>
      <c r="BF610" t="inlineStr">
        <is>
          <t>893284740</t>
        </is>
      </c>
    </row>
    <row r="611">
      <c r="A611" t="inlineStr">
        <is>
          <t>No</t>
        </is>
      </c>
      <c r="B611" t="inlineStr">
        <is>
          <t>CUHSL</t>
        </is>
      </c>
      <c r="C611" t="inlineStr">
        <is>
          <t>SHELVES</t>
        </is>
      </c>
      <c r="D611" t="inlineStr">
        <is>
          <t>WY 39 A182n 1993</t>
        </is>
      </c>
      <c r="E611" t="inlineStr">
        <is>
          <t>0                      WY 0039000A  182n        1993</t>
        </is>
      </c>
      <c r="F611" t="inlineStr">
        <is>
          <t>Nursing diagnosis handbook : a guide to planning care / Betty J. Ackley, Gail B. Ladwig.</t>
        </is>
      </c>
      <c r="H611" t="inlineStr">
        <is>
          <t>No</t>
        </is>
      </c>
      <c r="I611" t="inlineStr">
        <is>
          <t>1</t>
        </is>
      </c>
      <c r="J611" t="inlineStr">
        <is>
          <t>No</t>
        </is>
      </c>
      <c r="K611" t="inlineStr">
        <is>
          <t>Yes</t>
        </is>
      </c>
      <c r="L611" t="inlineStr">
        <is>
          <t>0</t>
        </is>
      </c>
      <c r="M611" t="inlineStr">
        <is>
          <t>Ackley, Betty J.</t>
        </is>
      </c>
      <c r="N611" t="inlineStr">
        <is>
          <t>St. Louis, MO : Mosby-Year Book, c1993.</t>
        </is>
      </c>
      <c r="O611" t="inlineStr">
        <is>
          <t>1993</t>
        </is>
      </c>
      <c r="Q611" t="inlineStr">
        <is>
          <t>eng</t>
        </is>
      </c>
      <c r="R611" t="inlineStr">
        <is>
          <t>mou</t>
        </is>
      </c>
      <c r="T611" t="inlineStr">
        <is>
          <t xml:space="preserve">WY </t>
        </is>
      </c>
      <c r="U611" t="n">
        <v>22</v>
      </c>
      <c r="V611" t="n">
        <v>22</v>
      </c>
      <c r="W611" t="inlineStr">
        <is>
          <t>2002-10-09</t>
        </is>
      </c>
      <c r="X611" t="inlineStr">
        <is>
          <t>2002-10-09</t>
        </is>
      </c>
      <c r="Y611" t="inlineStr">
        <is>
          <t>1993-08-31</t>
        </is>
      </c>
      <c r="Z611" t="inlineStr">
        <is>
          <t>1993-08-31</t>
        </is>
      </c>
      <c r="AA611" t="n">
        <v>101</v>
      </c>
      <c r="AB611" t="n">
        <v>80</v>
      </c>
      <c r="AC611" t="n">
        <v>1666</v>
      </c>
      <c r="AD611" t="n">
        <v>2</v>
      </c>
      <c r="AE611" t="n">
        <v>15</v>
      </c>
      <c r="AF611" t="n">
        <v>1</v>
      </c>
      <c r="AG611" t="n">
        <v>45</v>
      </c>
      <c r="AH611" t="n">
        <v>0</v>
      </c>
      <c r="AI611" t="n">
        <v>16</v>
      </c>
      <c r="AJ611" t="n">
        <v>0</v>
      </c>
      <c r="AK611" t="n">
        <v>8</v>
      </c>
      <c r="AL611" t="n">
        <v>1</v>
      </c>
      <c r="AM611" t="n">
        <v>17</v>
      </c>
      <c r="AN611" t="n">
        <v>0</v>
      </c>
      <c r="AO611" t="n">
        <v>11</v>
      </c>
      <c r="AP611" t="n">
        <v>0</v>
      </c>
      <c r="AQ611" t="n">
        <v>0</v>
      </c>
      <c r="AR611" t="inlineStr">
        <is>
          <t>No</t>
        </is>
      </c>
      <c r="AS611" t="inlineStr">
        <is>
          <t>Yes</t>
        </is>
      </c>
      <c r="AT611">
        <f>HYPERLINK("http://catalog.hathitrust.org/Record/002631058","HathiTrust Record")</f>
        <v/>
      </c>
      <c r="AU611">
        <f>HYPERLINK("https://creighton-primo.hosted.exlibrisgroup.com/primo-explore/search?tab=default_tab&amp;search_scope=EVERYTHING&amp;vid=01CRU&amp;lang=en_US&amp;offset=0&amp;query=any,contains,991001512869702656","Catalog Record")</f>
        <v/>
      </c>
      <c r="AV611">
        <f>HYPERLINK("http://www.worldcat.org/oclc/28723712","WorldCat Record")</f>
        <v/>
      </c>
      <c r="AW611" t="inlineStr">
        <is>
          <t>194796659:eng</t>
        </is>
      </c>
      <c r="AX611" t="inlineStr">
        <is>
          <t>28723712</t>
        </is>
      </c>
      <c r="AY611" t="inlineStr">
        <is>
          <t>991001512869702656</t>
        </is>
      </c>
      <c r="AZ611" t="inlineStr">
        <is>
          <t>991001512869702656</t>
        </is>
      </c>
      <c r="BA611" t="inlineStr">
        <is>
          <t>2263224840002656</t>
        </is>
      </c>
      <c r="BB611" t="inlineStr">
        <is>
          <t>BOOK</t>
        </is>
      </c>
      <c r="BD611" t="inlineStr">
        <is>
          <t>9780801677915</t>
        </is>
      </c>
      <c r="BE611" t="inlineStr">
        <is>
          <t>30001002601153</t>
        </is>
      </c>
      <c r="BF611" t="inlineStr">
        <is>
          <t>893284872</t>
        </is>
      </c>
    </row>
    <row r="612">
      <c r="A612" t="inlineStr">
        <is>
          <t>No</t>
        </is>
      </c>
      <c r="B612" t="inlineStr">
        <is>
          <t>CUHSL</t>
        </is>
      </c>
      <c r="C612" t="inlineStr">
        <is>
          <t>SHELVES</t>
        </is>
      </c>
      <c r="D612" t="inlineStr">
        <is>
          <t>WY 39 A5115 1994</t>
        </is>
      </c>
      <c r="E612" t="inlineStr">
        <is>
          <t>0                      WY 0039000A  5115        1994</t>
        </is>
      </c>
      <c r="F612" t="inlineStr">
        <is>
          <t>American College of Physicians home care guide for cancer : how to care for family and friends at home / editor, Peter S. Houts ; associate editors, Arthur M. Nezu ... [et al.].</t>
        </is>
      </c>
      <c r="H612" t="inlineStr">
        <is>
          <t>No</t>
        </is>
      </c>
      <c r="I612" t="inlineStr">
        <is>
          <t>1</t>
        </is>
      </c>
      <c r="J612" t="inlineStr">
        <is>
          <t>No</t>
        </is>
      </c>
      <c r="K612" t="inlineStr">
        <is>
          <t>No</t>
        </is>
      </c>
      <c r="L612" t="inlineStr">
        <is>
          <t>0</t>
        </is>
      </c>
      <c r="N612" t="inlineStr">
        <is>
          <t>Philadelphia, PA : The College, c1994.</t>
        </is>
      </c>
      <c r="O612" t="inlineStr">
        <is>
          <t>1994</t>
        </is>
      </c>
      <c r="Q612" t="inlineStr">
        <is>
          <t>eng</t>
        </is>
      </c>
      <c r="R612" t="inlineStr">
        <is>
          <t>pau</t>
        </is>
      </c>
      <c r="T612" t="inlineStr">
        <is>
          <t xml:space="preserve">WY </t>
        </is>
      </c>
      <c r="U612" t="n">
        <v>2</v>
      </c>
      <c r="V612" t="n">
        <v>2</v>
      </c>
      <c r="W612" t="inlineStr">
        <is>
          <t>1999-01-07</t>
        </is>
      </c>
      <c r="X612" t="inlineStr">
        <is>
          <t>1999-01-07</t>
        </is>
      </c>
      <c r="Y612" t="inlineStr">
        <is>
          <t>1999-01-07</t>
        </is>
      </c>
      <c r="Z612" t="inlineStr">
        <is>
          <t>1999-01-07</t>
        </is>
      </c>
      <c r="AA612" t="n">
        <v>178</v>
      </c>
      <c r="AB612" t="n">
        <v>152</v>
      </c>
      <c r="AC612" t="n">
        <v>155</v>
      </c>
      <c r="AD612" t="n">
        <v>1</v>
      </c>
      <c r="AE612" t="n">
        <v>1</v>
      </c>
      <c r="AF612" t="n">
        <v>0</v>
      </c>
      <c r="AG612" t="n">
        <v>0</v>
      </c>
      <c r="AH612" t="n">
        <v>0</v>
      </c>
      <c r="AI612" t="n">
        <v>0</v>
      </c>
      <c r="AJ612" t="n">
        <v>0</v>
      </c>
      <c r="AK612" t="n">
        <v>0</v>
      </c>
      <c r="AL612" t="n">
        <v>0</v>
      </c>
      <c r="AM612" t="n">
        <v>0</v>
      </c>
      <c r="AN612" t="n">
        <v>0</v>
      </c>
      <c r="AO612" t="n">
        <v>0</v>
      </c>
      <c r="AP612" t="n">
        <v>0</v>
      </c>
      <c r="AQ612" t="n">
        <v>0</v>
      </c>
      <c r="AR612" t="inlineStr">
        <is>
          <t>No</t>
        </is>
      </c>
      <c r="AS612" t="inlineStr">
        <is>
          <t>No</t>
        </is>
      </c>
      <c r="AU612">
        <f>HYPERLINK("https://creighton-primo.hosted.exlibrisgroup.com/primo-explore/search?tab=default_tab&amp;search_scope=EVERYTHING&amp;vid=01CRU&amp;lang=en_US&amp;offset=0&amp;query=any,contains,991001566579702656","Catalog Record")</f>
        <v/>
      </c>
      <c r="AV612">
        <f>HYPERLINK("http://www.worldcat.org/oclc/30027754","WorldCat Record")</f>
        <v/>
      </c>
      <c r="AW612" t="inlineStr">
        <is>
          <t>364545211:eng</t>
        </is>
      </c>
      <c r="AX612" t="inlineStr">
        <is>
          <t>30027754</t>
        </is>
      </c>
      <c r="AY612" t="inlineStr">
        <is>
          <t>991001566579702656</t>
        </is>
      </c>
      <c r="AZ612" t="inlineStr">
        <is>
          <t>991001566579702656</t>
        </is>
      </c>
      <c r="BA612" t="inlineStr">
        <is>
          <t>2260920210002656</t>
        </is>
      </c>
      <c r="BB612" t="inlineStr">
        <is>
          <t>BOOK</t>
        </is>
      </c>
      <c r="BD612" t="inlineStr">
        <is>
          <t>9780943126302</t>
        </is>
      </c>
      <c r="BE612" t="inlineStr">
        <is>
          <t>30001004037737</t>
        </is>
      </c>
      <c r="BF612" t="inlineStr">
        <is>
          <t>893821344</t>
        </is>
      </c>
    </row>
    <row r="613">
      <c r="A613" t="inlineStr">
        <is>
          <t>No</t>
        </is>
      </c>
      <c r="B613" t="inlineStr">
        <is>
          <t>CUHSL</t>
        </is>
      </c>
      <c r="C613" t="inlineStr">
        <is>
          <t>SHELVES</t>
        </is>
      </c>
      <c r="D613" t="inlineStr">
        <is>
          <t>WY 39 A512 1984</t>
        </is>
      </c>
      <c r="E613" t="inlineStr">
        <is>
          <t>0                      WY 0039000A  512         1984</t>
        </is>
      </c>
      <c r="F613" t="inlineStr">
        <is>
          <t>The American handbook of psychiatric nursing / Suzanne Lego, editor ; 45 contributors.</t>
        </is>
      </c>
      <c r="H613" t="inlineStr">
        <is>
          <t>No</t>
        </is>
      </c>
      <c r="I613" t="inlineStr">
        <is>
          <t>1</t>
        </is>
      </c>
      <c r="J613" t="inlineStr">
        <is>
          <t>No</t>
        </is>
      </c>
      <c r="K613" t="inlineStr">
        <is>
          <t>No</t>
        </is>
      </c>
      <c r="L613" t="inlineStr">
        <is>
          <t>0</t>
        </is>
      </c>
      <c r="N613" t="inlineStr">
        <is>
          <t>Philadelphia : Lippincott, c1984.</t>
        </is>
      </c>
      <c r="O613" t="inlineStr">
        <is>
          <t>1984</t>
        </is>
      </c>
      <c r="Q613" t="inlineStr">
        <is>
          <t>eng</t>
        </is>
      </c>
      <c r="R613" t="inlineStr">
        <is>
          <t>xxu</t>
        </is>
      </c>
      <c r="T613" t="inlineStr">
        <is>
          <t xml:space="preserve">WY </t>
        </is>
      </c>
      <c r="U613" t="n">
        <v>8</v>
      </c>
      <c r="V613" t="n">
        <v>8</v>
      </c>
      <c r="W613" t="inlineStr">
        <is>
          <t>1995-07-13</t>
        </is>
      </c>
      <c r="X613" t="inlineStr">
        <is>
          <t>1995-07-13</t>
        </is>
      </c>
      <c r="Y613" t="inlineStr">
        <is>
          <t>1987-12-28</t>
        </is>
      </c>
      <c r="Z613" t="inlineStr">
        <is>
          <t>1987-12-28</t>
        </is>
      </c>
      <c r="AA613" t="n">
        <v>293</v>
      </c>
      <c r="AB613" t="n">
        <v>256</v>
      </c>
      <c r="AC613" t="n">
        <v>258</v>
      </c>
      <c r="AD613" t="n">
        <v>3</v>
      </c>
      <c r="AE613" t="n">
        <v>3</v>
      </c>
      <c r="AF613" t="n">
        <v>7</v>
      </c>
      <c r="AG613" t="n">
        <v>7</v>
      </c>
      <c r="AH613" t="n">
        <v>3</v>
      </c>
      <c r="AI613" t="n">
        <v>3</v>
      </c>
      <c r="AJ613" t="n">
        <v>1</v>
      </c>
      <c r="AK613" t="n">
        <v>1</v>
      </c>
      <c r="AL613" t="n">
        <v>2</v>
      </c>
      <c r="AM613" t="n">
        <v>2</v>
      </c>
      <c r="AN613" t="n">
        <v>1</v>
      </c>
      <c r="AO613" t="n">
        <v>1</v>
      </c>
      <c r="AP613" t="n">
        <v>0</v>
      </c>
      <c r="AQ613" t="n">
        <v>0</v>
      </c>
      <c r="AR613" t="inlineStr">
        <is>
          <t>No</t>
        </is>
      </c>
      <c r="AS613" t="inlineStr">
        <is>
          <t>Yes</t>
        </is>
      </c>
      <c r="AT613">
        <f>HYPERLINK("http://catalog.hathitrust.org/Record/000601474","HathiTrust Record")</f>
        <v/>
      </c>
      <c r="AU613">
        <f>HYPERLINK("https://creighton-primo.hosted.exlibrisgroup.com/primo-explore/search?tab=default_tab&amp;search_scope=EVERYTHING&amp;vid=01CRU&amp;lang=en_US&amp;offset=0&amp;query=any,contains,991001044399702656","Catalog Record")</f>
        <v/>
      </c>
      <c r="AV613">
        <f>HYPERLINK("http://www.worldcat.org/oclc/10208462","WorldCat Record")</f>
        <v/>
      </c>
      <c r="AW613" t="inlineStr">
        <is>
          <t>54611659:eng</t>
        </is>
      </c>
      <c r="AX613" t="inlineStr">
        <is>
          <t>10208462</t>
        </is>
      </c>
      <c r="AY613" t="inlineStr">
        <is>
          <t>991001044399702656</t>
        </is>
      </c>
      <c r="AZ613" t="inlineStr">
        <is>
          <t>991001044399702656</t>
        </is>
      </c>
      <c r="BA613" t="inlineStr">
        <is>
          <t>2268027120002656</t>
        </is>
      </c>
      <c r="BB613" t="inlineStr">
        <is>
          <t>BOOK</t>
        </is>
      </c>
      <c r="BD613" t="inlineStr">
        <is>
          <t>9780397543700</t>
        </is>
      </c>
      <c r="BE613" t="inlineStr">
        <is>
          <t>30001000243495</t>
        </is>
      </c>
      <c r="BF613" t="inlineStr">
        <is>
          <t>893540976</t>
        </is>
      </c>
    </row>
    <row r="614">
      <c r="A614" t="inlineStr">
        <is>
          <t>No</t>
        </is>
      </c>
      <c r="B614" t="inlineStr">
        <is>
          <t>CUHSL</t>
        </is>
      </c>
      <c r="C614" t="inlineStr">
        <is>
          <t>SHELVES</t>
        </is>
      </c>
      <c r="D614" t="inlineStr">
        <is>
          <t>WY 39 B895L 1986</t>
        </is>
      </c>
      <c r="E614" t="inlineStr">
        <is>
          <t>0                      WY 0039000B  895L        1986</t>
        </is>
      </c>
      <c r="F614" t="inlineStr">
        <is>
          <t>The Lippincott manual of nursing practice / Lillian Sholtis Brunner, Doris Smith Suddarth.</t>
        </is>
      </c>
      <c r="H614" t="inlineStr">
        <is>
          <t>No</t>
        </is>
      </c>
      <c r="I614" t="inlineStr">
        <is>
          <t>1</t>
        </is>
      </c>
      <c r="J614" t="inlineStr">
        <is>
          <t>No</t>
        </is>
      </c>
      <c r="K614" t="inlineStr">
        <is>
          <t>Yes</t>
        </is>
      </c>
      <c r="L614" t="inlineStr">
        <is>
          <t>0</t>
        </is>
      </c>
      <c r="M614" t="inlineStr">
        <is>
          <t>Brunner, Lillian Sholtis.</t>
        </is>
      </c>
      <c r="N614" t="inlineStr">
        <is>
          <t>Philadelphia : Lippincott, c1986.</t>
        </is>
      </c>
      <c r="O614" t="inlineStr">
        <is>
          <t>1986</t>
        </is>
      </c>
      <c r="P614" t="inlineStr">
        <is>
          <t>4th ed. / [with the assistance of] Dorothy Brooten, Anne Schwalenstocker Klijanowicz, Donnajeanne Biggs Lavoie.</t>
        </is>
      </c>
      <c r="Q614" t="inlineStr">
        <is>
          <t>eng</t>
        </is>
      </c>
      <c r="R614" t="inlineStr">
        <is>
          <t>xxu</t>
        </is>
      </c>
      <c r="T614" t="inlineStr">
        <is>
          <t xml:space="preserve">WY </t>
        </is>
      </c>
      <c r="U614" t="n">
        <v>14</v>
      </c>
      <c r="V614" t="n">
        <v>14</v>
      </c>
      <c r="W614" t="inlineStr">
        <is>
          <t>1995-10-29</t>
        </is>
      </c>
      <c r="X614" t="inlineStr">
        <is>
          <t>1995-10-29</t>
        </is>
      </c>
      <c r="Y614" t="inlineStr">
        <is>
          <t>1988-05-20</t>
        </is>
      </c>
      <c r="Z614" t="inlineStr">
        <is>
          <t>1988-05-20</t>
        </is>
      </c>
      <c r="AA614" t="n">
        <v>456</v>
      </c>
      <c r="AB614" t="n">
        <v>386</v>
      </c>
      <c r="AC614" t="n">
        <v>1897</v>
      </c>
      <c r="AD614" t="n">
        <v>5</v>
      </c>
      <c r="AE614" t="n">
        <v>17</v>
      </c>
      <c r="AF614" t="n">
        <v>5</v>
      </c>
      <c r="AG614" t="n">
        <v>42</v>
      </c>
      <c r="AH614" t="n">
        <v>0</v>
      </c>
      <c r="AI614" t="n">
        <v>11</v>
      </c>
      <c r="AJ614" t="n">
        <v>1</v>
      </c>
      <c r="AK614" t="n">
        <v>9</v>
      </c>
      <c r="AL614" t="n">
        <v>3</v>
      </c>
      <c r="AM614" t="n">
        <v>16</v>
      </c>
      <c r="AN614" t="n">
        <v>1</v>
      </c>
      <c r="AO614" t="n">
        <v>12</v>
      </c>
      <c r="AP614" t="n">
        <v>0</v>
      </c>
      <c r="AQ614" t="n">
        <v>1</v>
      </c>
      <c r="AR614" t="inlineStr">
        <is>
          <t>No</t>
        </is>
      </c>
      <c r="AS614" t="inlineStr">
        <is>
          <t>No</t>
        </is>
      </c>
      <c r="AU614">
        <f>HYPERLINK("https://creighton-primo.hosted.exlibrisgroup.com/primo-explore/search?tab=default_tab&amp;search_scope=EVERYTHING&amp;vid=01CRU&amp;lang=en_US&amp;offset=0&amp;query=any,contains,991000738999702656","Catalog Record")</f>
        <v/>
      </c>
      <c r="AV614">
        <f>HYPERLINK("http://www.worldcat.org/oclc/12612711","WorldCat Record")</f>
        <v/>
      </c>
      <c r="AW614" t="inlineStr">
        <is>
          <t>364006384:eng</t>
        </is>
      </c>
      <c r="AX614" t="inlineStr">
        <is>
          <t>12612711</t>
        </is>
      </c>
      <c r="AY614" t="inlineStr">
        <is>
          <t>991000738999702656</t>
        </is>
      </c>
      <c r="AZ614" t="inlineStr">
        <is>
          <t>991000738999702656</t>
        </is>
      </c>
      <c r="BA614" t="inlineStr">
        <is>
          <t>2263511190002656</t>
        </is>
      </c>
      <c r="BB614" t="inlineStr">
        <is>
          <t>BOOK</t>
        </is>
      </c>
      <c r="BD614" t="inlineStr">
        <is>
          <t>9780397544998</t>
        </is>
      </c>
      <c r="BE614" t="inlineStr">
        <is>
          <t>30001000042798</t>
        </is>
      </c>
      <c r="BF614" t="inlineStr">
        <is>
          <t>893467549</t>
        </is>
      </c>
    </row>
    <row r="615">
      <c r="A615" t="inlineStr">
        <is>
          <t>No</t>
        </is>
      </c>
      <c r="B615" t="inlineStr">
        <is>
          <t>CUHSL</t>
        </is>
      </c>
      <c r="C615" t="inlineStr">
        <is>
          <t>SHELVES</t>
        </is>
      </c>
      <c r="D615" t="inlineStr">
        <is>
          <t>WY 39 C294h 1993</t>
        </is>
      </c>
      <c r="E615" t="inlineStr">
        <is>
          <t>0                      WY 0039000C  294h        1993</t>
        </is>
      </c>
      <c r="F615" t="inlineStr">
        <is>
          <t>Handbook of nursing diagnosis / Lynda Juall Carpenito.</t>
        </is>
      </c>
      <c r="H615" t="inlineStr">
        <is>
          <t>No</t>
        </is>
      </c>
      <c r="I615" t="inlineStr">
        <is>
          <t>1</t>
        </is>
      </c>
      <c r="J615" t="inlineStr">
        <is>
          <t>No</t>
        </is>
      </c>
      <c r="K615" t="inlineStr">
        <is>
          <t>Yes</t>
        </is>
      </c>
      <c r="L615" t="inlineStr">
        <is>
          <t>0</t>
        </is>
      </c>
      <c r="M615" t="inlineStr">
        <is>
          <t>Carpenito, Lynda Juall.</t>
        </is>
      </c>
      <c r="N615" t="inlineStr">
        <is>
          <t>Philadelphia : Lippincott, c1993.</t>
        </is>
      </c>
      <c r="O615" t="inlineStr">
        <is>
          <t>1993</t>
        </is>
      </c>
      <c r="P615" t="inlineStr">
        <is>
          <t>5th ed.</t>
        </is>
      </c>
      <c r="Q615" t="inlineStr">
        <is>
          <t>eng</t>
        </is>
      </c>
      <c r="R615" t="inlineStr">
        <is>
          <t>pau</t>
        </is>
      </c>
      <c r="T615" t="inlineStr">
        <is>
          <t xml:space="preserve">WY </t>
        </is>
      </c>
      <c r="U615" t="n">
        <v>2</v>
      </c>
      <c r="V615" t="n">
        <v>2</v>
      </c>
      <c r="W615" t="inlineStr">
        <is>
          <t>1997-11-13</t>
        </is>
      </c>
      <c r="X615" t="inlineStr">
        <is>
          <t>1997-11-13</t>
        </is>
      </c>
      <c r="Y615" t="inlineStr">
        <is>
          <t>1997-03-17</t>
        </is>
      </c>
      <c r="Z615" t="inlineStr">
        <is>
          <t>1997-03-17</t>
        </is>
      </c>
      <c r="AA615" t="n">
        <v>134</v>
      </c>
      <c r="AB615" t="n">
        <v>97</v>
      </c>
      <c r="AC615" t="n">
        <v>1176</v>
      </c>
      <c r="AD615" t="n">
        <v>2</v>
      </c>
      <c r="AE615" t="n">
        <v>6</v>
      </c>
      <c r="AF615" t="n">
        <v>2</v>
      </c>
      <c r="AG615" t="n">
        <v>27</v>
      </c>
      <c r="AH615" t="n">
        <v>1</v>
      </c>
      <c r="AI615" t="n">
        <v>11</v>
      </c>
      <c r="AJ615" t="n">
        <v>1</v>
      </c>
      <c r="AK615" t="n">
        <v>5</v>
      </c>
      <c r="AL615" t="n">
        <v>1</v>
      </c>
      <c r="AM615" t="n">
        <v>12</v>
      </c>
      <c r="AN615" t="n">
        <v>0</v>
      </c>
      <c r="AO615" t="n">
        <v>4</v>
      </c>
      <c r="AP615" t="n">
        <v>0</v>
      </c>
      <c r="AQ615" t="n">
        <v>0</v>
      </c>
      <c r="AR615" t="inlineStr">
        <is>
          <t>No</t>
        </is>
      </c>
      <c r="AS615" t="inlineStr">
        <is>
          <t>No</t>
        </is>
      </c>
      <c r="AU615">
        <f>HYPERLINK("https://creighton-primo.hosted.exlibrisgroup.com/primo-explore/search?tab=default_tab&amp;search_scope=EVERYTHING&amp;vid=01CRU&amp;lang=en_US&amp;offset=0&amp;query=any,contains,991000990929702656","Catalog Record")</f>
        <v/>
      </c>
      <c r="AV615">
        <f>HYPERLINK("http://www.worldcat.org/oclc/26895265","WorldCat Record")</f>
        <v/>
      </c>
      <c r="AW615" t="inlineStr">
        <is>
          <t>2637205:eng</t>
        </is>
      </c>
      <c r="AX615" t="inlineStr">
        <is>
          <t>26895265</t>
        </is>
      </c>
      <c r="AY615" t="inlineStr">
        <is>
          <t>991000990929702656</t>
        </is>
      </c>
      <c r="AZ615" t="inlineStr">
        <is>
          <t>991000990929702656</t>
        </is>
      </c>
      <c r="BA615" t="inlineStr">
        <is>
          <t>2270670660002656</t>
        </is>
      </c>
      <c r="BB615" t="inlineStr">
        <is>
          <t>BOOK</t>
        </is>
      </c>
      <c r="BD615" t="inlineStr">
        <is>
          <t>9780397550548</t>
        </is>
      </c>
      <c r="BE615" t="inlineStr">
        <is>
          <t>30001003565159</t>
        </is>
      </c>
      <c r="BF615" t="inlineStr">
        <is>
          <t>893465101</t>
        </is>
      </c>
    </row>
    <row r="616">
      <c r="A616" t="inlineStr">
        <is>
          <t>No</t>
        </is>
      </c>
      <c r="B616" t="inlineStr">
        <is>
          <t>CUHSL</t>
        </is>
      </c>
      <c r="C616" t="inlineStr">
        <is>
          <t>SHELVES</t>
        </is>
      </c>
      <c r="D616" t="inlineStr">
        <is>
          <t>WY 39 C737 1984</t>
        </is>
      </c>
      <c r="E616" t="inlineStr">
        <is>
          <t>0                      WY 0039000C  737         1984</t>
        </is>
      </c>
      <c r="F616" t="inlineStr">
        <is>
          <t>A Comprehensive review manual for the nurse practitioner / Susan F. Connor ... [et al.].</t>
        </is>
      </c>
      <c r="H616" t="inlineStr">
        <is>
          <t>No</t>
        </is>
      </c>
      <c r="I616" t="inlineStr">
        <is>
          <t>1</t>
        </is>
      </c>
      <c r="J616" t="inlineStr">
        <is>
          <t>No</t>
        </is>
      </c>
      <c r="K616" t="inlineStr">
        <is>
          <t>No</t>
        </is>
      </c>
      <c r="L616" t="inlineStr">
        <is>
          <t>0</t>
        </is>
      </c>
      <c r="N616" t="inlineStr">
        <is>
          <t>Boston : Little, Brown, c1984.</t>
        </is>
      </c>
      <c r="O616" t="inlineStr">
        <is>
          <t>1984</t>
        </is>
      </c>
      <c r="Q616" t="inlineStr">
        <is>
          <t>eng</t>
        </is>
      </c>
      <c r="R616" t="inlineStr">
        <is>
          <t>xxu</t>
        </is>
      </c>
      <c r="T616" t="inlineStr">
        <is>
          <t xml:space="preserve">WY </t>
        </is>
      </c>
      <c r="U616" t="n">
        <v>6</v>
      </c>
      <c r="V616" t="n">
        <v>6</v>
      </c>
      <c r="W616" t="inlineStr">
        <is>
          <t>1999-02-17</t>
        </is>
      </c>
      <c r="X616" t="inlineStr">
        <is>
          <t>1999-02-17</t>
        </is>
      </c>
      <c r="Y616" t="inlineStr">
        <is>
          <t>1987-12-28</t>
        </is>
      </c>
      <c r="Z616" t="inlineStr">
        <is>
          <t>1987-12-28</t>
        </is>
      </c>
      <c r="AA616" t="n">
        <v>88</v>
      </c>
      <c r="AB616" t="n">
        <v>76</v>
      </c>
      <c r="AC616" t="n">
        <v>77</v>
      </c>
      <c r="AD616" t="n">
        <v>1</v>
      </c>
      <c r="AE616" t="n">
        <v>1</v>
      </c>
      <c r="AF616" t="n">
        <v>2</v>
      </c>
      <c r="AG616" t="n">
        <v>2</v>
      </c>
      <c r="AH616" t="n">
        <v>0</v>
      </c>
      <c r="AI616" t="n">
        <v>0</v>
      </c>
      <c r="AJ616" t="n">
        <v>1</v>
      </c>
      <c r="AK616" t="n">
        <v>1</v>
      </c>
      <c r="AL616" t="n">
        <v>2</v>
      </c>
      <c r="AM616" t="n">
        <v>2</v>
      </c>
      <c r="AN616" t="n">
        <v>0</v>
      </c>
      <c r="AO616" t="n">
        <v>0</v>
      </c>
      <c r="AP616" t="n">
        <v>0</v>
      </c>
      <c r="AQ616" t="n">
        <v>0</v>
      </c>
      <c r="AR616" t="inlineStr">
        <is>
          <t>No</t>
        </is>
      </c>
      <c r="AS616" t="inlineStr">
        <is>
          <t>No</t>
        </is>
      </c>
      <c r="AU616">
        <f>HYPERLINK("https://creighton-primo.hosted.exlibrisgroup.com/primo-explore/search?tab=default_tab&amp;search_scope=EVERYTHING&amp;vid=01CRU&amp;lang=en_US&amp;offset=0&amp;query=any,contains,991001044439702656","Catalog Record")</f>
        <v/>
      </c>
      <c r="AV616">
        <f>HYPERLINK("http://www.worldcat.org/oclc/10483287","WorldCat Record")</f>
        <v/>
      </c>
      <c r="AW616" t="inlineStr">
        <is>
          <t>3855314366:eng</t>
        </is>
      </c>
      <c r="AX616" t="inlineStr">
        <is>
          <t>10483287</t>
        </is>
      </c>
      <c r="AY616" t="inlineStr">
        <is>
          <t>991001044439702656</t>
        </is>
      </c>
      <c r="AZ616" t="inlineStr">
        <is>
          <t>991001044439702656</t>
        </is>
      </c>
      <c r="BA616" t="inlineStr">
        <is>
          <t>2262816730002656</t>
        </is>
      </c>
      <c r="BB616" t="inlineStr">
        <is>
          <t>BOOK</t>
        </is>
      </c>
      <c r="BD616" t="inlineStr">
        <is>
          <t>9780316153171</t>
        </is>
      </c>
      <c r="BE616" t="inlineStr">
        <is>
          <t>30001000243503</t>
        </is>
      </c>
      <c r="BF616" t="inlineStr">
        <is>
          <t>893736172</t>
        </is>
      </c>
    </row>
    <row r="617">
      <c r="A617" t="inlineStr">
        <is>
          <t>No</t>
        </is>
      </c>
      <c r="B617" t="inlineStr">
        <is>
          <t>CUHSL</t>
        </is>
      </c>
      <c r="C617" t="inlineStr">
        <is>
          <t>SHELVES</t>
        </is>
      </c>
      <c r="D617" t="inlineStr">
        <is>
          <t>WY 39 D331c 1993</t>
        </is>
      </c>
      <c r="E617" t="inlineStr">
        <is>
          <t>0                      WY 0039000D  331c        1993</t>
        </is>
      </c>
      <c r="F617" t="inlineStr">
        <is>
          <t>Collaborative nursing case management : a handbook for development and implementation / Virginia Del Togno-Armanasco, Lois A. Hopkin, Sue Harter.</t>
        </is>
      </c>
      <c r="H617" t="inlineStr">
        <is>
          <t>No</t>
        </is>
      </c>
      <c r="I617" t="inlineStr">
        <is>
          <t>1</t>
        </is>
      </c>
      <c r="J617" t="inlineStr">
        <is>
          <t>No</t>
        </is>
      </c>
      <c r="K617" t="inlineStr">
        <is>
          <t>No</t>
        </is>
      </c>
      <c r="L617" t="inlineStr">
        <is>
          <t>0</t>
        </is>
      </c>
      <c r="M617" t="inlineStr">
        <is>
          <t>Del Togno-Armanasco, Virginia.</t>
        </is>
      </c>
      <c r="N617" t="inlineStr">
        <is>
          <t>New York : Springer Pub. Co., c1993.</t>
        </is>
      </c>
      <c r="O617" t="inlineStr">
        <is>
          <t>1993</t>
        </is>
      </c>
      <c r="Q617" t="inlineStr">
        <is>
          <t>eng</t>
        </is>
      </c>
      <c r="R617" t="inlineStr">
        <is>
          <t>nyu</t>
        </is>
      </c>
      <c r="T617" t="inlineStr">
        <is>
          <t xml:space="preserve">WY </t>
        </is>
      </c>
      <c r="U617" t="n">
        <v>7</v>
      </c>
      <c r="V617" t="n">
        <v>7</v>
      </c>
      <c r="W617" t="inlineStr">
        <is>
          <t>1995-02-08</t>
        </is>
      </c>
      <c r="X617" t="inlineStr">
        <is>
          <t>1995-02-08</t>
        </is>
      </c>
      <c r="Y617" t="inlineStr">
        <is>
          <t>1994-09-06</t>
        </is>
      </c>
      <c r="Z617" t="inlineStr">
        <is>
          <t>1994-09-06</t>
        </is>
      </c>
      <c r="AA617" t="n">
        <v>177</v>
      </c>
      <c r="AB617" t="n">
        <v>150</v>
      </c>
      <c r="AC617" t="n">
        <v>152</v>
      </c>
      <c r="AD617" t="n">
        <v>1</v>
      </c>
      <c r="AE617" t="n">
        <v>1</v>
      </c>
      <c r="AF617" t="n">
        <v>11</v>
      </c>
      <c r="AG617" t="n">
        <v>11</v>
      </c>
      <c r="AH617" t="n">
        <v>3</v>
      </c>
      <c r="AI617" t="n">
        <v>3</v>
      </c>
      <c r="AJ617" t="n">
        <v>3</v>
      </c>
      <c r="AK617" t="n">
        <v>3</v>
      </c>
      <c r="AL617" t="n">
        <v>9</v>
      </c>
      <c r="AM617" t="n">
        <v>9</v>
      </c>
      <c r="AN617" t="n">
        <v>0</v>
      </c>
      <c r="AO617" t="n">
        <v>0</v>
      </c>
      <c r="AP617" t="n">
        <v>0</v>
      </c>
      <c r="AQ617" t="n">
        <v>0</v>
      </c>
      <c r="AR617" t="inlineStr">
        <is>
          <t>No</t>
        </is>
      </c>
      <c r="AS617" t="inlineStr">
        <is>
          <t>Yes</t>
        </is>
      </c>
      <c r="AT617">
        <f>HYPERLINK("http://catalog.hathitrust.org/Record/002652627","HathiTrust Record")</f>
        <v/>
      </c>
      <c r="AU617">
        <f>HYPERLINK("https://creighton-primo.hosted.exlibrisgroup.com/primo-explore/search?tab=default_tab&amp;search_scope=EVERYTHING&amp;vid=01CRU&amp;lang=en_US&amp;offset=0&amp;query=any,contains,991000673189702656","Catalog Record")</f>
        <v/>
      </c>
      <c r="AV617">
        <f>HYPERLINK("http://www.worldcat.org/oclc/27811738","WorldCat Record")</f>
        <v/>
      </c>
      <c r="AW617" t="inlineStr">
        <is>
          <t>356666:eng</t>
        </is>
      </c>
      <c r="AX617" t="inlineStr">
        <is>
          <t>27811738</t>
        </is>
      </c>
      <c r="AY617" t="inlineStr">
        <is>
          <t>991000673189702656</t>
        </is>
      </c>
      <c r="AZ617" t="inlineStr">
        <is>
          <t>991000673189702656</t>
        </is>
      </c>
      <c r="BA617" t="inlineStr">
        <is>
          <t>2258652730002656</t>
        </is>
      </c>
      <c r="BB617" t="inlineStr">
        <is>
          <t>BOOK</t>
        </is>
      </c>
      <c r="BD617" t="inlineStr">
        <is>
          <t>9780826181107</t>
        </is>
      </c>
      <c r="BE617" t="inlineStr">
        <is>
          <t>30001002696377</t>
        </is>
      </c>
      <c r="BF617" t="inlineStr">
        <is>
          <t>893631853</t>
        </is>
      </c>
    </row>
    <row r="618">
      <c r="A618" t="inlineStr">
        <is>
          <t>No</t>
        </is>
      </c>
      <c r="B618" t="inlineStr">
        <is>
          <t>CUHSL</t>
        </is>
      </c>
      <c r="C618" t="inlineStr">
        <is>
          <t>SHELVES</t>
        </is>
      </c>
      <c r="D618" t="inlineStr">
        <is>
          <t>WY 39 D651na 1991</t>
        </is>
      </c>
      <c r="E618" t="inlineStr">
        <is>
          <t>0                      WY 0039000D  651na       1991</t>
        </is>
      </c>
      <c r="F618" t="inlineStr">
        <is>
          <t>Nurse's pocket guide : nursing diagnoses with interventions / Marilynn E. Doenges, Mary Frances Moorhouse.</t>
        </is>
      </c>
      <c r="H618" t="inlineStr">
        <is>
          <t>No</t>
        </is>
      </c>
      <c r="I618" t="inlineStr">
        <is>
          <t>1</t>
        </is>
      </c>
      <c r="J618" t="inlineStr">
        <is>
          <t>No</t>
        </is>
      </c>
      <c r="K618" t="inlineStr">
        <is>
          <t>No</t>
        </is>
      </c>
      <c r="L618" t="inlineStr">
        <is>
          <t>0</t>
        </is>
      </c>
      <c r="M618" t="inlineStr">
        <is>
          <t>Doenges, Marilynn E., 1922-</t>
        </is>
      </c>
      <c r="N618" t="inlineStr">
        <is>
          <t>Philadelphia : F.A. Davis, c1991.</t>
        </is>
      </c>
      <c r="O618" t="inlineStr">
        <is>
          <t>1991</t>
        </is>
      </c>
      <c r="P618" t="inlineStr">
        <is>
          <t>3rd ed.</t>
        </is>
      </c>
      <c r="Q618" t="inlineStr">
        <is>
          <t>eng</t>
        </is>
      </c>
      <c r="R618" t="inlineStr">
        <is>
          <t>pau</t>
        </is>
      </c>
      <c r="T618" t="inlineStr">
        <is>
          <t xml:space="preserve">WY </t>
        </is>
      </c>
      <c r="U618" t="n">
        <v>3</v>
      </c>
      <c r="V618" t="n">
        <v>3</v>
      </c>
      <c r="W618" t="inlineStr">
        <is>
          <t>1997-11-13</t>
        </is>
      </c>
      <c r="X618" t="inlineStr">
        <is>
          <t>1997-11-13</t>
        </is>
      </c>
      <c r="Y618" t="inlineStr">
        <is>
          <t>1997-03-12</t>
        </is>
      </c>
      <c r="Z618" t="inlineStr">
        <is>
          <t>1997-03-12</t>
        </is>
      </c>
      <c r="AA618" t="n">
        <v>146</v>
      </c>
      <c r="AB618" t="n">
        <v>116</v>
      </c>
      <c r="AC618" t="n">
        <v>363</v>
      </c>
      <c r="AD618" t="n">
        <v>2</v>
      </c>
      <c r="AE618" t="n">
        <v>3</v>
      </c>
      <c r="AF618" t="n">
        <v>3</v>
      </c>
      <c r="AG618" t="n">
        <v>7</v>
      </c>
      <c r="AH618" t="n">
        <v>0</v>
      </c>
      <c r="AI618" t="n">
        <v>1</v>
      </c>
      <c r="AJ618" t="n">
        <v>0</v>
      </c>
      <c r="AK618" t="n">
        <v>2</v>
      </c>
      <c r="AL618" t="n">
        <v>2</v>
      </c>
      <c r="AM618" t="n">
        <v>4</v>
      </c>
      <c r="AN618" t="n">
        <v>1</v>
      </c>
      <c r="AO618" t="n">
        <v>1</v>
      </c>
      <c r="AP618" t="n">
        <v>0</v>
      </c>
      <c r="AQ618" t="n">
        <v>0</v>
      </c>
      <c r="AR618" t="inlineStr">
        <is>
          <t>No</t>
        </is>
      </c>
      <c r="AS618" t="inlineStr">
        <is>
          <t>No</t>
        </is>
      </c>
      <c r="AU618">
        <f>HYPERLINK("https://creighton-primo.hosted.exlibrisgroup.com/primo-explore/search?tab=default_tab&amp;search_scope=EVERYTHING&amp;vid=01CRU&amp;lang=en_US&amp;offset=0&amp;query=any,contains,991000990899702656","Catalog Record")</f>
        <v/>
      </c>
      <c r="AV618">
        <f>HYPERLINK("http://www.worldcat.org/oclc/22243676","WorldCat Record")</f>
        <v/>
      </c>
      <c r="AW618" t="inlineStr">
        <is>
          <t>10792660514:eng</t>
        </is>
      </c>
      <c r="AX618" t="inlineStr">
        <is>
          <t>22243676</t>
        </is>
      </c>
      <c r="AY618" t="inlineStr">
        <is>
          <t>991000990899702656</t>
        </is>
      </c>
      <c r="AZ618" t="inlineStr">
        <is>
          <t>991000990899702656</t>
        </is>
      </c>
      <c r="BA618" t="inlineStr">
        <is>
          <t>2271660130002656</t>
        </is>
      </c>
      <c r="BB618" t="inlineStr">
        <is>
          <t>BOOK</t>
        </is>
      </c>
      <c r="BD618" t="inlineStr">
        <is>
          <t>9780803626669</t>
        </is>
      </c>
      <c r="BE618" t="inlineStr">
        <is>
          <t>30001003565167</t>
        </is>
      </c>
      <c r="BF618" t="inlineStr">
        <is>
          <t>893287154</t>
        </is>
      </c>
    </row>
    <row r="619">
      <c r="A619" t="inlineStr">
        <is>
          <t>No</t>
        </is>
      </c>
      <c r="B619" t="inlineStr">
        <is>
          <t>CUHSL</t>
        </is>
      </c>
      <c r="C619" t="inlineStr">
        <is>
          <t>SHELVES</t>
        </is>
      </c>
      <c r="D619" t="inlineStr">
        <is>
          <t>WY 39 E11q 1991</t>
        </is>
      </c>
      <c r="E619" t="inlineStr">
        <is>
          <t>0                      WY 0039000E  11q         1991</t>
        </is>
      </c>
      <c r="F619" t="inlineStr">
        <is>
          <t>Quick reference to cardiac critical care nursing / Janet S. Eagan, Susan L. Stewart, Joan M. Vitello-Cicciu.</t>
        </is>
      </c>
      <c r="H619" t="inlineStr">
        <is>
          <t>No</t>
        </is>
      </c>
      <c r="I619" t="inlineStr">
        <is>
          <t>1</t>
        </is>
      </c>
      <c r="J619" t="inlineStr">
        <is>
          <t>No</t>
        </is>
      </c>
      <c r="K619" t="inlineStr">
        <is>
          <t>No</t>
        </is>
      </c>
      <c r="L619" t="inlineStr">
        <is>
          <t>0</t>
        </is>
      </c>
      <c r="M619" t="inlineStr">
        <is>
          <t>Eagan, Janet S.</t>
        </is>
      </c>
      <c r="N619" t="inlineStr">
        <is>
          <t>Gaithersburg, Md. : Aspen Publishers, c1991.</t>
        </is>
      </c>
      <c r="O619" t="inlineStr">
        <is>
          <t>1991</t>
        </is>
      </c>
      <c r="Q619" t="inlineStr">
        <is>
          <t>eng</t>
        </is>
      </c>
      <c r="R619" t="inlineStr">
        <is>
          <t>mdu</t>
        </is>
      </c>
      <c r="S619" t="inlineStr">
        <is>
          <t>Aspen series quick reference to critical care nursing</t>
        </is>
      </c>
      <c r="T619" t="inlineStr">
        <is>
          <t xml:space="preserve">WY </t>
        </is>
      </c>
      <c r="U619" t="n">
        <v>3</v>
      </c>
      <c r="V619" t="n">
        <v>3</v>
      </c>
      <c r="W619" t="inlineStr">
        <is>
          <t>1993-06-16</t>
        </is>
      </c>
      <c r="X619" t="inlineStr">
        <is>
          <t>1993-06-16</t>
        </is>
      </c>
      <c r="Y619" t="inlineStr">
        <is>
          <t>1993-06-14</t>
        </is>
      </c>
      <c r="Z619" t="inlineStr">
        <is>
          <t>1993-06-14</t>
        </is>
      </c>
      <c r="AA619" t="n">
        <v>145</v>
      </c>
      <c r="AB619" t="n">
        <v>125</v>
      </c>
      <c r="AC619" t="n">
        <v>125</v>
      </c>
      <c r="AD619" t="n">
        <v>1</v>
      </c>
      <c r="AE619" t="n">
        <v>1</v>
      </c>
      <c r="AF619" t="n">
        <v>5</v>
      </c>
      <c r="AG619" t="n">
        <v>5</v>
      </c>
      <c r="AH619" t="n">
        <v>1</v>
      </c>
      <c r="AI619" t="n">
        <v>1</v>
      </c>
      <c r="AJ619" t="n">
        <v>3</v>
      </c>
      <c r="AK619" t="n">
        <v>3</v>
      </c>
      <c r="AL619" t="n">
        <v>4</v>
      </c>
      <c r="AM619" t="n">
        <v>4</v>
      </c>
      <c r="AN619" t="n">
        <v>0</v>
      </c>
      <c r="AO619" t="n">
        <v>0</v>
      </c>
      <c r="AP619" t="n">
        <v>0</v>
      </c>
      <c r="AQ619" t="n">
        <v>0</v>
      </c>
      <c r="AR619" t="inlineStr">
        <is>
          <t>No</t>
        </is>
      </c>
      <c r="AS619" t="inlineStr">
        <is>
          <t>No</t>
        </is>
      </c>
      <c r="AU619">
        <f>HYPERLINK("https://creighton-primo.hosted.exlibrisgroup.com/primo-explore/search?tab=default_tab&amp;search_scope=EVERYTHING&amp;vid=01CRU&amp;lang=en_US&amp;offset=0&amp;query=any,contains,991001479199702656","Catalog Record")</f>
        <v/>
      </c>
      <c r="AV619">
        <f>HYPERLINK("http://www.worldcat.org/oclc/23732595","WorldCat Record")</f>
        <v/>
      </c>
      <c r="AW619" t="inlineStr">
        <is>
          <t>25354157:eng</t>
        </is>
      </c>
      <c r="AX619" t="inlineStr">
        <is>
          <t>23732595</t>
        </is>
      </c>
      <c r="AY619" t="inlineStr">
        <is>
          <t>991001479199702656</t>
        </is>
      </c>
      <c r="AZ619" t="inlineStr">
        <is>
          <t>991001479199702656</t>
        </is>
      </c>
      <c r="BA619" t="inlineStr">
        <is>
          <t>2265454830002656</t>
        </is>
      </c>
      <c r="BB619" t="inlineStr">
        <is>
          <t>BOOK</t>
        </is>
      </c>
      <c r="BD619" t="inlineStr">
        <is>
          <t>9780834202498</t>
        </is>
      </c>
      <c r="BE619" t="inlineStr">
        <is>
          <t>30001002564930</t>
        </is>
      </c>
      <c r="BF619" t="inlineStr">
        <is>
          <t>893649258</t>
        </is>
      </c>
    </row>
    <row r="620">
      <c r="A620" t="inlineStr">
        <is>
          <t>No</t>
        </is>
      </c>
      <c r="B620" t="inlineStr">
        <is>
          <t>CUHSL</t>
        </is>
      </c>
      <c r="C620" t="inlineStr">
        <is>
          <t>SHELVES</t>
        </is>
      </c>
      <c r="D620" t="inlineStr">
        <is>
          <t>WY 39 E57p 1989</t>
        </is>
      </c>
      <c r="E620" t="inlineStr">
        <is>
          <t>0                      WY 0039000E  57p         1989</t>
        </is>
      </c>
      <c r="F620" t="inlineStr">
        <is>
          <t>Pocket guide to pediatric assessment / Joyce Engel.</t>
        </is>
      </c>
      <c r="H620" t="inlineStr">
        <is>
          <t>No</t>
        </is>
      </c>
      <c r="I620" t="inlineStr">
        <is>
          <t>1</t>
        </is>
      </c>
      <c r="J620" t="inlineStr">
        <is>
          <t>No</t>
        </is>
      </c>
      <c r="K620" t="inlineStr">
        <is>
          <t>No</t>
        </is>
      </c>
      <c r="L620" t="inlineStr">
        <is>
          <t>0</t>
        </is>
      </c>
      <c r="M620" t="inlineStr">
        <is>
          <t>Engel, Joyce.</t>
        </is>
      </c>
      <c r="N620" t="inlineStr">
        <is>
          <t>St. Louis : Mosby, c1989.</t>
        </is>
      </c>
      <c r="O620" t="inlineStr">
        <is>
          <t>1989</t>
        </is>
      </c>
      <c r="Q620" t="inlineStr">
        <is>
          <t>eng</t>
        </is>
      </c>
      <c r="R620" t="inlineStr">
        <is>
          <t>xxu</t>
        </is>
      </c>
      <c r="S620" t="inlineStr">
        <is>
          <t>Pocket guide</t>
        </is>
      </c>
      <c r="T620" t="inlineStr">
        <is>
          <t xml:space="preserve">WY </t>
        </is>
      </c>
      <c r="U620" t="n">
        <v>8</v>
      </c>
      <c r="V620" t="n">
        <v>8</v>
      </c>
      <c r="W620" t="inlineStr">
        <is>
          <t>1991-03-24</t>
        </is>
      </c>
      <c r="X620" t="inlineStr">
        <is>
          <t>1991-03-24</t>
        </is>
      </c>
      <c r="Y620" t="inlineStr">
        <is>
          <t>1989-07-29</t>
        </is>
      </c>
      <c r="Z620" t="inlineStr">
        <is>
          <t>1989-07-29</t>
        </is>
      </c>
      <c r="AA620" t="n">
        <v>86</v>
      </c>
      <c r="AB620" t="n">
        <v>64</v>
      </c>
      <c r="AC620" t="n">
        <v>278</v>
      </c>
      <c r="AD620" t="n">
        <v>1</v>
      </c>
      <c r="AE620" t="n">
        <v>2</v>
      </c>
      <c r="AF620" t="n">
        <v>0</v>
      </c>
      <c r="AG620" t="n">
        <v>9</v>
      </c>
      <c r="AH620" t="n">
        <v>0</v>
      </c>
      <c r="AI620" t="n">
        <v>2</v>
      </c>
      <c r="AJ620" t="n">
        <v>0</v>
      </c>
      <c r="AK620" t="n">
        <v>4</v>
      </c>
      <c r="AL620" t="n">
        <v>0</v>
      </c>
      <c r="AM620" t="n">
        <v>6</v>
      </c>
      <c r="AN620" t="n">
        <v>0</v>
      </c>
      <c r="AO620" t="n">
        <v>0</v>
      </c>
      <c r="AP620" t="n">
        <v>0</v>
      </c>
      <c r="AQ620" t="n">
        <v>0</v>
      </c>
      <c r="AR620" t="inlineStr">
        <is>
          <t>No</t>
        </is>
      </c>
      <c r="AS620" t="inlineStr">
        <is>
          <t>No</t>
        </is>
      </c>
      <c r="AU620">
        <f>HYPERLINK("https://creighton-primo.hosted.exlibrisgroup.com/primo-explore/search?tab=default_tab&amp;search_scope=EVERYTHING&amp;vid=01CRU&amp;lang=en_US&amp;offset=0&amp;query=any,contains,991001312599702656","Catalog Record")</f>
        <v/>
      </c>
      <c r="AV620">
        <f>HYPERLINK("http://www.worldcat.org/oclc/18560353","WorldCat Record")</f>
        <v/>
      </c>
      <c r="AW620" t="inlineStr">
        <is>
          <t>2636991:eng</t>
        </is>
      </c>
      <c r="AX620" t="inlineStr">
        <is>
          <t>18560353</t>
        </is>
      </c>
      <c r="AY620" t="inlineStr">
        <is>
          <t>991001312599702656</t>
        </is>
      </c>
      <c r="AZ620" t="inlineStr">
        <is>
          <t>991001312599702656</t>
        </is>
      </c>
      <c r="BA620" t="inlineStr">
        <is>
          <t>2270640630002656</t>
        </is>
      </c>
      <c r="BB620" t="inlineStr">
        <is>
          <t>BOOK</t>
        </is>
      </c>
      <c r="BD620" t="inlineStr">
        <is>
          <t>9780801617959</t>
        </is>
      </c>
      <c r="BE620" t="inlineStr">
        <is>
          <t>30001001751389</t>
        </is>
      </c>
      <c r="BF620" t="inlineStr">
        <is>
          <t>893643452</t>
        </is>
      </c>
    </row>
    <row r="621">
      <c r="A621" t="inlineStr">
        <is>
          <t>No</t>
        </is>
      </c>
      <c r="B621" t="inlineStr">
        <is>
          <t>CUHSL</t>
        </is>
      </c>
      <c r="C621" t="inlineStr">
        <is>
          <t>SHELVES</t>
        </is>
      </c>
      <c r="D621" t="inlineStr">
        <is>
          <t>WY 39 J23h 1988</t>
        </is>
      </c>
      <c r="E621" t="inlineStr">
        <is>
          <t>0                      WY 0039000J  23h         1988</t>
        </is>
      </c>
      <c r="F621" t="inlineStr">
        <is>
          <t>Home health nursing care plans / Marie S. Jaffe, Linda Skidmore-Roth.</t>
        </is>
      </c>
      <c r="H621" t="inlineStr">
        <is>
          <t>No</t>
        </is>
      </c>
      <c r="I621" t="inlineStr">
        <is>
          <t>1</t>
        </is>
      </c>
      <c r="J621" t="inlineStr">
        <is>
          <t>No</t>
        </is>
      </c>
      <c r="K621" t="inlineStr">
        <is>
          <t>No</t>
        </is>
      </c>
      <c r="L621" t="inlineStr">
        <is>
          <t>0</t>
        </is>
      </c>
      <c r="M621" t="inlineStr">
        <is>
          <t>Jaffe, Marie S.</t>
        </is>
      </c>
      <c r="N621" t="inlineStr">
        <is>
          <t>St. Louis : Mosby, c1988.</t>
        </is>
      </c>
      <c r="O621" t="inlineStr">
        <is>
          <t>1988</t>
        </is>
      </c>
      <c r="Q621" t="inlineStr">
        <is>
          <t>eng</t>
        </is>
      </c>
      <c r="R621" t="inlineStr">
        <is>
          <t>xxu</t>
        </is>
      </c>
      <c r="T621" t="inlineStr">
        <is>
          <t xml:space="preserve">WY </t>
        </is>
      </c>
      <c r="U621" t="n">
        <v>4</v>
      </c>
      <c r="V621" t="n">
        <v>4</v>
      </c>
      <c r="W621" t="inlineStr">
        <is>
          <t>1988-11-28</t>
        </is>
      </c>
      <c r="X621" t="inlineStr">
        <is>
          <t>1988-11-28</t>
        </is>
      </c>
      <c r="Y621" t="inlineStr">
        <is>
          <t>1988-08-05</t>
        </is>
      </c>
      <c r="Z621" t="inlineStr">
        <is>
          <t>1988-08-05</t>
        </is>
      </c>
      <c r="AA621" t="n">
        <v>128</v>
      </c>
      <c r="AB621" t="n">
        <v>108</v>
      </c>
      <c r="AC621" t="n">
        <v>269</v>
      </c>
      <c r="AD621" t="n">
        <v>2</v>
      </c>
      <c r="AE621" t="n">
        <v>2</v>
      </c>
      <c r="AF621" t="n">
        <v>3</v>
      </c>
      <c r="AG621" t="n">
        <v>6</v>
      </c>
      <c r="AH621" t="n">
        <v>1</v>
      </c>
      <c r="AI621" t="n">
        <v>3</v>
      </c>
      <c r="AJ621" t="n">
        <v>1</v>
      </c>
      <c r="AK621" t="n">
        <v>2</v>
      </c>
      <c r="AL621" t="n">
        <v>2</v>
      </c>
      <c r="AM621" t="n">
        <v>2</v>
      </c>
      <c r="AN621" t="n">
        <v>0</v>
      </c>
      <c r="AO621" t="n">
        <v>0</v>
      </c>
      <c r="AP621" t="n">
        <v>0</v>
      </c>
      <c r="AQ621" t="n">
        <v>0</v>
      </c>
      <c r="AR621" t="inlineStr">
        <is>
          <t>No</t>
        </is>
      </c>
      <c r="AS621" t="inlineStr">
        <is>
          <t>Yes</t>
        </is>
      </c>
      <c r="AT621">
        <f>HYPERLINK("http://catalog.hathitrust.org/Record/002479666","HathiTrust Record")</f>
        <v/>
      </c>
      <c r="AU621">
        <f>HYPERLINK("https://creighton-primo.hosted.exlibrisgroup.com/primo-explore/search?tab=default_tab&amp;search_scope=EVERYTHING&amp;vid=01CRU&amp;lang=en_US&amp;offset=0&amp;query=any,contains,991001419179702656","Catalog Record")</f>
        <v/>
      </c>
      <c r="AV621">
        <f>HYPERLINK("http://www.worldcat.org/oclc/16984094","WorldCat Record")</f>
        <v/>
      </c>
      <c r="AW621" t="inlineStr">
        <is>
          <t>5090614743:eng</t>
        </is>
      </c>
      <c r="AX621" t="inlineStr">
        <is>
          <t>16984094</t>
        </is>
      </c>
      <c r="AY621" t="inlineStr">
        <is>
          <t>991001419179702656</t>
        </is>
      </c>
      <c r="AZ621" t="inlineStr">
        <is>
          <t>991001419179702656</t>
        </is>
      </c>
      <c r="BA621" t="inlineStr">
        <is>
          <t>2272063740002656</t>
        </is>
      </c>
      <c r="BB621" t="inlineStr">
        <is>
          <t>BOOK</t>
        </is>
      </c>
      <c r="BD621" t="inlineStr">
        <is>
          <t>9780801650185</t>
        </is>
      </c>
      <c r="BE621" t="inlineStr">
        <is>
          <t>30001001181710</t>
        </is>
      </c>
      <c r="BF621" t="inlineStr">
        <is>
          <t>893816378</t>
        </is>
      </c>
    </row>
    <row r="622">
      <c r="A622" t="inlineStr">
        <is>
          <t>No</t>
        </is>
      </c>
      <c r="B622" t="inlineStr">
        <is>
          <t>CUHSL</t>
        </is>
      </c>
      <c r="C622" t="inlineStr">
        <is>
          <t>SHELVES</t>
        </is>
      </c>
      <c r="D622" t="inlineStr">
        <is>
          <t>WY39 J23n 1993</t>
        </is>
      </c>
      <c r="E622" t="inlineStr">
        <is>
          <t>0                      WY 0039000J  23n         1993</t>
        </is>
      </c>
      <c r="F622" t="inlineStr">
        <is>
          <t>Nursing procedures for home care / Marie S. Jaffe.</t>
        </is>
      </c>
      <c r="H622" t="inlineStr">
        <is>
          <t>No</t>
        </is>
      </c>
      <c r="I622" t="inlineStr">
        <is>
          <t>1</t>
        </is>
      </c>
      <c r="J622" t="inlineStr">
        <is>
          <t>No</t>
        </is>
      </c>
      <c r="K622" t="inlineStr">
        <is>
          <t>No</t>
        </is>
      </c>
      <c r="L622" t="inlineStr">
        <is>
          <t>0</t>
        </is>
      </c>
      <c r="M622" t="inlineStr">
        <is>
          <t>Jaffe, Marie S.</t>
        </is>
      </c>
      <c r="N622" t="inlineStr">
        <is>
          <t>Albany, NY : Delmar Publishers, c1993.</t>
        </is>
      </c>
      <c r="O622" t="inlineStr">
        <is>
          <t>1993</t>
        </is>
      </c>
      <c r="Q622" t="inlineStr">
        <is>
          <t>eng</t>
        </is>
      </c>
      <c r="R622" t="inlineStr">
        <is>
          <t>nyu</t>
        </is>
      </c>
      <c r="T622" t="inlineStr">
        <is>
          <t xml:space="preserve">WY </t>
        </is>
      </c>
      <c r="U622" t="n">
        <v>36</v>
      </c>
      <c r="V622" t="n">
        <v>36</v>
      </c>
      <c r="W622" t="inlineStr">
        <is>
          <t>2000-04-20</t>
        </is>
      </c>
      <c r="X622" t="inlineStr">
        <is>
          <t>2000-04-20</t>
        </is>
      </c>
      <c r="Y622" t="inlineStr">
        <is>
          <t>1993-03-26</t>
        </is>
      </c>
      <c r="Z622" t="inlineStr">
        <is>
          <t>1993-03-26</t>
        </is>
      </c>
      <c r="AA622" t="n">
        <v>240</v>
      </c>
      <c r="AB622" t="n">
        <v>208</v>
      </c>
      <c r="AC622" t="n">
        <v>213</v>
      </c>
      <c r="AD622" t="n">
        <v>1</v>
      </c>
      <c r="AE622" t="n">
        <v>1</v>
      </c>
      <c r="AF622" t="n">
        <v>5</v>
      </c>
      <c r="AG622" t="n">
        <v>5</v>
      </c>
      <c r="AH622" t="n">
        <v>2</v>
      </c>
      <c r="AI622" t="n">
        <v>2</v>
      </c>
      <c r="AJ622" t="n">
        <v>1</v>
      </c>
      <c r="AK622" t="n">
        <v>1</v>
      </c>
      <c r="AL622" t="n">
        <v>3</v>
      </c>
      <c r="AM622" t="n">
        <v>3</v>
      </c>
      <c r="AN622" t="n">
        <v>0</v>
      </c>
      <c r="AO622" t="n">
        <v>0</v>
      </c>
      <c r="AP622" t="n">
        <v>0</v>
      </c>
      <c r="AQ622" t="n">
        <v>0</v>
      </c>
      <c r="AR622" t="inlineStr">
        <is>
          <t>No</t>
        </is>
      </c>
      <c r="AS622" t="inlineStr">
        <is>
          <t>No</t>
        </is>
      </c>
      <c r="AU622">
        <f>HYPERLINK("https://creighton-primo.hosted.exlibrisgroup.com/primo-explore/search?tab=default_tab&amp;search_scope=EVERYTHING&amp;vid=01CRU&amp;lang=en_US&amp;offset=0&amp;query=any,contains,991001474509702656","Catalog Record")</f>
        <v/>
      </c>
      <c r="AV622">
        <f>HYPERLINK("http://www.worldcat.org/oclc/24795722","WorldCat Record")</f>
        <v/>
      </c>
      <c r="AW622" t="inlineStr">
        <is>
          <t>4566926481:eng</t>
        </is>
      </c>
      <c r="AX622" t="inlineStr">
        <is>
          <t>24795722</t>
        </is>
      </c>
      <c r="AY622" t="inlineStr">
        <is>
          <t>991001474509702656</t>
        </is>
      </c>
      <c r="AZ622" t="inlineStr">
        <is>
          <t>991001474509702656</t>
        </is>
      </c>
      <c r="BA622" t="inlineStr">
        <is>
          <t>2259815030002656</t>
        </is>
      </c>
      <c r="BB622" t="inlineStr">
        <is>
          <t>BOOK</t>
        </is>
      </c>
      <c r="BD622" t="inlineStr">
        <is>
          <t>9780827345089</t>
        </is>
      </c>
      <c r="BE622" t="inlineStr">
        <is>
          <t>30001002563312</t>
        </is>
      </c>
      <c r="BF622" t="inlineStr">
        <is>
          <t>893374612</t>
        </is>
      </c>
    </row>
    <row r="623">
      <c r="A623" t="inlineStr">
        <is>
          <t>No</t>
        </is>
      </c>
      <c r="B623" t="inlineStr">
        <is>
          <t>CUHSL</t>
        </is>
      </c>
      <c r="C623" t="inlineStr">
        <is>
          <t>SHELVES</t>
        </is>
      </c>
      <c r="D623" t="inlineStr">
        <is>
          <t>WY 39 K68h 1984</t>
        </is>
      </c>
      <c r="E623" t="inlineStr">
        <is>
          <t>0                      WY 0039000K  68h         1984</t>
        </is>
      </c>
      <c r="F623" t="inlineStr">
        <is>
          <t>Handbook of psychosocial nursing care / Carol Ren Kneisl, Holly Skodol Wilson.</t>
        </is>
      </c>
      <c r="H623" t="inlineStr">
        <is>
          <t>No</t>
        </is>
      </c>
      <c r="I623" t="inlineStr">
        <is>
          <t>1</t>
        </is>
      </c>
      <c r="J623" t="inlineStr">
        <is>
          <t>No</t>
        </is>
      </c>
      <c r="K623" t="inlineStr">
        <is>
          <t>No</t>
        </is>
      </c>
      <c r="L623" t="inlineStr">
        <is>
          <t>0</t>
        </is>
      </c>
      <c r="M623" t="inlineStr">
        <is>
          <t>Kneisl, Carol Ren.</t>
        </is>
      </c>
      <c r="N623" t="inlineStr">
        <is>
          <t>Menlo Park, Calif. : Addison-Wesley Pub. Co., Nursing Division, c1984.</t>
        </is>
      </c>
      <c r="O623" t="inlineStr">
        <is>
          <t>1984</t>
        </is>
      </c>
      <c r="Q623" t="inlineStr">
        <is>
          <t>eng</t>
        </is>
      </c>
      <c r="R623" t="inlineStr">
        <is>
          <t>xxu</t>
        </is>
      </c>
      <c r="T623" t="inlineStr">
        <is>
          <t xml:space="preserve">WY </t>
        </is>
      </c>
      <c r="U623" t="n">
        <v>4</v>
      </c>
      <c r="V623" t="n">
        <v>4</v>
      </c>
      <c r="W623" t="inlineStr">
        <is>
          <t>1992-08-20</t>
        </is>
      </c>
      <c r="X623" t="inlineStr">
        <is>
          <t>1992-08-20</t>
        </is>
      </c>
      <c r="Y623" t="inlineStr">
        <is>
          <t>1987-10-22</t>
        </is>
      </c>
      <c r="Z623" t="inlineStr">
        <is>
          <t>1987-10-22</t>
        </is>
      </c>
      <c r="AA623" t="n">
        <v>209</v>
      </c>
      <c r="AB623" t="n">
        <v>173</v>
      </c>
      <c r="AC623" t="n">
        <v>175</v>
      </c>
      <c r="AD623" t="n">
        <v>2</v>
      </c>
      <c r="AE623" t="n">
        <v>2</v>
      </c>
      <c r="AF623" t="n">
        <v>7</v>
      </c>
      <c r="AG623" t="n">
        <v>7</v>
      </c>
      <c r="AH623" t="n">
        <v>5</v>
      </c>
      <c r="AI623" t="n">
        <v>5</v>
      </c>
      <c r="AJ623" t="n">
        <v>1</v>
      </c>
      <c r="AK623" t="n">
        <v>1</v>
      </c>
      <c r="AL623" t="n">
        <v>3</v>
      </c>
      <c r="AM623" t="n">
        <v>3</v>
      </c>
      <c r="AN623" t="n">
        <v>1</v>
      </c>
      <c r="AO623" t="n">
        <v>1</v>
      </c>
      <c r="AP623" t="n">
        <v>0</v>
      </c>
      <c r="AQ623" t="n">
        <v>0</v>
      </c>
      <c r="AR623" t="inlineStr">
        <is>
          <t>No</t>
        </is>
      </c>
      <c r="AS623" t="inlineStr">
        <is>
          <t>Yes</t>
        </is>
      </c>
      <c r="AT623">
        <f>HYPERLINK("http://catalog.hathitrust.org/Record/000165929","HathiTrust Record")</f>
        <v/>
      </c>
      <c r="AU623">
        <f>HYPERLINK("https://creighton-primo.hosted.exlibrisgroup.com/primo-explore/search?tab=default_tab&amp;search_scope=EVERYTHING&amp;vid=01CRU&amp;lang=en_US&amp;offset=0&amp;query=any,contains,991000764589702656","Catalog Record")</f>
        <v/>
      </c>
      <c r="AV623">
        <f>HYPERLINK("http://www.worldcat.org/oclc/11113497","WorldCat Record")</f>
        <v/>
      </c>
      <c r="AW623" t="inlineStr">
        <is>
          <t>3819975:eng</t>
        </is>
      </c>
      <c r="AX623" t="inlineStr">
        <is>
          <t>11113497</t>
        </is>
      </c>
      <c r="AY623" t="inlineStr">
        <is>
          <t>991000764589702656</t>
        </is>
      </c>
      <c r="AZ623" t="inlineStr">
        <is>
          <t>991000764589702656</t>
        </is>
      </c>
      <c r="BA623" t="inlineStr">
        <is>
          <t>2269261550002656</t>
        </is>
      </c>
      <c r="BB623" t="inlineStr">
        <is>
          <t>BOOK</t>
        </is>
      </c>
      <c r="BD623" t="inlineStr">
        <is>
          <t>9780201117059</t>
        </is>
      </c>
      <c r="BE623" t="inlineStr">
        <is>
          <t>30001000056830</t>
        </is>
      </c>
      <c r="BF623" t="inlineStr">
        <is>
          <t>893133696</t>
        </is>
      </c>
    </row>
    <row r="624">
      <c r="A624" t="inlineStr">
        <is>
          <t>No</t>
        </is>
      </c>
      <c r="B624" t="inlineStr">
        <is>
          <t>CUHSL</t>
        </is>
      </c>
      <c r="C624" t="inlineStr">
        <is>
          <t>SHELVES</t>
        </is>
      </c>
      <c r="D624" t="inlineStr">
        <is>
          <t>WY 39 K89q 1991</t>
        </is>
      </c>
      <c r="E624" t="inlineStr">
        <is>
          <t>0                      WY 0039000K  89q         1991</t>
        </is>
      </c>
      <c r="F624" t="inlineStr">
        <is>
          <t>Quick reference to respiratory critical care nursing / Nancy L. Kranzley.</t>
        </is>
      </c>
      <c r="H624" t="inlineStr">
        <is>
          <t>No</t>
        </is>
      </c>
      <c r="I624" t="inlineStr">
        <is>
          <t>1</t>
        </is>
      </c>
      <c r="J624" t="inlineStr">
        <is>
          <t>No</t>
        </is>
      </c>
      <c r="K624" t="inlineStr">
        <is>
          <t>No</t>
        </is>
      </c>
      <c r="L624" t="inlineStr">
        <is>
          <t>0</t>
        </is>
      </c>
      <c r="M624" t="inlineStr">
        <is>
          <t>Kranzley, Nancy L.</t>
        </is>
      </c>
      <c r="N624" t="inlineStr">
        <is>
          <t>Gaithersburg, Md. : Aspen Publishers, c1991.</t>
        </is>
      </c>
      <c r="O624" t="inlineStr">
        <is>
          <t>1991</t>
        </is>
      </c>
      <c r="Q624" t="inlineStr">
        <is>
          <t>eng</t>
        </is>
      </c>
      <c r="R624" t="inlineStr">
        <is>
          <t>mdu</t>
        </is>
      </c>
      <c r="S624" t="inlineStr">
        <is>
          <t>Aspen series quick reference to critical care nursing</t>
        </is>
      </c>
      <c r="T624" t="inlineStr">
        <is>
          <t xml:space="preserve">WY </t>
        </is>
      </c>
      <c r="U624" t="n">
        <v>4</v>
      </c>
      <c r="V624" t="n">
        <v>4</v>
      </c>
      <c r="W624" t="inlineStr">
        <is>
          <t>1997-11-28</t>
        </is>
      </c>
      <c r="X624" t="inlineStr">
        <is>
          <t>1997-11-28</t>
        </is>
      </c>
      <c r="Y624" t="inlineStr">
        <is>
          <t>1993-06-14</t>
        </is>
      </c>
      <c r="Z624" t="inlineStr">
        <is>
          <t>1993-06-14</t>
        </is>
      </c>
      <c r="AA624" t="n">
        <v>136</v>
      </c>
      <c r="AB624" t="n">
        <v>115</v>
      </c>
      <c r="AC624" t="n">
        <v>117</v>
      </c>
      <c r="AD624" t="n">
        <v>1</v>
      </c>
      <c r="AE624" t="n">
        <v>1</v>
      </c>
      <c r="AF624" t="n">
        <v>5</v>
      </c>
      <c r="AG624" t="n">
        <v>5</v>
      </c>
      <c r="AH624" t="n">
        <v>2</v>
      </c>
      <c r="AI624" t="n">
        <v>2</v>
      </c>
      <c r="AJ624" t="n">
        <v>2</v>
      </c>
      <c r="AK624" t="n">
        <v>2</v>
      </c>
      <c r="AL624" t="n">
        <v>4</v>
      </c>
      <c r="AM624" t="n">
        <v>4</v>
      </c>
      <c r="AN624" t="n">
        <v>0</v>
      </c>
      <c r="AO624" t="n">
        <v>0</v>
      </c>
      <c r="AP624" t="n">
        <v>0</v>
      </c>
      <c r="AQ624" t="n">
        <v>0</v>
      </c>
      <c r="AR624" t="inlineStr">
        <is>
          <t>No</t>
        </is>
      </c>
      <c r="AS624" t="inlineStr">
        <is>
          <t>Yes</t>
        </is>
      </c>
      <c r="AT624">
        <f>HYPERLINK("http://catalog.hathitrust.org/Record/002448355","HathiTrust Record")</f>
        <v/>
      </c>
      <c r="AU624">
        <f>HYPERLINK("https://creighton-primo.hosted.exlibrisgroup.com/primo-explore/search?tab=default_tab&amp;search_scope=EVERYTHING&amp;vid=01CRU&amp;lang=en_US&amp;offset=0&amp;query=any,contains,991001479289702656","Catalog Record")</f>
        <v/>
      </c>
      <c r="AV624">
        <f>HYPERLINK("http://www.worldcat.org/oclc/22813776","WorldCat Record")</f>
        <v/>
      </c>
      <c r="AW624" t="inlineStr">
        <is>
          <t>24213124:eng</t>
        </is>
      </c>
      <c r="AX624" t="inlineStr">
        <is>
          <t>22813776</t>
        </is>
      </c>
      <c r="AY624" t="inlineStr">
        <is>
          <t>991001479289702656</t>
        </is>
      </c>
      <c r="AZ624" t="inlineStr">
        <is>
          <t>991001479289702656</t>
        </is>
      </c>
      <c r="BA624" t="inlineStr">
        <is>
          <t>2263664820002656</t>
        </is>
      </c>
      <c r="BB624" t="inlineStr">
        <is>
          <t>BOOK</t>
        </is>
      </c>
      <c r="BD624" t="inlineStr">
        <is>
          <t>9780834202054</t>
        </is>
      </c>
      <c r="BE624" t="inlineStr">
        <is>
          <t>30001002564997</t>
        </is>
      </c>
      <c r="BF624" t="inlineStr">
        <is>
          <t>893727632</t>
        </is>
      </c>
    </row>
    <row r="625">
      <c r="A625" t="inlineStr">
        <is>
          <t>No</t>
        </is>
      </c>
      <c r="B625" t="inlineStr">
        <is>
          <t>CUHSL</t>
        </is>
      </c>
      <c r="C625" t="inlineStr">
        <is>
          <t>SHELVES</t>
        </is>
      </c>
      <c r="D625" t="inlineStr">
        <is>
          <t>WY 39 L434q 1990</t>
        </is>
      </c>
      <c r="E625" t="inlineStr">
        <is>
          <t>0                      WY 0039000L  434q        1990</t>
        </is>
      </c>
      <c r="F625" t="inlineStr">
        <is>
          <t>Quick reference to neurological critical care nursing / Noreen M. Leahy.</t>
        </is>
      </c>
      <c r="H625" t="inlineStr">
        <is>
          <t>No</t>
        </is>
      </c>
      <c r="I625" t="inlineStr">
        <is>
          <t>1</t>
        </is>
      </c>
      <c r="J625" t="inlineStr">
        <is>
          <t>No</t>
        </is>
      </c>
      <c r="K625" t="inlineStr">
        <is>
          <t>No</t>
        </is>
      </c>
      <c r="L625" t="inlineStr">
        <is>
          <t>0</t>
        </is>
      </c>
      <c r="M625" t="inlineStr">
        <is>
          <t>Leahy, Noreen M.</t>
        </is>
      </c>
      <c r="N625" t="inlineStr">
        <is>
          <t>Rockville, Md. : Aspen Publishers, c1990.</t>
        </is>
      </c>
      <c r="O625" t="inlineStr">
        <is>
          <t>1990</t>
        </is>
      </c>
      <c r="Q625" t="inlineStr">
        <is>
          <t>eng</t>
        </is>
      </c>
      <c r="R625" t="inlineStr">
        <is>
          <t>xxu</t>
        </is>
      </c>
      <c r="T625" t="inlineStr">
        <is>
          <t xml:space="preserve">WY </t>
        </is>
      </c>
      <c r="U625" t="n">
        <v>3</v>
      </c>
      <c r="V625" t="n">
        <v>3</v>
      </c>
      <c r="W625" t="inlineStr">
        <is>
          <t>1990-06-29</t>
        </is>
      </c>
      <c r="X625" t="inlineStr">
        <is>
          <t>1990-06-29</t>
        </is>
      </c>
      <c r="Y625" t="inlineStr">
        <is>
          <t>1990-06-29</t>
        </is>
      </c>
      <c r="Z625" t="inlineStr">
        <is>
          <t>1990-06-29</t>
        </is>
      </c>
      <c r="AA625" t="n">
        <v>137</v>
      </c>
      <c r="AB625" t="n">
        <v>115</v>
      </c>
      <c r="AC625" t="n">
        <v>115</v>
      </c>
      <c r="AD625" t="n">
        <v>1</v>
      </c>
      <c r="AE625" t="n">
        <v>1</v>
      </c>
      <c r="AF625" t="n">
        <v>4</v>
      </c>
      <c r="AG625" t="n">
        <v>4</v>
      </c>
      <c r="AH625" t="n">
        <v>0</v>
      </c>
      <c r="AI625" t="n">
        <v>0</v>
      </c>
      <c r="AJ625" t="n">
        <v>2</v>
      </c>
      <c r="AK625" t="n">
        <v>2</v>
      </c>
      <c r="AL625" t="n">
        <v>3</v>
      </c>
      <c r="AM625" t="n">
        <v>3</v>
      </c>
      <c r="AN625" t="n">
        <v>0</v>
      </c>
      <c r="AO625" t="n">
        <v>0</v>
      </c>
      <c r="AP625" t="n">
        <v>0</v>
      </c>
      <c r="AQ625" t="n">
        <v>0</v>
      </c>
      <c r="AR625" t="inlineStr">
        <is>
          <t>No</t>
        </is>
      </c>
      <c r="AS625" t="inlineStr">
        <is>
          <t>No</t>
        </is>
      </c>
      <c r="AU625">
        <f>HYPERLINK("https://creighton-primo.hosted.exlibrisgroup.com/primo-explore/search?tab=default_tab&amp;search_scope=EVERYTHING&amp;vid=01CRU&amp;lang=en_US&amp;offset=0&amp;query=any,contains,991001450849702656","Catalog Record")</f>
        <v/>
      </c>
      <c r="AV625">
        <f>HYPERLINK("http://www.worldcat.org/oclc/20417082","WorldCat Record")</f>
        <v/>
      </c>
      <c r="AW625" t="inlineStr">
        <is>
          <t>22228849:eng</t>
        </is>
      </c>
      <c r="AX625" t="inlineStr">
        <is>
          <t>20417082</t>
        </is>
      </c>
      <c r="AY625" t="inlineStr">
        <is>
          <t>991001450849702656</t>
        </is>
      </c>
      <c r="AZ625" t="inlineStr">
        <is>
          <t>991001450849702656</t>
        </is>
      </c>
      <c r="BA625" t="inlineStr">
        <is>
          <t>2264953020002656</t>
        </is>
      </c>
      <c r="BB625" t="inlineStr">
        <is>
          <t>BOOK</t>
        </is>
      </c>
      <c r="BD625" t="inlineStr">
        <is>
          <t>9780834201279</t>
        </is>
      </c>
      <c r="BE625" t="inlineStr">
        <is>
          <t>30001001882903</t>
        </is>
      </c>
      <c r="BF625" t="inlineStr">
        <is>
          <t>893465555</t>
        </is>
      </c>
    </row>
    <row r="626">
      <c r="A626" t="inlineStr">
        <is>
          <t>No</t>
        </is>
      </c>
      <c r="B626" t="inlineStr">
        <is>
          <t>CUHSL</t>
        </is>
      </c>
      <c r="C626" t="inlineStr">
        <is>
          <t>SHELVES</t>
        </is>
      </c>
      <c r="D626" t="inlineStr">
        <is>
          <t>WY 39 L948p 1990</t>
        </is>
      </c>
      <c r="E626" t="inlineStr">
        <is>
          <t>0                      WY 0039000L  948p        1990</t>
        </is>
      </c>
      <c r="F626" t="inlineStr">
        <is>
          <t>Pocket guide to gerontologic assessment / Annette Giesler Lueckenotte.</t>
        </is>
      </c>
      <c r="H626" t="inlineStr">
        <is>
          <t>No</t>
        </is>
      </c>
      <c r="I626" t="inlineStr">
        <is>
          <t>1</t>
        </is>
      </c>
      <c r="J626" t="inlineStr">
        <is>
          <t>No</t>
        </is>
      </c>
      <c r="K626" t="inlineStr">
        <is>
          <t>No</t>
        </is>
      </c>
      <c r="L626" t="inlineStr">
        <is>
          <t>0</t>
        </is>
      </c>
      <c r="M626" t="inlineStr">
        <is>
          <t>Lueckenotte, Annette Giesler.</t>
        </is>
      </c>
      <c r="N626" t="inlineStr">
        <is>
          <t>St. Louis : C.V. Mosby, c1990.</t>
        </is>
      </c>
      <c r="O626" t="inlineStr">
        <is>
          <t>1990</t>
        </is>
      </c>
      <c r="Q626" t="inlineStr">
        <is>
          <t>eng</t>
        </is>
      </c>
      <c r="R626" t="inlineStr">
        <is>
          <t>xxu</t>
        </is>
      </c>
      <c r="S626" t="inlineStr">
        <is>
          <t>Pocket guide</t>
        </is>
      </c>
      <c r="T626" t="inlineStr">
        <is>
          <t xml:space="preserve">WY </t>
        </is>
      </c>
      <c r="U626" t="n">
        <v>5</v>
      </c>
      <c r="V626" t="n">
        <v>5</v>
      </c>
      <c r="W626" t="inlineStr">
        <is>
          <t>1997-08-22</t>
        </is>
      </c>
      <c r="X626" t="inlineStr">
        <is>
          <t>1997-08-22</t>
        </is>
      </c>
      <c r="Y626" t="inlineStr">
        <is>
          <t>1992-09-25</t>
        </is>
      </c>
      <c r="Z626" t="inlineStr">
        <is>
          <t>1992-09-25</t>
        </is>
      </c>
      <c r="AA626" t="n">
        <v>155</v>
      </c>
      <c r="AB626" t="n">
        <v>120</v>
      </c>
      <c r="AC626" t="n">
        <v>258</v>
      </c>
      <c r="AD626" t="n">
        <v>3</v>
      </c>
      <c r="AE626" t="n">
        <v>3</v>
      </c>
      <c r="AF626" t="n">
        <v>3</v>
      </c>
      <c r="AG626" t="n">
        <v>8</v>
      </c>
      <c r="AH626" t="n">
        <v>0</v>
      </c>
      <c r="AI626" t="n">
        <v>3</v>
      </c>
      <c r="AJ626" t="n">
        <v>2</v>
      </c>
      <c r="AK626" t="n">
        <v>2</v>
      </c>
      <c r="AL626" t="n">
        <v>2</v>
      </c>
      <c r="AM626" t="n">
        <v>5</v>
      </c>
      <c r="AN626" t="n">
        <v>0</v>
      </c>
      <c r="AO626" t="n">
        <v>0</v>
      </c>
      <c r="AP626" t="n">
        <v>0</v>
      </c>
      <c r="AQ626" t="n">
        <v>0</v>
      </c>
      <c r="AR626" t="inlineStr">
        <is>
          <t>No</t>
        </is>
      </c>
      <c r="AS626" t="inlineStr">
        <is>
          <t>Yes</t>
        </is>
      </c>
      <c r="AT626">
        <f>HYPERLINK("http://catalog.hathitrust.org/Record/003860079","HathiTrust Record")</f>
        <v/>
      </c>
      <c r="AU626">
        <f>HYPERLINK("https://creighton-primo.hosted.exlibrisgroup.com/primo-explore/search?tab=default_tab&amp;search_scope=EVERYTHING&amp;vid=01CRU&amp;lang=en_US&amp;offset=0&amp;query=any,contains,991001345579702656","Catalog Record")</f>
        <v/>
      </c>
      <c r="AV626">
        <f>HYPERLINK("http://www.worldcat.org/oclc/22665858","WorldCat Record")</f>
        <v/>
      </c>
      <c r="AW626" t="inlineStr">
        <is>
          <t>622743:eng</t>
        </is>
      </c>
      <c r="AX626" t="inlineStr">
        <is>
          <t>22665858</t>
        </is>
      </c>
      <c r="AY626" t="inlineStr">
        <is>
          <t>991001345579702656</t>
        </is>
      </c>
      <c r="AZ626" t="inlineStr">
        <is>
          <t>991001345579702656</t>
        </is>
      </c>
      <c r="BA626" t="inlineStr">
        <is>
          <t>2256715370002656</t>
        </is>
      </c>
      <c r="BB626" t="inlineStr">
        <is>
          <t>BOOK</t>
        </is>
      </c>
      <c r="BD626" t="inlineStr">
        <is>
          <t>9780801633324</t>
        </is>
      </c>
      <c r="BE626" t="inlineStr">
        <is>
          <t>30001002457101</t>
        </is>
      </c>
      <c r="BF626" t="inlineStr">
        <is>
          <t>893832109</t>
        </is>
      </c>
    </row>
    <row r="627">
      <c r="A627" t="inlineStr">
        <is>
          <t>No</t>
        </is>
      </c>
      <c r="B627" t="inlineStr">
        <is>
          <t>CUHSL</t>
        </is>
      </c>
      <c r="C627" t="inlineStr">
        <is>
          <t>SHELVES</t>
        </is>
      </c>
      <c r="D627" t="inlineStr">
        <is>
          <t>WY 39 M2946 1990</t>
        </is>
      </c>
      <c r="E627" t="inlineStr">
        <is>
          <t>0                      WY 0039000M  2946        1990</t>
        </is>
      </c>
      <c r="F627" t="inlineStr">
        <is>
          <t>Manual of nursing therapeutics : applying nursing diagnoses to medical disorders / special project editor, Pamela L. Swearingen.</t>
        </is>
      </c>
      <c r="H627" t="inlineStr">
        <is>
          <t>No</t>
        </is>
      </c>
      <c r="I627" t="inlineStr">
        <is>
          <t>1</t>
        </is>
      </c>
      <c r="J627" t="inlineStr">
        <is>
          <t>No</t>
        </is>
      </c>
      <c r="K627" t="inlineStr">
        <is>
          <t>No</t>
        </is>
      </c>
      <c r="L627" t="inlineStr">
        <is>
          <t>0</t>
        </is>
      </c>
      <c r="N627" t="inlineStr">
        <is>
          <t>St. Louis : Mosby, c1990.</t>
        </is>
      </c>
      <c r="O627" t="inlineStr">
        <is>
          <t>1990</t>
        </is>
      </c>
      <c r="P627" t="inlineStr">
        <is>
          <t>2nd ed.</t>
        </is>
      </c>
      <c r="Q627" t="inlineStr">
        <is>
          <t>eng</t>
        </is>
      </c>
      <c r="R627" t="inlineStr">
        <is>
          <t>xxu</t>
        </is>
      </c>
      <c r="T627" t="inlineStr">
        <is>
          <t xml:space="preserve">WY </t>
        </is>
      </c>
      <c r="U627" t="n">
        <v>6</v>
      </c>
      <c r="V627" t="n">
        <v>6</v>
      </c>
      <c r="W627" t="inlineStr">
        <is>
          <t>2003-02-11</t>
        </is>
      </c>
      <c r="X627" t="inlineStr">
        <is>
          <t>2003-02-11</t>
        </is>
      </c>
      <c r="Y627" t="inlineStr">
        <is>
          <t>1990-07-11</t>
        </is>
      </c>
      <c r="Z627" t="inlineStr">
        <is>
          <t>1990-07-11</t>
        </is>
      </c>
      <c r="AA627" t="n">
        <v>190</v>
      </c>
      <c r="AB627" t="n">
        <v>159</v>
      </c>
      <c r="AC627" t="n">
        <v>229</v>
      </c>
      <c r="AD627" t="n">
        <v>2</v>
      </c>
      <c r="AE627" t="n">
        <v>2</v>
      </c>
      <c r="AF627" t="n">
        <v>3</v>
      </c>
      <c r="AG627" t="n">
        <v>5</v>
      </c>
      <c r="AH627" t="n">
        <v>0</v>
      </c>
      <c r="AI627" t="n">
        <v>2</v>
      </c>
      <c r="AJ627" t="n">
        <v>2</v>
      </c>
      <c r="AK627" t="n">
        <v>2</v>
      </c>
      <c r="AL627" t="n">
        <v>2</v>
      </c>
      <c r="AM627" t="n">
        <v>3</v>
      </c>
      <c r="AN627" t="n">
        <v>0</v>
      </c>
      <c r="AO627" t="n">
        <v>0</v>
      </c>
      <c r="AP627" t="n">
        <v>0</v>
      </c>
      <c r="AQ627" t="n">
        <v>0</v>
      </c>
      <c r="AR627" t="inlineStr">
        <is>
          <t>No</t>
        </is>
      </c>
      <c r="AS627" t="inlineStr">
        <is>
          <t>Yes</t>
        </is>
      </c>
      <c r="AT627">
        <f>HYPERLINK("http://catalog.hathitrust.org/Record/002422320","HathiTrust Record")</f>
        <v/>
      </c>
      <c r="AU627">
        <f>HYPERLINK("https://creighton-primo.hosted.exlibrisgroup.com/primo-explore/search?tab=default_tab&amp;search_scope=EVERYTHING&amp;vid=01CRU&amp;lang=en_US&amp;offset=0&amp;query=any,contains,991001451179702656","Catalog Record")</f>
        <v/>
      </c>
      <c r="AV627">
        <f>HYPERLINK("http://www.worldcat.org/oclc/20593802","WorldCat Record")</f>
        <v/>
      </c>
      <c r="AW627" t="inlineStr">
        <is>
          <t>54775160:eng</t>
        </is>
      </c>
      <c r="AX627" t="inlineStr">
        <is>
          <t>20593802</t>
        </is>
      </c>
      <c r="AY627" t="inlineStr">
        <is>
          <t>991001451179702656</t>
        </is>
      </c>
      <c r="AZ627" t="inlineStr">
        <is>
          <t>991001451179702656</t>
        </is>
      </c>
      <c r="BA627" t="inlineStr">
        <is>
          <t>2265519930002656</t>
        </is>
      </c>
      <c r="BB627" t="inlineStr">
        <is>
          <t>BOOK</t>
        </is>
      </c>
      <c r="BD627" t="inlineStr">
        <is>
          <t>9780801658471</t>
        </is>
      </c>
      <c r="BE627" t="inlineStr">
        <is>
          <t>30001001883026</t>
        </is>
      </c>
      <c r="BF627" t="inlineStr">
        <is>
          <t>893369408</t>
        </is>
      </c>
    </row>
    <row r="628">
      <c r="A628" t="inlineStr">
        <is>
          <t>No</t>
        </is>
      </c>
      <c r="B628" t="inlineStr">
        <is>
          <t>CUHSL</t>
        </is>
      </c>
      <c r="C628" t="inlineStr">
        <is>
          <t>SHELVES</t>
        </is>
      </c>
      <c r="D628" t="inlineStr">
        <is>
          <t>WY 39 M825n 1990</t>
        </is>
      </c>
      <c r="E628" t="inlineStr">
        <is>
          <t>0                      WY 0039000M  825n        1990</t>
        </is>
      </c>
      <c r="F628" t="inlineStr">
        <is>
          <t>Nurse's clinical pocket manual : nursing diagnoses, care planning, and documentation / Mary Frances Moorhouse and Marilynn E. Doenges.</t>
        </is>
      </c>
      <c r="H628" t="inlineStr">
        <is>
          <t>No</t>
        </is>
      </c>
      <c r="I628" t="inlineStr">
        <is>
          <t>1</t>
        </is>
      </c>
      <c r="J628" t="inlineStr">
        <is>
          <t>No</t>
        </is>
      </c>
      <c r="K628" t="inlineStr">
        <is>
          <t>No</t>
        </is>
      </c>
      <c r="L628" t="inlineStr">
        <is>
          <t>0</t>
        </is>
      </c>
      <c r="M628" t="inlineStr">
        <is>
          <t>Moorhouse, Mary Frances, 1947-</t>
        </is>
      </c>
      <c r="N628" t="inlineStr">
        <is>
          <t>[Philadelphia] : Davis, c1990.</t>
        </is>
      </c>
      <c r="O628" t="inlineStr">
        <is>
          <t>1990</t>
        </is>
      </c>
      <c r="Q628" t="inlineStr">
        <is>
          <t>eng</t>
        </is>
      </c>
      <c r="R628" t="inlineStr">
        <is>
          <t>xxu</t>
        </is>
      </c>
      <c r="T628" t="inlineStr">
        <is>
          <t xml:space="preserve">WY </t>
        </is>
      </c>
      <c r="U628" t="n">
        <v>2</v>
      </c>
      <c r="V628" t="n">
        <v>2</v>
      </c>
      <c r="W628" t="inlineStr">
        <is>
          <t>1997-03-13</t>
        </is>
      </c>
      <c r="X628" t="inlineStr">
        <is>
          <t>1997-03-13</t>
        </is>
      </c>
      <c r="Y628" t="inlineStr">
        <is>
          <t>1997-02-18</t>
        </is>
      </c>
      <c r="Z628" t="inlineStr">
        <is>
          <t>1997-02-18</t>
        </is>
      </c>
      <c r="AA628" t="n">
        <v>25</v>
      </c>
      <c r="AB628" t="n">
        <v>12</v>
      </c>
      <c r="AC628" t="n">
        <v>73</v>
      </c>
      <c r="AD628" t="n">
        <v>1</v>
      </c>
      <c r="AE628" t="n">
        <v>2</v>
      </c>
      <c r="AF628" t="n">
        <v>0</v>
      </c>
      <c r="AG628" t="n">
        <v>2</v>
      </c>
      <c r="AH628" t="n">
        <v>0</v>
      </c>
      <c r="AI628" t="n">
        <v>0</v>
      </c>
      <c r="AJ628" t="n">
        <v>0</v>
      </c>
      <c r="AK628" t="n">
        <v>0</v>
      </c>
      <c r="AL628" t="n">
        <v>0</v>
      </c>
      <c r="AM628" t="n">
        <v>1</v>
      </c>
      <c r="AN628" t="n">
        <v>0</v>
      </c>
      <c r="AO628" t="n">
        <v>1</v>
      </c>
      <c r="AP628" t="n">
        <v>0</v>
      </c>
      <c r="AQ628" t="n">
        <v>0</v>
      </c>
      <c r="AR628" t="inlineStr">
        <is>
          <t>No</t>
        </is>
      </c>
      <c r="AS628" t="inlineStr">
        <is>
          <t>No</t>
        </is>
      </c>
      <c r="AU628">
        <f>HYPERLINK("https://creighton-primo.hosted.exlibrisgroup.com/primo-explore/search?tab=default_tab&amp;search_scope=EVERYTHING&amp;vid=01CRU&amp;lang=en_US&amp;offset=0&amp;query=any,contains,991000836589702656","Catalog Record")</f>
        <v/>
      </c>
      <c r="AV628">
        <f>HYPERLINK("http://www.worldcat.org/oclc/21195805","WorldCat Record")</f>
        <v/>
      </c>
      <c r="AW628" t="inlineStr">
        <is>
          <t>800908643:eng</t>
        </is>
      </c>
      <c r="AX628" t="inlineStr">
        <is>
          <t>21195805</t>
        </is>
      </c>
      <c r="AY628" t="inlineStr">
        <is>
          <t>991000836589702656</t>
        </is>
      </c>
      <c r="AZ628" t="inlineStr">
        <is>
          <t>991000836589702656</t>
        </is>
      </c>
      <c r="BA628" t="inlineStr">
        <is>
          <t>2270844380002656</t>
        </is>
      </c>
      <c r="BB628" t="inlineStr">
        <is>
          <t>BOOK</t>
        </is>
      </c>
      <c r="BD628" t="inlineStr">
        <is>
          <t>9780803663145</t>
        </is>
      </c>
      <c r="BE628" t="inlineStr">
        <is>
          <t>30001003441971</t>
        </is>
      </c>
      <c r="BF628" t="inlineStr">
        <is>
          <t>893632319</t>
        </is>
      </c>
    </row>
    <row r="629">
      <c r="A629" t="inlineStr">
        <is>
          <t>No</t>
        </is>
      </c>
      <c r="B629" t="inlineStr">
        <is>
          <t>CUHSL</t>
        </is>
      </c>
      <c r="C629" t="inlineStr">
        <is>
          <t>SHELVES</t>
        </is>
      </c>
      <c r="D629" t="inlineStr">
        <is>
          <t>WY 39 N9744 1985</t>
        </is>
      </c>
      <c r="E629" t="inlineStr">
        <is>
          <t>0                      WY 0039000N  9744        1985</t>
        </is>
      </c>
      <c r="F629" t="inlineStr">
        <is>
          <t>Nursing care planning guides for psychiatric and mental health care / Margo Creighton Neal ... [et al.].</t>
        </is>
      </c>
      <c r="H629" t="inlineStr">
        <is>
          <t>No</t>
        </is>
      </c>
      <c r="I629" t="inlineStr">
        <is>
          <t>1</t>
        </is>
      </c>
      <c r="J629" t="inlineStr">
        <is>
          <t>No</t>
        </is>
      </c>
      <c r="K629" t="inlineStr">
        <is>
          <t>No</t>
        </is>
      </c>
      <c r="L629" t="inlineStr">
        <is>
          <t>0</t>
        </is>
      </c>
      <c r="N629" t="inlineStr">
        <is>
          <t>Pacific Palisades, CA : Nurseco, c1985.</t>
        </is>
      </c>
      <c r="O629" t="inlineStr">
        <is>
          <t>1985</t>
        </is>
      </c>
      <c r="P629" t="inlineStr">
        <is>
          <t>2nd ed.</t>
        </is>
      </c>
      <c r="Q629" t="inlineStr">
        <is>
          <t>eng</t>
        </is>
      </c>
      <c r="R629" t="inlineStr">
        <is>
          <t>xxu</t>
        </is>
      </c>
      <c r="T629" t="inlineStr">
        <is>
          <t xml:space="preserve">WY </t>
        </is>
      </c>
      <c r="U629" t="n">
        <v>15</v>
      </c>
      <c r="V629" t="n">
        <v>15</v>
      </c>
      <c r="W629" t="inlineStr">
        <is>
          <t>1997-04-09</t>
        </is>
      </c>
      <c r="X629" t="inlineStr">
        <is>
          <t>1997-04-09</t>
        </is>
      </c>
      <c r="Y629" t="inlineStr">
        <is>
          <t>1987-10-22</t>
        </is>
      </c>
      <c r="Z629" t="inlineStr">
        <is>
          <t>1987-10-22</t>
        </is>
      </c>
      <c r="AA629" t="n">
        <v>45</v>
      </c>
      <c r="AB629" t="n">
        <v>39</v>
      </c>
      <c r="AC629" t="n">
        <v>84</v>
      </c>
      <c r="AD629" t="n">
        <v>1</v>
      </c>
      <c r="AE629" t="n">
        <v>1</v>
      </c>
      <c r="AF629" t="n">
        <v>1</v>
      </c>
      <c r="AG629" t="n">
        <v>1</v>
      </c>
      <c r="AH629" t="n">
        <v>0</v>
      </c>
      <c r="AI629" t="n">
        <v>0</v>
      </c>
      <c r="AJ629" t="n">
        <v>0</v>
      </c>
      <c r="AK629" t="n">
        <v>0</v>
      </c>
      <c r="AL629" t="n">
        <v>1</v>
      </c>
      <c r="AM629" t="n">
        <v>1</v>
      </c>
      <c r="AN629" t="n">
        <v>0</v>
      </c>
      <c r="AO629" t="n">
        <v>0</v>
      </c>
      <c r="AP629" t="n">
        <v>0</v>
      </c>
      <c r="AQ629" t="n">
        <v>0</v>
      </c>
      <c r="AR629" t="inlineStr">
        <is>
          <t>No</t>
        </is>
      </c>
      <c r="AS629" t="inlineStr">
        <is>
          <t>Yes</t>
        </is>
      </c>
      <c r="AT629">
        <f>HYPERLINK("http://catalog.hathitrust.org/Record/000588987","HathiTrust Record")</f>
        <v/>
      </c>
      <c r="AU629">
        <f>HYPERLINK("https://creighton-primo.hosted.exlibrisgroup.com/primo-explore/search?tab=default_tab&amp;search_scope=EVERYTHING&amp;vid=01CRU&amp;lang=en_US&amp;offset=0&amp;query=any,contains,991000738969702656","Catalog Record")</f>
        <v/>
      </c>
      <c r="AV629">
        <f>HYPERLINK("http://www.worldcat.org/oclc/11548130","WorldCat Record")</f>
        <v/>
      </c>
      <c r="AW629" t="inlineStr">
        <is>
          <t>3768403660:eng</t>
        </is>
      </c>
      <c r="AX629" t="inlineStr">
        <is>
          <t>11548130</t>
        </is>
      </c>
      <c r="AY629" t="inlineStr">
        <is>
          <t>991000738969702656</t>
        </is>
      </c>
      <c r="AZ629" t="inlineStr">
        <is>
          <t>991000738969702656</t>
        </is>
      </c>
      <c r="BA629" t="inlineStr">
        <is>
          <t>2263132400002656</t>
        </is>
      </c>
      <c r="BB629" t="inlineStr">
        <is>
          <t>BOOK</t>
        </is>
      </c>
      <c r="BD629" t="inlineStr">
        <is>
          <t>9780935236453</t>
        </is>
      </c>
      <c r="BE629" t="inlineStr">
        <is>
          <t>30001000042780</t>
        </is>
      </c>
      <c r="BF629" t="inlineStr">
        <is>
          <t>893740065</t>
        </is>
      </c>
    </row>
    <row r="630">
      <c r="A630" t="inlineStr">
        <is>
          <t>No</t>
        </is>
      </c>
      <c r="B630" t="inlineStr">
        <is>
          <t>CUHSL</t>
        </is>
      </c>
      <c r="C630" t="inlineStr">
        <is>
          <t>SHELVES</t>
        </is>
      </c>
      <c r="D630" t="inlineStr">
        <is>
          <t>WY 39 P462c 1990</t>
        </is>
      </c>
      <c r="E630" t="inlineStr">
        <is>
          <t>0                      WY 0039000P  462c        1990</t>
        </is>
      </c>
      <c r="F630" t="inlineStr">
        <is>
          <t>Clinical nursing skills and techniques / Anne G. Perry, Patricia A. Potter.</t>
        </is>
      </c>
      <c r="H630" t="inlineStr">
        <is>
          <t>No</t>
        </is>
      </c>
      <c r="I630" t="inlineStr">
        <is>
          <t>1</t>
        </is>
      </c>
      <c r="J630" t="inlineStr">
        <is>
          <t>No</t>
        </is>
      </c>
      <c r="K630" t="inlineStr">
        <is>
          <t>No</t>
        </is>
      </c>
      <c r="L630" t="inlineStr">
        <is>
          <t>0</t>
        </is>
      </c>
      <c r="M630" t="inlineStr">
        <is>
          <t>Perry, Anne Griffin.</t>
        </is>
      </c>
      <c r="N630" t="inlineStr">
        <is>
          <t>St. Louis : Mosby, c1990.</t>
        </is>
      </c>
      <c r="O630" t="inlineStr">
        <is>
          <t>1990</t>
        </is>
      </c>
      <c r="P630" t="inlineStr">
        <is>
          <t>2nd ed.</t>
        </is>
      </c>
      <c r="Q630" t="inlineStr">
        <is>
          <t>eng</t>
        </is>
      </c>
      <c r="R630" t="inlineStr">
        <is>
          <t>xxu</t>
        </is>
      </c>
      <c r="T630" t="inlineStr">
        <is>
          <t xml:space="preserve">WY </t>
        </is>
      </c>
      <c r="U630" t="n">
        <v>4</v>
      </c>
      <c r="V630" t="n">
        <v>4</v>
      </c>
      <c r="W630" t="inlineStr">
        <is>
          <t>2002-11-18</t>
        </is>
      </c>
      <c r="X630" t="inlineStr">
        <is>
          <t>2002-11-18</t>
        </is>
      </c>
      <c r="Y630" t="inlineStr">
        <is>
          <t>1990-07-11</t>
        </is>
      </c>
      <c r="Z630" t="inlineStr">
        <is>
          <t>1990-07-11</t>
        </is>
      </c>
      <c r="AA630" t="n">
        <v>305</v>
      </c>
      <c r="AB630" t="n">
        <v>253</v>
      </c>
      <c r="AC630" t="n">
        <v>255</v>
      </c>
      <c r="AD630" t="n">
        <v>2</v>
      </c>
      <c r="AE630" t="n">
        <v>2</v>
      </c>
      <c r="AF630" t="n">
        <v>5</v>
      </c>
      <c r="AG630" t="n">
        <v>5</v>
      </c>
      <c r="AH630" t="n">
        <v>1</v>
      </c>
      <c r="AI630" t="n">
        <v>1</v>
      </c>
      <c r="AJ630" t="n">
        <v>1</v>
      </c>
      <c r="AK630" t="n">
        <v>1</v>
      </c>
      <c r="AL630" t="n">
        <v>3</v>
      </c>
      <c r="AM630" t="n">
        <v>3</v>
      </c>
      <c r="AN630" t="n">
        <v>1</v>
      </c>
      <c r="AO630" t="n">
        <v>1</v>
      </c>
      <c r="AP630" t="n">
        <v>0</v>
      </c>
      <c r="AQ630" t="n">
        <v>0</v>
      </c>
      <c r="AR630" t="inlineStr">
        <is>
          <t>No</t>
        </is>
      </c>
      <c r="AS630" t="inlineStr">
        <is>
          <t>Yes</t>
        </is>
      </c>
      <c r="AT630">
        <f>HYPERLINK("http://catalog.hathitrust.org/Record/001835495","HathiTrust Record")</f>
        <v/>
      </c>
      <c r="AU630">
        <f>HYPERLINK("https://creighton-primo.hosted.exlibrisgroup.com/primo-explore/search?tab=default_tab&amp;search_scope=EVERYTHING&amp;vid=01CRU&amp;lang=en_US&amp;offset=0&amp;query=any,contains,991001451769702656","Catalog Record")</f>
        <v/>
      </c>
      <c r="AV630">
        <f>HYPERLINK("http://www.worldcat.org/oclc/13124057","WorldCat Record")</f>
        <v/>
      </c>
      <c r="AW630" t="inlineStr">
        <is>
          <t>5090631370:eng</t>
        </is>
      </c>
      <c r="AX630" t="inlineStr">
        <is>
          <t>13124057</t>
        </is>
      </c>
      <c r="AY630" t="inlineStr">
        <is>
          <t>991001451769702656</t>
        </is>
      </c>
      <c r="AZ630" t="inlineStr">
        <is>
          <t>991001451769702656</t>
        </is>
      </c>
      <c r="BA630" t="inlineStr">
        <is>
          <t>2267695990002656</t>
        </is>
      </c>
      <c r="BB630" t="inlineStr">
        <is>
          <t>BOOK</t>
        </is>
      </c>
      <c r="BD630" t="inlineStr">
        <is>
          <t>9780801654930</t>
        </is>
      </c>
      <c r="BE630" t="inlineStr">
        <is>
          <t>30001001883299</t>
        </is>
      </c>
      <c r="BF630" t="inlineStr">
        <is>
          <t>893541421</t>
        </is>
      </c>
    </row>
    <row r="631">
      <c r="A631" t="inlineStr">
        <is>
          <t>No</t>
        </is>
      </c>
      <c r="B631" t="inlineStr">
        <is>
          <t>CUHSL</t>
        </is>
      </c>
      <c r="C631" t="inlineStr">
        <is>
          <t>SHELVES</t>
        </is>
      </c>
      <c r="D631" t="inlineStr">
        <is>
          <t>WY 39 Q6 1984</t>
        </is>
      </c>
      <c r="E631" t="inlineStr">
        <is>
          <t>0                      WY 0039000Q  6           1984</t>
        </is>
      </c>
      <c r="F631" t="inlineStr">
        <is>
          <t>Quick reference to pediatric nursing / [edited by] Carol M. Murphy ; 12 contributors.</t>
        </is>
      </c>
      <c r="H631" t="inlineStr">
        <is>
          <t>No</t>
        </is>
      </c>
      <c r="I631" t="inlineStr">
        <is>
          <t>1</t>
        </is>
      </c>
      <c r="J631" t="inlineStr">
        <is>
          <t>No</t>
        </is>
      </c>
      <c r="K631" t="inlineStr">
        <is>
          <t>No</t>
        </is>
      </c>
      <c r="L631" t="inlineStr">
        <is>
          <t>0</t>
        </is>
      </c>
      <c r="N631" t="inlineStr">
        <is>
          <t>Philadelphia : Lippincott, c1984.</t>
        </is>
      </c>
      <c r="O631" t="inlineStr">
        <is>
          <t>1984</t>
        </is>
      </c>
      <c r="Q631" t="inlineStr">
        <is>
          <t>eng</t>
        </is>
      </c>
      <c r="R631" t="inlineStr">
        <is>
          <t>xxu</t>
        </is>
      </c>
      <c r="S631" t="inlineStr">
        <is>
          <t>Lippincott's quick references</t>
        </is>
      </c>
      <c r="T631" t="inlineStr">
        <is>
          <t xml:space="preserve">WY </t>
        </is>
      </c>
      <c r="U631" t="n">
        <v>8</v>
      </c>
      <c r="V631" t="n">
        <v>8</v>
      </c>
      <c r="W631" t="inlineStr">
        <is>
          <t>1993-03-29</t>
        </is>
      </c>
      <c r="X631" t="inlineStr">
        <is>
          <t>1993-03-29</t>
        </is>
      </c>
      <c r="Y631" t="inlineStr">
        <is>
          <t>1988-06-10</t>
        </is>
      </c>
      <c r="Z631" t="inlineStr">
        <is>
          <t>1988-06-10</t>
        </is>
      </c>
      <c r="AA631" t="n">
        <v>112</v>
      </c>
      <c r="AB631" t="n">
        <v>94</v>
      </c>
      <c r="AC631" t="n">
        <v>94</v>
      </c>
      <c r="AD631" t="n">
        <v>1</v>
      </c>
      <c r="AE631" t="n">
        <v>1</v>
      </c>
      <c r="AF631" t="n">
        <v>1</v>
      </c>
      <c r="AG631" t="n">
        <v>1</v>
      </c>
      <c r="AH631" t="n">
        <v>0</v>
      </c>
      <c r="AI631" t="n">
        <v>0</v>
      </c>
      <c r="AJ631" t="n">
        <v>0</v>
      </c>
      <c r="AK631" t="n">
        <v>0</v>
      </c>
      <c r="AL631" t="n">
        <v>1</v>
      </c>
      <c r="AM631" t="n">
        <v>1</v>
      </c>
      <c r="AN631" t="n">
        <v>0</v>
      </c>
      <c r="AO631" t="n">
        <v>0</v>
      </c>
      <c r="AP631" t="n">
        <v>0</v>
      </c>
      <c r="AQ631" t="n">
        <v>0</v>
      </c>
      <c r="AR631" t="inlineStr">
        <is>
          <t>No</t>
        </is>
      </c>
      <c r="AS631" t="inlineStr">
        <is>
          <t>No</t>
        </is>
      </c>
      <c r="AU631">
        <f>HYPERLINK("https://creighton-primo.hosted.exlibrisgroup.com/primo-explore/search?tab=default_tab&amp;search_scope=EVERYTHING&amp;vid=01CRU&amp;lang=en_US&amp;offset=0&amp;query=any,contains,991001291299702656","Catalog Record")</f>
        <v/>
      </c>
      <c r="AV631">
        <f>HYPERLINK("http://www.worldcat.org/oclc/9919291","WorldCat Record")</f>
        <v/>
      </c>
      <c r="AW631" t="inlineStr">
        <is>
          <t>43892126:eng</t>
        </is>
      </c>
      <c r="AX631" t="inlineStr">
        <is>
          <t>9919291</t>
        </is>
      </c>
      <c r="AY631" t="inlineStr">
        <is>
          <t>991001291299702656</t>
        </is>
      </c>
      <c r="AZ631" t="inlineStr">
        <is>
          <t>991001291299702656</t>
        </is>
      </c>
      <c r="BA631" t="inlineStr">
        <is>
          <t>2255158010002656</t>
        </is>
      </c>
      <c r="BB631" t="inlineStr">
        <is>
          <t>BOOK</t>
        </is>
      </c>
      <c r="BD631" t="inlineStr">
        <is>
          <t>9780397544493</t>
        </is>
      </c>
      <c r="BE631" t="inlineStr">
        <is>
          <t>30001000398216</t>
        </is>
      </c>
      <c r="BF631" t="inlineStr">
        <is>
          <t>893278952</t>
        </is>
      </c>
    </row>
    <row r="632">
      <c r="A632" t="inlineStr">
        <is>
          <t>No</t>
        </is>
      </c>
      <c r="B632" t="inlineStr">
        <is>
          <t>CUHSL</t>
        </is>
      </c>
      <c r="C632" t="inlineStr">
        <is>
          <t>SHELVES</t>
        </is>
      </c>
      <c r="D632" t="inlineStr">
        <is>
          <t>WY 39 R136q 1989</t>
        </is>
      </c>
      <c r="E632" t="inlineStr">
        <is>
          <t>0                      WY 0039000R  136q        1989</t>
        </is>
      </c>
      <c r="F632" t="inlineStr">
        <is>
          <t>Quick reference to maternity nursing / Beverly Raff, Arlyne Friesner.</t>
        </is>
      </c>
      <c r="H632" t="inlineStr">
        <is>
          <t>No</t>
        </is>
      </c>
      <c r="I632" t="inlineStr">
        <is>
          <t>1</t>
        </is>
      </c>
      <c r="J632" t="inlineStr">
        <is>
          <t>No</t>
        </is>
      </c>
      <c r="K632" t="inlineStr">
        <is>
          <t>No</t>
        </is>
      </c>
      <c r="L632" t="inlineStr">
        <is>
          <t>0</t>
        </is>
      </c>
      <c r="M632" t="inlineStr">
        <is>
          <t>Raff, Beverly S.</t>
        </is>
      </c>
      <c r="N632" t="inlineStr">
        <is>
          <t>Rockville, Md. : Aspen Publishers, c1989.</t>
        </is>
      </c>
      <c r="O632" t="inlineStr">
        <is>
          <t>1989</t>
        </is>
      </c>
      <c r="Q632" t="inlineStr">
        <is>
          <t>eng</t>
        </is>
      </c>
      <c r="R632" t="inlineStr">
        <is>
          <t>xxu</t>
        </is>
      </c>
      <c r="T632" t="inlineStr">
        <is>
          <t xml:space="preserve">WY </t>
        </is>
      </c>
      <c r="U632" t="n">
        <v>6</v>
      </c>
      <c r="V632" t="n">
        <v>6</v>
      </c>
      <c r="W632" t="inlineStr">
        <is>
          <t>1989-09-18</t>
        </is>
      </c>
      <c r="X632" t="inlineStr">
        <is>
          <t>1989-09-18</t>
        </is>
      </c>
      <c r="Y632" t="inlineStr">
        <is>
          <t>1989-09-12</t>
        </is>
      </c>
      <c r="Z632" t="inlineStr">
        <is>
          <t>1989-09-12</t>
        </is>
      </c>
      <c r="AA632" t="n">
        <v>93</v>
      </c>
      <c r="AB632" t="n">
        <v>76</v>
      </c>
      <c r="AC632" t="n">
        <v>78</v>
      </c>
      <c r="AD632" t="n">
        <v>1</v>
      </c>
      <c r="AE632" t="n">
        <v>1</v>
      </c>
      <c r="AF632" t="n">
        <v>2</v>
      </c>
      <c r="AG632" t="n">
        <v>2</v>
      </c>
      <c r="AH632" t="n">
        <v>0</v>
      </c>
      <c r="AI632" t="n">
        <v>0</v>
      </c>
      <c r="AJ632" t="n">
        <v>0</v>
      </c>
      <c r="AK632" t="n">
        <v>0</v>
      </c>
      <c r="AL632" t="n">
        <v>2</v>
      </c>
      <c r="AM632" t="n">
        <v>2</v>
      </c>
      <c r="AN632" t="n">
        <v>0</v>
      </c>
      <c r="AO632" t="n">
        <v>0</v>
      </c>
      <c r="AP632" t="n">
        <v>0</v>
      </c>
      <c r="AQ632" t="n">
        <v>0</v>
      </c>
      <c r="AR632" t="inlineStr">
        <is>
          <t>No</t>
        </is>
      </c>
      <c r="AS632" t="inlineStr">
        <is>
          <t>Yes</t>
        </is>
      </c>
      <c r="AT632">
        <f>HYPERLINK("http://catalog.hathitrust.org/Record/001288612","HathiTrust Record")</f>
        <v/>
      </c>
      <c r="AU632">
        <f>HYPERLINK("https://creighton-primo.hosted.exlibrisgroup.com/primo-explore/search?tab=default_tab&amp;search_scope=EVERYTHING&amp;vid=01CRU&amp;lang=en_US&amp;offset=0&amp;query=any,contains,991001317939702656","Catalog Record")</f>
        <v/>
      </c>
      <c r="AV632">
        <f>HYPERLINK("http://www.worldcat.org/oclc/18960919","WorldCat Record")</f>
        <v/>
      </c>
      <c r="AW632" t="inlineStr">
        <is>
          <t>18409992:eng</t>
        </is>
      </c>
      <c r="AX632" t="inlineStr">
        <is>
          <t>18960919</t>
        </is>
      </c>
      <c r="AY632" t="inlineStr">
        <is>
          <t>991001317939702656</t>
        </is>
      </c>
      <c r="AZ632" t="inlineStr">
        <is>
          <t>991001317939702656</t>
        </is>
      </c>
      <c r="BA632" t="inlineStr">
        <is>
          <t>2270578610002656</t>
        </is>
      </c>
      <c r="BB632" t="inlineStr">
        <is>
          <t>BOOK</t>
        </is>
      </c>
      <c r="BD632" t="inlineStr">
        <is>
          <t>9780834200517</t>
        </is>
      </c>
      <c r="BE632" t="inlineStr">
        <is>
          <t>30001001753344</t>
        </is>
      </c>
      <c r="BF632" t="inlineStr">
        <is>
          <t>893816295</t>
        </is>
      </c>
    </row>
    <row r="633">
      <c r="A633" t="inlineStr">
        <is>
          <t>No</t>
        </is>
      </c>
      <c r="B633" t="inlineStr">
        <is>
          <t>CUHSL</t>
        </is>
      </c>
      <c r="C633" t="inlineStr">
        <is>
          <t>SHELVES</t>
        </is>
      </c>
      <c r="D633" t="inlineStr">
        <is>
          <t>WY 39 S326c 1985</t>
        </is>
      </c>
      <c r="E633" t="inlineStr">
        <is>
          <t>0                      WY 0039000S  326c        1985</t>
        </is>
      </c>
      <c r="F633" t="inlineStr">
        <is>
          <t>Community health nursing care plans : a guide for home health care professionals / Susan L. Scherman.</t>
        </is>
      </c>
      <c r="H633" t="inlineStr">
        <is>
          <t>No</t>
        </is>
      </c>
      <c r="I633" t="inlineStr">
        <is>
          <t>1</t>
        </is>
      </c>
      <c r="J633" t="inlineStr">
        <is>
          <t>No</t>
        </is>
      </c>
      <c r="K633" t="inlineStr">
        <is>
          <t>Yes</t>
        </is>
      </c>
      <c r="L633" t="inlineStr">
        <is>
          <t>0</t>
        </is>
      </c>
      <c r="M633" t="inlineStr">
        <is>
          <t>Scherman, Susan L.</t>
        </is>
      </c>
      <c r="N633" t="inlineStr">
        <is>
          <t>New York : Wiley, c1985.</t>
        </is>
      </c>
      <c r="O633" t="inlineStr">
        <is>
          <t>1985</t>
        </is>
      </c>
      <c r="Q633" t="inlineStr">
        <is>
          <t>eng</t>
        </is>
      </c>
      <c r="R633" t="inlineStr">
        <is>
          <t>xxu</t>
        </is>
      </c>
      <c r="S633" t="inlineStr">
        <is>
          <t>A Wiley medical publication</t>
        </is>
      </c>
      <c r="T633" t="inlineStr">
        <is>
          <t xml:space="preserve">WY </t>
        </is>
      </c>
      <c r="U633" t="n">
        <v>6</v>
      </c>
      <c r="V633" t="n">
        <v>6</v>
      </c>
      <c r="W633" t="inlineStr">
        <is>
          <t>1988-09-01</t>
        </is>
      </c>
      <c r="X633" t="inlineStr">
        <is>
          <t>1988-09-01</t>
        </is>
      </c>
      <c r="Y633" t="inlineStr">
        <is>
          <t>1987-10-22</t>
        </is>
      </c>
      <c r="Z633" t="inlineStr">
        <is>
          <t>1987-10-22</t>
        </is>
      </c>
      <c r="AA633" t="n">
        <v>51</v>
      </c>
      <c r="AB633" t="n">
        <v>44</v>
      </c>
      <c r="AC633" t="n">
        <v>269</v>
      </c>
      <c r="AD633" t="n">
        <v>2</v>
      </c>
      <c r="AE633" t="n">
        <v>3</v>
      </c>
      <c r="AF633" t="n">
        <v>0</v>
      </c>
      <c r="AG633" t="n">
        <v>8</v>
      </c>
      <c r="AH633" t="n">
        <v>0</v>
      </c>
      <c r="AI633" t="n">
        <v>3</v>
      </c>
      <c r="AJ633" t="n">
        <v>0</v>
      </c>
      <c r="AK633" t="n">
        <v>1</v>
      </c>
      <c r="AL633" t="n">
        <v>0</v>
      </c>
      <c r="AM633" t="n">
        <v>6</v>
      </c>
      <c r="AN633" t="n">
        <v>0</v>
      </c>
      <c r="AO633" t="n">
        <v>1</v>
      </c>
      <c r="AP633" t="n">
        <v>0</v>
      </c>
      <c r="AQ633" t="n">
        <v>0</v>
      </c>
      <c r="AR633" t="inlineStr">
        <is>
          <t>No</t>
        </is>
      </c>
      <c r="AS633" t="inlineStr">
        <is>
          <t>No</t>
        </is>
      </c>
      <c r="AU633">
        <f>HYPERLINK("https://creighton-primo.hosted.exlibrisgroup.com/primo-explore/search?tab=default_tab&amp;search_scope=EVERYTHING&amp;vid=01CRU&amp;lang=en_US&amp;offset=0&amp;query=any,contains,991000738839702656","Catalog Record")</f>
        <v/>
      </c>
      <c r="AV633">
        <f>HYPERLINK("http://www.worldcat.org/oclc/11044246","WorldCat Record")</f>
        <v/>
      </c>
      <c r="AW633" t="inlineStr">
        <is>
          <t>836674199:eng</t>
        </is>
      </c>
      <c r="AX633" t="inlineStr">
        <is>
          <t>11044246</t>
        </is>
      </c>
      <c r="AY633" t="inlineStr">
        <is>
          <t>991000738839702656</t>
        </is>
      </c>
      <c r="AZ633" t="inlineStr">
        <is>
          <t>991000738839702656</t>
        </is>
      </c>
      <c r="BA633" t="inlineStr">
        <is>
          <t>2260960140002656</t>
        </is>
      </c>
      <c r="BB633" t="inlineStr">
        <is>
          <t>BOOK</t>
        </is>
      </c>
      <c r="BD633" t="inlineStr">
        <is>
          <t>9780471812999</t>
        </is>
      </c>
      <c r="BE633" t="inlineStr">
        <is>
          <t>30001000042749</t>
        </is>
      </c>
      <c r="BF633" t="inlineStr">
        <is>
          <t>893545726</t>
        </is>
      </c>
    </row>
    <row r="634">
      <c r="A634" t="inlineStr">
        <is>
          <t>No</t>
        </is>
      </c>
      <c r="B634" t="inlineStr">
        <is>
          <t>CUHSL</t>
        </is>
      </c>
      <c r="C634" t="inlineStr">
        <is>
          <t>SHELVES</t>
        </is>
      </c>
      <c r="D634" t="inlineStr">
        <is>
          <t>WY 39 S389m 1990</t>
        </is>
      </c>
      <c r="E634" t="inlineStr">
        <is>
          <t>0                      WY 0039000S  389m        1990</t>
        </is>
      </c>
      <c r="F634" t="inlineStr">
        <is>
          <t>Manual of psychiatric nursing care plans / Judith M. Schultz, Sheila L. Dark.</t>
        </is>
      </c>
      <c r="H634" t="inlineStr">
        <is>
          <t>No</t>
        </is>
      </c>
      <c r="I634" t="inlineStr">
        <is>
          <t>1</t>
        </is>
      </c>
      <c r="J634" t="inlineStr">
        <is>
          <t>No</t>
        </is>
      </c>
      <c r="K634" t="inlineStr">
        <is>
          <t>No</t>
        </is>
      </c>
      <c r="L634" t="inlineStr">
        <is>
          <t>0</t>
        </is>
      </c>
      <c r="M634" t="inlineStr">
        <is>
          <t>Schultz, Judith M.</t>
        </is>
      </c>
      <c r="N634" t="inlineStr">
        <is>
          <t>Glenview, IL : Scott, Foresman and Co., c1990.</t>
        </is>
      </c>
      <c r="O634" t="inlineStr">
        <is>
          <t>1990</t>
        </is>
      </c>
      <c r="P634" t="inlineStr">
        <is>
          <t>3rd ed.</t>
        </is>
      </c>
      <c r="Q634" t="inlineStr">
        <is>
          <t>eng</t>
        </is>
      </c>
      <c r="R634" t="inlineStr">
        <is>
          <t>xxu</t>
        </is>
      </c>
      <c r="T634" t="inlineStr">
        <is>
          <t xml:space="preserve">WY </t>
        </is>
      </c>
      <c r="U634" t="n">
        <v>37</v>
      </c>
      <c r="V634" t="n">
        <v>37</v>
      </c>
      <c r="W634" t="inlineStr">
        <is>
          <t>2001-07-22</t>
        </is>
      </c>
      <c r="X634" t="inlineStr">
        <is>
          <t>2001-07-22</t>
        </is>
      </c>
      <c r="Y634" t="inlineStr">
        <is>
          <t>1990-09-05</t>
        </is>
      </c>
      <c r="Z634" t="inlineStr">
        <is>
          <t>1990-09-05</t>
        </is>
      </c>
      <c r="AA634" t="n">
        <v>132</v>
      </c>
      <c r="AB634" t="n">
        <v>103</v>
      </c>
      <c r="AC634" t="n">
        <v>313</v>
      </c>
      <c r="AD634" t="n">
        <v>2</v>
      </c>
      <c r="AE634" t="n">
        <v>3</v>
      </c>
      <c r="AF634" t="n">
        <v>2</v>
      </c>
      <c r="AG634" t="n">
        <v>9</v>
      </c>
      <c r="AH634" t="n">
        <v>0</v>
      </c>
      <c r="AI634" t="n">
        <v>2</v>
      </c>
      <c r="AJ634" t="n">
        <v>1</v>
      </c>
      <c r="AK634" t="n">
        <v>2</v>
      </c>
      <c r="AL634" t="n">
        <v>2</v>
      </c>
      <c r="AM634" t="n">
        <v>5</v>
      </c>
      <c r="AN634" t="n">
        <v>0</v>
      </c>
      <c r="AO634" t="n">
        <v>1</v>
      </c>
      <c r="AP634" t="n">
        <v>0</v>
      </c>
      <c r="AQ634" t="n">
        <v>0</v>
      </c>
      <c r="AR634" t="inlineStr">
        <is>
          <t>No</t>
        </is>
      </c>
      <c r="AS634" t="inlineStr">
        <is>
          <t>No</t>
        </is>
      </c>
      <c r="AU634">
        <f>HYPERLINK("https://creighton-primo.hosted.exlibrisgroup.com/primo-explore/search?tab=default_tab&amp;search_scope=EVERYTHING&amp;vid=01CRU&amp;lang=en_US&amp;offset=0&amp;query=any,contains,991001454149702656","Catalog Record")</f>
        <v/>
      </c>
      <c r="AV634">
        <f>HYPERLINK("http://www.worldcat.org/oclc/20264554","WorldCat Record")</f>
        <v/>
      </c>
      <c r="AW634" t="inlineStr">
        <is>
          <t>3893616588:eng</t>
        </is>
      </c>
      <c r="AX634" t="inlineStr">
        <is>
          <t>20264554</t>
        </is>
      </c>
      <c r="AY634" t="inlineStr">
        <is>
          <t>991001454149702656</t>
        </is>
      </c>
      <c r="AZ634" t="inlineStr">
        <is>
          <t>991001454149702656</t>
        </is>
      </c>
      <c r="BA634" t="inlineStr">
        <is>
          <t>2265018150002656</t>
        </is>
      </c>
      <c r="BB634" t="inlineStr">
        <is>
          <t>BOOK</t>
        </is>
      </c>
      <c r="BD634" t="inlineStr">
        <is>
          <t>9780673520494</t>
        </is>
      </c>
      <c r="BE634" t="inlineStr">
        <is>
          <t>30001001884362</t>
        </is>
      </c>
      <c r="BF634" t="inlineStr">
        <is>
          <t>893541424</t>
        </is>
      </c>
    </row>
    <row r="635">
      <c r="A635" t="inlineStr">
        <is>
          <t>No</t>
        </is>
      </c>
      <c r="B635" t="inlineStr">
        <is>
          <t>CUHSL</t>
        </is>
      </c>
      <c r="C635" t="inlineStr">
        <is>
          <t>SHELVES</t>
        </is>
      </c>
      <c r="D635" t="inlineStr">
        <is>
          <t>WY 39 S626m 1992</t>
        </is>
      </c>
      <c r="E635" t="inlineStr">
        <is>
          <t>0                      WY 0039000S  626m        1992</t>
        </is>
      </c>
      <c r="F635" t="inlineStr">
        <is>
          <t>Manual of pediatric nursing procedures / Nedra Skale.</t>
        </is>
      </c>
      <c r="H635" t="inlineStr">
        <is>
          <t>No</t>
        </is>
      </c>
      <c r="I635" t="inlineStr">
        <is>
          <t>1</t>
        </is>
      </c>
      <c r="J635" t="inlineStr">
        <is>
          <t>No</t>
        </is>
      </c>
      <c r="K635" t="inlineStr">
        <is>
          <t>No</t>
        </is>
      </c>
      <c r="L635" t="inlineStr">
        <is>
          <t>0</t>
        </is>
      </c>
      <c r="M635" t="inlineStr">
        <is>
          <t>Skale, Nedra.</t>
        </is>
      </c>
      <c r="N635" t="inlineStr">
        <is>
          <t>Philadelphia : Lippincott, c1992.</t>
        </is>
      </c>
      <c r="O635" t="inlineStr">
        <is>
          <t>1992</t>
        </is>
      </c>
      <c r="Q635" t="inlineStr">
        <is>
          <t>eng</t>
        </is>
      </c>
      <c r="R635" t="inlineStr">
        <is>
          <t>pau</t>
        </is>
      </c>
      <c r="T635" t="inlineStr">
        <is>
          <t xml:space="preserve">WY </t>
        </is>
      </c>
      <c r="U635" t="n">
        <v>7</v>
      </c>
      <c r="V635" t="n">
        <v>7</v>
      </c>
      <c r="W635" t="inlineStr">
        <is>
          <t>1993-03-29</t>
        </is>
      </c>
      <c r="X635" t="inlineStr">
        <is>
          <t>1993-03-29</t>
        </is>
      </c>
      <c r="Y635" t="inlineStr">
        <is>
          <t>1992-05-15</t>
        </is>
      </c>
      <c r="Z635" t="inlineStr">
        <is>
          <t>1992-05-15</t>
        </is>
      </c>
      <c r="AA635" t="n">
        <v>220</v>
      </c>
      <c r="AB635" t="n">
        <v>175</v>
      </c>
      <c r="AC635" t="n">
        <v>175</v>
      </c>
      <c r="AD635" t="n">
        <v>1</v>
      </c>
      <c r="AE635" t="n">
        <v>1</v>
      </c>
      <c r="AF635" t="n">
        <v>4</v>
      </c>
      <c r="AG635" t="n">
        <v>4</v>
      </c>
      <c r="AH635" t="n">
        <v>0</v>
      </c>
      <c r="AI635" t="n">
        <v>0</v>
      </c>
      <c r="AJ635" t="n">
        <v>1</v>
      </c>
      <c r="AK635" t="n">
        <v>1</v>
      </c>
      <c r="AL635" t="n">
        <v>4</v>
      </c>
      <c r="AM635" t="n">
        <v>4</v>
      </c>
      <c r="AN635" t="n">
        <v>0</v>
      </c>
      <c r="AO635" t="n">
        <v>0</v>
      </c>
      <c r="AP635" t="n">
        <v>0</v>
      </c>
      <c r="AQ635" t="n">
        <v>0</v>
      </c>
      <c r="AR635" t="inlineStr">
        <is>
          <t>No</t>
        </is>
      </c>
      <c r="AS635" t="inlineStr">
        <is>
          <t>No</t>
        </is>
      </c>
      <c r="AU635">
        <f>HYPERLINK("https://creighton-primo.hosted.exlibrisgroup.com/primo-explore/search?tab=default_tab&amp;search_scope=EVERYTHING&amp;vid=01CRU&amp;lang=en_US&amp;offset=0&amp;query=any,contains,991001304429702656","Catalog Record")</f>
        <v/>
      </c>
      <c r="AV635">
        <f>HYPERLINK("http://www.worldcat.org/oclc/23651980","WorldCat Record")</f>
        <v/>
      </c>
      <c r="AW635" t="inlineStr">
        <is>
          <t>24768849:eng</t>
        </is>
      </c>
      <c r="AX635" t="inlineStr">
        <is>
          <t>23651980</t>
        </is>
      </c>
      <c r="AY635" t="inlineStr">
        <is>
          <t>991001304429702656</t>
        </is>
      </c>
      <c r="AZ635" t="inlineStr">
        <is>
          <t>991001304429702656</t>
        </is>
      </c>
      <c r="BA635" t="inlineStr">
        <is>
          <t>2262867170002656</t>
        </is>
      </c>
      <c r="BB635" t="inlineStr">
        <is>
          <t>BOOK</t>
        </is>
      </c>
      <c r="BD635" t="inlineStr">
        <is>
          <t>9780397547821</t>
        </is>
      </c>
      <c r="BE635" t="inlineStr">
        <is>
          <t>30001002413096</t>
        </is>
      </c>
      <c r="BF635" t="inlineStr">
        <is>
          <t>893134461</t>
        </is>
      </c>
    </row>
    <row r="636">
      <c r="A636" t="inlineStr">
        <is>
          <t>No</t>
        </is>
      </c>
      <c r="B636" t="inlineStr">
        <is>
          <t>CUHSL</t>
        </is>
      </c>
      <c r="C636" t="inlineStr">
        <is>
          <t>SHELVES</t>
        </is>
      </c>
      <c r="D636" t="inlineStr">
        <is>
          <t>WY 39 S628m 1986</t>
        </is>
      </c>
      <c r="E636" t="inlineStr">
        <is>
          <t>0                      WY 0039000S  628m        1986</t>
        </is>
      </c>
      <c r="F636" t="inlineStr">
        <is>
          <t>Medical-surgical nursing care plans : nursing diagnosis and interventions / Linda Skidmore-Roth, Marie Jaffe.</t>
        </is>
      </c>
      <c r="H636" t="inlineStr">
        <is>
          <t>No</t>
        </is>
      </c>
      <c r="I636" t="inlineStr">
        <is>
          <t>1</t>
        </is>
      </c>
      <c r="J636" t="inlineStr">
        <is>
          <t>No</t>
        </is>
      </c>
      <c r="K636" t="inlineStr">
        <is>
          <t>Yes</t>
        </is>
      </c>
      <c r="L636" t="inlineStr">
        <is>
          <t>0</t>
        </is>
      </c>
      <c r="M636" t="inlineStr">
        <is>
          <t>Skidmore-Roth, Linda.</t>
        </is>
      </c>
      <c r="N636" t="inlineStr">
        <is>
          <t>Norwalk, Conn. : Appleton-Century-Crofts, c1986.</t>
        </is>
      </c>
      <c r="O636" t="inlineStr">
        <is>
          <t>1986</t>
        </is>
      </c>
      <c r="Q636" t="inlineStr">
        <is>
          <t>eng</t>
        </is>
      </c>
      <c r="R636" t="inlineStr">
        <is>
          <t>xxu</t>
        </is>
      </c>
      <c r="T636" t="inlineStr">
        <is>
          <t xml:space="preserve">WY </t>
        </is>
      </c>
      <c r="U636" t="n">
        <v>17</v>
      </c>
      <c r="V636" t="n">
        <v>17</v>
      </c>
      <c r="W636" t="inlineStr">
        <is>
          <t>1996-09-23</t>
        </is>
      </c>
      <c r="X636" t="inlineStr">
        <is>
          <t>1996-09-23</t>
        </is>
      </c>
      <c r="Y636" t="inlineStr">
        <is>
          <t>1987-12-28</t>
        </is>
      </c>
      <c r="Z636" t="inlineStr">
        <is>
          <t>1987-12-28</t>
        </is>
      </c>
      <c r="AA636" t="n">
        <v>124</v>
      </c>
      <c r="AB636" t="n">
        <v>101</v>
      </c>
      <c r="AC636" t="n">
        <v>377</v>
      </c>
      <c r="AD636" t="n">
        <v>1</v>
      </c>
      <c r="AE636" t="n">
        <v>2</v>
      </c>
      <c r="AF636" t="n">
        <v>4</v>
      </c>
      <c r="AG636" t="n">
        <v>10</v>
      </c>
      <c r="AH636" t="n">
        <v>1</v>
      </c>
      <c r="AI636" t="n">
        <v>5</v>
      </c>
      <c r="AJ636" t="n">
        <v>0</v>
      </c>
      <c r="AK636" t="n">
        <v>1</v>
      </c>
      <c r="AL636" t="n">
        <v>3</v>
      </c>
      <c r="AM636" t="n">
        <v>6</v>
      </c>
      <c r="AN636" t="n">
        <v>0</v>
      </c>
      <c r="AO636" t="n">
        <v>0</v>
      </c>
      <c r="AP636" t="n">
        <v>0</v>
      </c>
      <c r="AQ636" t="n">
        <v>0</v>
      </c>
      <c r="AR636" t="inlineStr">
        <is>
          <t>No</t>
        </is>
      </c>
      <c r="AS636" t="inlineStr">
        <is>
          <t>No</t>
        </is>
      </c>
      <c r="AU636">
        <f>HYPERLINK("https://creighton-primo.hosted.exlibrisgroup.com/primo-explore/search?tab=default_tab&amp;search_scope=EVERYTHING&amp;vid=01CRU&amp;lang=en_US&amp;offset=0&amp;query=any,contains,991001044879702656","Catalog Record")</f>
        <v/>
      </c>
      <c r="AV636">
        <f>HYPERLINK("http://www.worldcat.org/oclc/13525650","WorldCat Record")</f>
        <v/>
      </c>
      <c r="AW636" t="inlineStr">
        <is>
          <t>836863046:eng</t>
        </is>
      </c>
      <c r="AX636" t="inlineStr">
        <is>
          <t>13525650</t>
        </is>
      </c>
      <c r="AY636" t="inlineStr">
        <is>
          <t>991001044879702656</t>
        </is>
      </c>
      <c r="AZ636" t="inlineStr">
        <is>
          <t>991001044879702656</t>
        </is>
      </c>
      <c r="BA636" t="inlineStr">
        <is>
          <t>2261926180002656</t>
        </is>
      </c>
      <c r="BB636" t="inlineStr">
        <is>
          <t>BOOK</t>
        </is>
      </c>
      <c r="BD636" t="inlineStr">
        <is>
          <t>9780838562796</t>
        </is>
      </c>
      <c r="BE636" t="inlineStr">
        <is>
          <t>30001000243677</t>
        </is>
      </c>
      <c r="BF636" t="inlineStr">
        <is>
          <t>893450804</t>
        </is>
      </c>
    </row>
    <row r="637">
      <c r="A637" t="inlineStr">
        <is>
          <t>No</t>
        </is>
      </c>
      <c r="B637" t="inlineStr">
        <is>
          <t>CUHSL</t>
        </is>
      </c>
      <c r="C637" t="inlineStr">
        <is>
          <t>SHELVES</t>
        </is>
      </c>
      <c r="D637" t="inlineStr">
        <is>
          <t>WY 39 S786h 2000</t>
        </is>
      </c>
      <c r="E637" t="inlineStr">
        <is>
          <t>0                      WY 0039000S  786h        2000</t>
        </is>
      </c>
      <c r="F637" t="inlineStr">
        <is>
          <t>Handbook of community-based and home health nursing : tools for assessment, intervention, and education / Marcia Stanhope, Ruth N. Knollmueller.</t>
        </is>
      </c>
      <c r="H637" t="inlineStr">
        <is>
          <t>No</t>
        </is>
      </c>
      <c r="I637" t="inlineStr">
        <is>
          <t>1</t>
        </is>
      </c>
      <c r="J637" t="inlineStr">
        <is>
          <t>No</t>
        </is>
      </c>
      <c r="K637" t="inlineStr">
        <is>
          <t>No</t>
        </is>
      </c>
      <c r="L637" t="inlineStr">
        <is>
          <t>0</t>
        </is>
      </c>
      <c r="M637" t="inlineStr">
        <is>
          <t>Stanhope, Marcia.</t>
        </is>
      </c>
      <c r="N637" t="inlineStr">
        <is>
          <t>St. Louis : Mosby, c2000.</t>
        </is>
      </c>
      <c r="O637" t="inlineStr">
        <is>
          <t>2000</t>
        </is>
      </c>
      <c r="P637" t="inlineStr">
        <is>
          <t>3rd ed.</t>
        </is>
      </c>
      <c r="Q637" t="inlineStr">
        <is>
          <t>eng</t>
        </is>
      </c>
      <c r="R637" t="inlineStr">
        <is>
          <t>mou</t>
        </is>
      </c>
      <c r="T637" t="inlineStr">
        <is>
          <t xml:space="preserve">WY </t>
        </is>
      </c>
      <c r="U637" t="n">
        <v>1</v>
      </c>
      <c r="V637" t="n">
        <v>1</v>
      </c>
      <c r="W637" t="inlineStr">
        <is>
          <t>2000-04-14</t>
        </is>
      </c>
      <c r="X637" t="inlineStr">
        <is>
          <t>2000-04-14</t>
        </is>
      </c>
      <c r="Y637" t="inlineStr">
        <is>
          <t>2000-04-13</t>
        </is>
      </c>
      <c r="Z637" t="inlineStr">
        <is>
          <t>2000-04-13</t>
        </is>
      </c>
      <c r="AA637" t="n">
        <v>443</v>
      </c>
      <c r="AB637" t="n">
        <v>366</v>
      </c>
      <c r="AC637" t="n">
        <v>368</v>
      </c>
      <c r="AD637" t="n">
        <v>1</v>
      </c>
      <c r="AE637" t="n">
        <v>1</v>
      </c>
      <c r="AF637" t="n">
        <v>11</v>
      </c>
      <c r="AG637" t="n">
        <v>11</v>
      </c>
      <c r="AH637" t="n">
        <v>5</v>
      </c>
      <c r="AI637" t="n">
        <v>5</v>
      </c>
      <c r="AJ637" t="n">
        <v>1</v>
      </c>
      <c r="AK637" t="n">
        <v>1</v>
      </c>
      <c r="AL637" t="n">
        <v>7</v>
      </c>
      <c r="AM637" t="n">
        <v>7</v>
      </c>
      <c r="AN637" t="n">
        <v>0</v>
      </c>
      <c r="AO637" t="n">
        <v>0</v>
      </c>
      <c r="AP637" t="n">
        <v>0</v>
      </c>
      <c r="AQ637" t="n">
        <v>0</v>
      </c>
      <c r="AR637" t="inlineStr">
        <is>
          <t>No</t>
        </is>
      </c>
      <c r="AS637" t="inlineStr">
        <is>
          <t>Yes</t>
        </is>
      </c>
      <c r="AT637">
        <f>HYPERLINK("http://catalog.hathitrust.org/Record/004577314","HathiTrust Record")</f>
        <v/>
      </c>
      <c r="AU637">
        <f>HYPERLINK("https://creighton-primo.hosted.exlibrisgroup.com/primo-explore/search?tab=default_tab&amp;search_scope=EVERYTHING&amp;vid=01CRU&amp;lang=en_US&amp;offset=0&amp;query=any,contains,991001407619702656","Catalog Record")</f>
        <v/>
      </c>
      <c r="AV637">
        <f>HYPERLINK("http://www.worldcat.org/oclc/42621971","WorldCat Record")</f>
        <v/>
      </c>
      <c r="AW637" t="inlineStr">
        <is>
          <t>3754505886:eng</t>
        </is>
      </c>
      <c r="AX637" t="inlineStr">
        <is>
          <t>42621971</t>
        </is>
      </c>
      <c r="AY637" t="inlineStr">
        <is>
          <t>991001407619702656</t>
        </is>
      </c>
      <c r="AZ637" t="inlineStr">
        <is>
          <t>991001407619702656</t>
        </is>
      </c>
      <c r="BA637" t="inlineStr">
        <is>
          <t>2261634160002656</t>
        </is>
      </c>
      <c r="BB637" t="inlineStr">
        <is>
          <t>BOOK</t>
        </is>
      </c>
      <c r="BD637" t="inlineStr">
        <is>
          <t>9780323008754</t>
        </is>
      </c>
      <c r="BE637" t="inlineStr">
        <is>
          <t>30001003824416</t>
        </is>
      </c>
      <c r="BF637" t="inlineStr">
        <is>
          <t>893743772</t>
        </is>
      </c>
    </row>
    <row r="638">
      <c r="A638" t="inlineStr">
        <is>
          <t>No</t>
        </is>
      </c>
      <c r="B638" t="inlineStr">
        <is>
          <t>CUHSL</t>
        </is>
      </c>
      <c r="C638" t="inlineStr">
        <is>
          <t>SHELVES</t>
        </is>
      </c>
      <c r="D638" t="inlineStr">
        <is>
          <t>WY 39 S929p 1988</t>
        </is>
      </c>
      <c r="E638" t="inlineStr">
        <is>
          <t>0                      WY 0039000S  929p        1988</t>
        </is>
      </c>
      <c r="F638" t="inlineStr">
        <is>
          <t>Pocket guide to psychiatric nursing / Gail W. Stuart, Sandra J. Sundeen.</t>
        </is>
      </c>
      <c r="H638" t="inlineStr">
        <is>
          <t>No</t>
        </is>
      </c>
      <c r="I638" t="inlineStr">
        <is>
          <t>1</t>
        </is>
      </c>
      <c r="J638" t="inlineStr">
        <is>
          <t>No</t>
        </is>
      </c>
      <c r="K638" t="inlineStr">
        <is>
          <t>No</t>
        </is>
      </c>
      <c r="L638" t="inlineStr">
        <is>
          <t>0</t>
        </is>
      </c>
      <c r="M638" t="inlineStr">
        <is>
          <t>Stuart, Gail Wiscarz, 1949-</t>
        </is>
      </c>
      <c r="N638" t="inlineStr">
        <is>
          <t>St. Louis : Mosby, c1988.</t>
        </is>
      </c>
      <c r="O638" t="inlineStr">
        <is>
          <t>1988</t>
        </is>
      </c>
      <c r="P638" t="inlineStr">
        <is>
          <t>1st ed.</t>
        </is>
      </c>
      <c r="Q638" t="inlineStr">
        <is>
          <t>eng</t>
        </is>
      </c>
      <c r="R638" t="inlineStr">
        <is>
          <t>xxu</t>
        </is>
      </c>
      <c r="T638" t="inlineStr">
        <is>
          <t xml:space="preserve">WY </t>
        </is>
      </c>
      <c r="U638" t="n">
        <v>11</v>
      </c>
      <c r="V638" t="n">
        <v>11</v>
      </c>
      <c r="W638" t="inlineStr">
        <is>
          <t>1996-09-30</t>
        </is>
      </c>
      <c r="X638" t="inlineStr">
        <is>
          <t>1996-09-30</t>
        </is>
      </c>
      <c r="Y638" t="inlineStr">
        <is>
          <t>1988-05-04</t>
        </is>
      </c>
      <c r="Z638" t="inlineStr">
        <is>
          <t>1988-05-04</t>
        </is>
      </c>
      <c r="AA638" t="n">
        <v>79</v>
      </c>
      <c r="AB638" t="n">
        <v>57</v>
      </c>
      <c r="AC638" t="n">
        <v>62</v>
      </c>
      <c r="AD638" t="n">
        <v>1</v>
      </c>
      <c r="AE638" t="n">
        <v>1</v>
      </c>
      <c r="AF638" t="n">
        <v>1</v>
      </c>
      <c r="AG638" t="n">
        <v>1</v>
      </c>
      <c r="AH638" t="n">
        <v>0</v>
      </c>
      <c r="AI638" t="n">
        <v>0</v>
      </c>
      <c r="AJ638" t="n">
        <v>0</v>
      </c>
      <c r="AK638" t="n">
        <v>0</v>
      </c>
      <c r="AL638" t="n">
        <v>1</v>
      </c>
      <c r="AM638" t="n">
        <v>1</v>
      </c>
      <c r="AN638" t="n">
        <v>0</v>
      </c>
      <c r="AO638" t="n">
        <v>0</v>
      </c>
      <c r="AP638" t="n">
        <v>0</v>
      </c>
      <c r="AQ638" t="n">
        <v>0</v>
      </c>
      <c r="AR638" t="inlineStr">
        <is>
          <t>No</t>
        </is>
      </c>
      <c r="AS638" t="inlineStr">
        <is>
          <t>No</t>
        </is>
      </c>
      <c r="AU638">
        <f>HYPERLINK("https://creighton-primo.hosted.exlibrisgroup.com/primo-explore/search?tab=default_tab&amp;search_scope=EVERYTHING&amp;vid=01CRU&amp;lang=en_US&amp;offset=0&amp;query=any,contains,991001190279702656","Catalog Record")</f>
        <v/>
      </c>
      <c r="AV638">
        <f>HYPERLINK("http://www.worldcat.org/oclc/16867369","WorldCat Record")</f>
        <v/>
      </c>
      <c r="AW638" t="inlineStr">
        <is>
          <t>3855733247:eng</t>
        </is>
      </c>
      <c r="AX638" t="inlineStr">
        <is>
          <t>16867369</t>
        </is>
      </c>
      <c r="AY638" t="inlineStr">
        <is>
          <t>991001190279702656</t>
        </is>
      </c>
      <c r="AZ638" t="inlineStr">
        <is>
          <t>991001190279702656</t>
        </is>
      </c>
      <c r="BA638" t="inlineStr">
        <is>
          <t>2266637950002656</t>
        </is>
      </c>
      <c r="BB638" t="inlineStr">
        <is>
          <t>BOOK</t>
        </is>
      </c>
      <c r="BD638" t="inlineStr">
        <is>
          <t>9780801648564</t>
        </is>
      </c>
      <c r="BE638" t="inlineStr">
        <is>
          <t>30001000979155</t>
        </is>
      </c>
      <c r="BF638" t="inlineStr">
        <is>
          <t>893560902</t>
        </is>
      </c>
    </row>
    <row r="639">
      <c r="A639" t="inlineStr">
        <is>
          <t>No</t>
        </is>
      </c>
      <c r="B639" t="inlineStr">
        <is>
          <t>CUHSL</t>
        </is>
      </c>
      <c r="C639" t="inlineStr">
        <is>
          <t>SHELVES</t>
        </is>
      </c>
      <c r="D639" t="inlineStr">
        <is>
          <t>WY 39 S943L 1991</t>
        </is>
      </c>
      <c r="E639" t="inlineStr">
        <is>
          <t>0                      WY 0039000S  943L        1991</t>
        </is>
      </c>
      <c r="F639" t="inlineStr">
        <is>
          <t>The Lippincott manual of nursing practice.</t>
        </is>
      </c>
      <c r="H639" t="inlineStr">
        <is>
          <t>No</t>
        </is>
      </c>
      <c r="I639" t="inlineStr">
        <is>
          <t>1</t>
        </is>
      </c>
      <c r="J639" t="inlineStr">
        <is>
          <t>No</t>
        </is>
      </c>
      <c r="K639" t="inlineStr">
        <is>
          <t>No</t>
        </is>
      </c>
      <c r="L639" t="inlineStr">
        <is>
          <t>0</t>
        </is>
      </c>
      <c r="M639" t="inlineStr">
        <is>
          <t>Suddarth, Doris Smith.</t>
        </is>
      </c>
      <c r="N639" t="inlineStr">
        <is>
          <t>Philadelphia : Lippincott, c1991.</t>
        </is>
      </c>
      <c r="O639" t="inlineStr">
        <is>
          <t>1991</t>
        </is>
      </c>
      <c r="P639" t="inlineStr">
        <is>
          <t>5th ed. / Doris Smith Suddarth ; contributors, Brenda Bare ... [et al.].</t>
        </is>
      </c>
      <c r="Q639" t="inlineStr">
        <is>
          <t>eng</t>
        </is>
      </c>
      <c r="R639" t="inlineStr">
        <is>
          <t>pau</t>
        </is>
      </c>
      <c r="T639" t="inlineStr">
        <is>
          <t xml:space="preserve">WY </t>
        </is>
      </c>
      <c r="U639" t="n">
        <v>16</v>
      </c>
      <c r="V639" t="n">
        <v>16</v>
      </c>
      <c r="W639" t="inlineStr">
        <is>
          <t>2007-05-24</t>
        </is>
      </c>
      <c r="X639" t="inlineStr">
        <is>
          <t>2007-05-24</t>
        </is>
      </c>
      <c r="Y639" t="inlineStr">
        <is>
          <t>1991-04-23</t>
        </is>
      </c>
      <c r="Z639" t="inlineStr">
        <is>
          <t>1991-04-23</t>
        </is>
      </c>
      <c r="AA639" t="n">
        <v>415</v>
      </c>
      <c r="AB639" t="n">
        <v>340</v>
      </c>
      <c r="AC639" t="n">
        <v>356</v>
      </c>
      <c r="AD639" t="n">
        <v>1</v>
      </c>
      <c r="AE639" t="n">
        <v>1</v>
      </c>
      <c r="AF639" t="n">
        <v>2</v>
      </c>
      <c r="AG639" t="n">
        <v>4</v>
      </c>
      <c r="AH639" t="n">
        <v>0</v>
      </c>
      <c r="AI639" t="n">
        <v>1</v>
      </c>
      <c r="AJ639" t="n">
        <v>0</v>
      </c>
      <c r="AK639" t="n">
        <v>1</v>
      </c>
      <c r="AL639" t="n">
        <v>2</v>
      </c>
      <c r="AM639" t="n">
        <v>2</v>
      </c>
      <c r="AN639" t="n">
        <v>0</v>
      </c>
      <c r="AO639" t="n">
        <v>0</v>
      </c>
      <c r="AP639" t="n">
        <v>0</v>
      </c>
      <c r="AQ639" t="n">
        <v>0</v>
      </c>
      <c r="AR639" t="inlineStr">
        <is>
          <t>No</t>
        </is>
      </c>
      <c r="AS639" t="inlineStr">
        <is>
          <t>Yes</t>
        </is>
      </c>
      <c r="AT639">
        <f>HYPERLINK("http://catalog.hathitrust.org/Record/002437761","HathiTrust Record")</f>
        <v/>
      </c>
      <c r="AU639">
        <f>HYPERLINK("https://creighton-primo.hosted.exlibrisgroup.com/primo-explore/search?tab=default_tab&amp;search_scope=EVERYTHING&amp;vid=01CRU&amp;lang=en_US&amp;offset=0&amp;query=any,contains,991000932919702656","Catalog Record")</f>
        <v/>
      </c>
      <c r="AV639">
        <f>HYPERLINK("http://www.worldcat.org/oclc/22705943","WorldCat Record")</f>
        <v/>
      </c>
      <c r="AW639" t="inlineStr">
        <is>
          <t>3901360399:eng</t>
        </is>
      </c>
      <c r="AX639" t="inlineStr">
        <is>
          <t>22705943</t>
        </is>
      </c>
      <c r="AY639" t="inlineStr">
        <is>
          <t>991000932919702656</t>
        </is>
      </c>
      <c r="AZ639" t="inlineStr">
        <is>
          <t>991000932919702656</t>
        </is>
      </c>
      <c r="BA639" t="inlineStr">
        <is>
          <t>2257555810002656</t>
        </is>
      </c>
      <c r="BB639" t="inlineStr">
        <is>
          <t>BOOK</t>
        </is>
      </c>
      <c r="BD639" t="inlineStr">
        <is>
          <t>9780397547876</t>
        </is>
      </c>
      <c r="BE639" t="inlineStr">
        <is>
          <t>30001002190173</t>
        </is>
      </c>
      <c r="BF639" t="inlineStr">
        <is>
          <t>893167964</t>
        </is>
      </c>
    </row>
    <row r="640">
      <c r="A640" t="inlineStr">
        <is>
          <t>No</t>
        </is>
      </c>
      <c r="B640" t="inlineStr">
        <is>
          <t>CUHSL</t>
        </is>
      </c>
      <c r="C640" t="inlineStr">
        <is>
          <t>SHELVES</t>
        </is>
      </c>
      <c r="D640" t="inlineStr">
        <is>
          <t>WY 39 S961 1986</t>
        </is>
      </c>
      <c r="E640" t="inlineStr">
        <is>
          <t>0                      WY 0039000S  961         1986</t>
        </is>
      </c>
      <c r="F640" t="inlineStr">
        <is>
          <t>Surgical care.</t>
        </is>
      </c>
      <c r="H640" t="inlineStr">
        <is>
          <t>No</t>
        </is>
      </c>
      <c r="I640" t="inlineStr">
        <is>
          <t>1</t>
        </is>
      </c>
      <c r="J640" t="inlineStr">
        <is>
          <t>No</t>
        </is>
      </c>
      <c r="K640" t="inlineStr">
        <is>
          <t>No</t>
        </is>
      </c>
      <c r="L640" t="inlineStr">
        <is>
          <t>0</t>
        </is>
      </c>
      <c r="N640" t="inlineStr">
        <is>
          <t>Springhouse, Pa. : Springhouse Corp., c1986.</t>
        </is>
      </c>
      <c r="O640" t="inlineStr">
        <is>
          <t>1986</t>
        </is>
      </c>
      <c r="Q640" t="inlineStr">
        <is>
          <t>eng</t>
        </is>
      </c>
      <c r="R640" t="inlineStr">
        <is>
          <t>xxu</t>
        </is>
      </c>
      <c r="S640" t="inlineStr">
        <is>
          <t>Clinical pocket manual</t>
        </is>
      </c>
      <c r="T640" t="inlineStr">
        <is>
          <t xml:space="preserve">WY </t>
        </is>
      </c>
      <c r="U640" t="n">
        <v>2</v>
      </c>
      <c r="V640" t="n">
        <v>2</v>
      </c>
      <c r="W640" t="inlineStr">
        <is>
          <t>1991-06-18</t>
        </is>
      </c>
      <c r="X640" t="inlineStr">
        <is>
          <t>1991-06-18</t>
        </is>
      </c>
      <c r="Y640" t="inlineStr">
        <is>
          <t>1987-10-22</t>
        </is>
      </c>
      <c r="Z640" t="inlineStr">
        <is>
          <t>1987-10-22</t>
        </is>
      </c>
      <c r="AA640" t="n">
        <v>48</v>
      </c>
      <c r="AB640" t="n">
        <v>36</v>
      </c>
      <c r="AC640" t="n">
        <v>36</v>
      </c>
      <c r="AD640" t="n">
        <v>2</v>
      </c>
      <c r="AE640" t="n">
        <v>2</v>
      </c>
      <c r="AF640" t="n">
        <v>0</v>
      </c>
      <c r="AG640" t="n">
        <v>0</v>
      </c>
      <c r="AH640" t="n">
        <v>0</v>
      </c>
      <c r="AI640" t="n">
        <v>0</v>
      </c>
      <c r="AJ640" t="n">
        <v>0</v>
      </c>
      <c r="AK640" t="n">
        <v>0</v>
      </c>
      <c r="AL640" t="n">
        <v>0</v>
      </c>
      <c r="AM640" t="n">
        <v>0</v>
      </c>
      <c r="AN640" t="n">
        <v>0</v>
      </c>
      <c r="AO640" t="n">
        <v>0</v>
      </c>
      <c r="AP640" t="n">
        <v>0</v>
      </c>
      <c r="AQ640" t="n">
        <v>0</v>
      </c>
      <c r="AR640" t="inlineStr">
        <is>
          <t>No</t>
        </is>
      </c>
      <c r="AS640" t="inlineStr">
        <is>
          <t>No</t>
        </is>
      </c>
      <c r="AU640">
        <f>HYPERLINK("https://creighton-primo.hosted.exlibrisgroup.com/primo-explore/search?tab=default_tab&amp;search_scope=EVERYTHING&amp;vid=01CRU&amp;lang=en_US&amp;offset=0&amp;query=any,contains,991000738879702656","Catalog Record")</f>
        <v/>
      </c>
      <c r="AV640">
        <f>HYPERLINK("http://www.worldcat.org/oclc/12909180","WorldCat Record")</f>
        <v/>
      </c>
      <c r="AW640" t="inlineStr">
        <is>
          <t>5445667:eng</t>
        </is>
      </c>
      <c r="AX640" t="inlineStr">
        <is>
          <t>12909180</t>
        </is>
      </c>
      <c r="AY640" t="inlineStr">
        <is>
          <t>991000738879702656</t>
        </is>
      </c>
      <c r="AZ640" t="inlineStr">
        <is>
          <t>991000738879702656</t>
        </is>
      </c>
      <c r="BA640" t="inlineStr">
        <is>
          <t>2257591820002656</t>
        </is>
      </c>
      <c r="BB640" t="inlineStr">
        <is>
          <t>BOOK</t>
        </is>
      </c>
      <c r="BD640" t="inlineStr">
        <is>
          <t>9780874340129</t>
        </is>
      </c>
      <c r="BE640" t="inlineStr">
        <is>
          <t>30001000042756</t>
        </is>
      </c>
      <c r="BF640" t="inlineStr">
        <is>
          <t>893731033</t>
        </is>
      </c>
    </row>
    <row r="641">
      <c r="A641" t="inlineStr">
        <is>
          <t>No</t>
        </is>
      </c>
      <c r="B641" t="inlineStr">
        <is>
          <t>CUHSL</t>
        </is>
      </c>
      <c r="C641" t="inlineStr">
        <is>
          <t>SHELVES</t>
        </is>
      </c>
      <c r="D641" t="inlineStr">
        <is>
          <t>WY 39 T139p 1993</t>
        </is>
      </c>
      <c r="E641" t="inlineStr">
        <is>
          <t>0                      WY 0039000T  139p        1993</t>
        </is>
      </c>
      <c r="F641" t="inlineStr">
        <is>
          <t>Pocket guide to critical care assessment / Laura A. Talbot, Mary Meyers-Marquardt.</t>
        </is>
      </c>
      <c r="H641" t="inlineStr">
        <is>
          <t>No</t>
        </is>
      </c>
      <c r="I641" t="inlineStr">
        <is>
          <t>1</t>
        </is>
      </c>
      <c r="J641" t="inlineStr">
        <is>
          <t>No</t>
        </is>
      </c>
      <c r="K641" t="inlineStr">
        <is>
          <t>No</t>
        </is>
      </c>
      <c r="L641" t="inlineStr">
        <is>
          <t>0</t>
        </is>
      </c>
      <c r="M641" t="inlineStr">
        <is>
          <t>Talbot, Laura.</t>
        </is>
      </c>
      <c r="N641" t="inlineStr">
        <is>
          <t>St. Louis : Mosby, c1993.</t>
        </is>
      </c>
      <c r="O641" t="inlineStr">
        <is>
          <t>1993</t>
        </is>
      </c>
      <c r="P641" t="inlineStr">
        <is>
          <t>2nd ed.</t>
        </is>
      </c>
      <c r="Q641" t="inlineStr">
        <is>
          <t>eng</t>
        </is>
      </c>
      <c r="R641" t="inlineStr">
        <is>
          <t>xxu</t>
        </is>
      </c>
      <c r="S641" t="inlineStr">
        <is>
          <t>Pocket guide</t>
        </is>
      </c>
      <c r="T641" t="inlineStr">
        <is>
          <t xml:space="preserve">WY </t>
        </is>
      </c>
      <c r="U641" t="n">
        <v>3</v>
      </c>
      <c r="V641" t="n">
        <v>3</v>
      </c>
      <c r="W641" t="inlineStr">
        <is>
          <t>1994-08-09</t>
        </is>
      </c>
      <c r="X641" t="inlineStr">
        <is>
          <t>1994-08-09</t>
        </is>
      </c>
      <c r="Y641" t="inlineStr">
        <is>
          <t>1994-08-05</t>
        </is>
      </c>
      <c r="Z641" t="inlineStr">
        <is>
          <t>1994-08-05</t>
        </is>
      </c>
      <c r="AA641" t="n">
        <v>63</v>
      </c>
      <c r="AB641" t="n">
        <v>38</v>
      </c>
      <c r="AC641" t="n">
        <v>117</v>
      </c>
      <c r="AD641" t="n">
        <v>1</v>
      </c>
      <c r="AE641" t="n">
        <v>1</v>
      </c>
      <c r="AF641" t="n">
        <v>0</v>
      </c>
      <c r="AG641" t="n">
        <v>4</v>
      </c>
      <c r="AH641" t="n">
        <v>0</v>
      </c>
      <c r="AI641" t="n">
        <v>3</v>
      </c>
      <c r="AJ641" t="n">
        <v>0</v>
      </c>
      <c r="AK641" t="n">
        <v>0</v>
      </c>
      <c r="AL641" t="n">
        <v>0</v>
      </c>
      <c r="AM641" t="n">
        <v>2</v>
      </c>
      <c r="AN641" t="n">
        <v>0</v>
      </c>
      <c r="AO641" t="n">
        <v>0</v>
      </c>
      <c r="AP641" t="n">
        <v>0</v>
      </c>
      <c r="AQ641" t="n">
        <v>0</v>
      </c>
      <c r="AR641" t="inlineStr">
        <is>
          <t>No</t>
        </is>
      </c>
      <c r="AS641" t="inlineStr">
        <is>
          <t>No</t>
        </is>
      </c>
      <c r="AU641">
        <f>HYPERLINK("https://creighton-primo.hosted.exlibrisgroup.com/primo-explore/search?tab=default_tab&amp;search_scope=EVERYTHING&amp;vid=01CRU&amp;lang=en_US&amp;offset=0&amp;query=any,contains,991001119889702656","Catalog Record")</f>
        <v/>
      </c>
      <c r="AV641">
        <f>HYPERLINK("http://www.worldcat.org/oclc/29024036","WorldCat Record")</f>
        <v/>
      </c>
      <c r="AW641" t="inlineStr">
        <is>
          <t>19247118:eng</t>
        </is>
      </c>
      <c r="AX641" t="inlineStr">
        <is>
          <t>29024036</t>
        </is>
      </c>
      <c r="AY641" t="inlineStr">
        <is>
          <t>991001119889702656</t>
        </is>
      </c>
      <c r="AZ641" t="inlineStr">
        <is>
          <t>991001119889702656</t>
        </is>
      </c>
      <c r="BA641" t="inlineStr">
        <is>
          <t>2258300210002656</t>
        </is>
      </c>
      <c r="BB641" t="inlineStr">
        <is>
          <t>BOOK</t>
        </is>
      </c>
      <c r="BD641" t="inlineStr">
        <is>
          <t>9780801666971</t>
        </is>
      </c>
      <c r="BE641" t="inlineStr">
        <is>
          <t>30001002950253</t>
        </is>
      </c>
      <c r="BF641" t="inlineStr">
        <is>
          <t>893731674</t>
        </is>
      </c>
    </row>
    <row r="642">
      <c r="A642" t="inlineStr">
        <is>
          <t>No</t>
        </is>
      </c>
      <c r="B642" t="inlineStr">
        <is>
          <t>CUHSL</t>
        </is>
      </c>
      <c r="C642" t="inlineStr">
        <is>
          <t>SHELVES</t>
        </is>
      </c>
      <c r="D642" t="inlineStr">
        <is>
          <t>WY 39 T749n 1997</t>
        </is>
      </c>
      <c r="E642" t="inlineStr">
        <is>
          <t>0                      WY 0039000T  749n        1997</t>
        </is>
      </c>
      <c r="F642" t="inlineStr">
        <is>
          <t>Nursing diagnoses in psychiatric nursing : a pocket guide for care plan construction / Mary C. Townsend.</t>
        </is>
      </c>
      <c r="H642" t="inlineStr">
        <is>
          <t>No</t>
        </is>
      </c>
      <c r="I642" t="inlineStr">
        <is>
          <t>1</t>
        </is>
      </c>
      <c r="J642" t="inlineStr">
        <is>
          <t>No</t>
        </is>
      </c>
      <c r="K642" t="inlineStr">
        <is>
          <t>No</t>
        </is>
      </c>
      <c r="L642" t="inlineStr">
        <is>
          <t>0</t>
        </is>
      </c>
      <c r="M642" t="inlineStr">
        <is>
          <t>Townsend, Mary C., 1941-</t>
        </is>
      </c>
      <c r="N642" t="inlineStr">
        <is>
          <t>Philadelphia : F.A. Davis, c1997.</t>
        </is>
      </c>
      <c r="O642" t="inlineStr">
        <is>
          <t>1997</t>
        </is>
      </c>
      <c r="P642" t="inlineStr">
        <is>
          <t>4th ed.</t>
        </is>
      </c>
      <c r="Q642" t="inlineStr">
        <is>
          <t>eng</t>
        </is>
      </c>
      <c r="R642" t="inlineStr">
        <is>
          <t>pau</t>
        </is>
      </c>
      <c r="T642" t="inlineStr">
        <is>
          <t xml:space="preserve">WY </t>
        </is>
      </c>
      <c r="U642" t="n">
        <v>6</v>
      </c>
      <c r="V642" t="n">
        <v>6</v>
      </c>
      <c r="W642" t="inlineStr">
        <is>
          <t>1998-01-27</t>
        </is>
      </c>
      <c r="X642" t="inlineStr">
        <is>
          <t>1998-01-27</t>
        </is>
      </c>
      <c r="Y642" t="inlineStr">
        <is>
          <t>1997-05-21</t>
        </is>
      </c>
      <c r="Z642" t="inlineStr">
        <is>
          <t>1997-05-21</t>
        </is>
      </c>
      <c r="AA642" t="n">
        <v>97</v>
      </c>
      <c r="AB642" t="n">
        <v>77</v>
      </c>
      <c r="AC642" t="n">
        <v>309</v>
      </c>
      <c r="AD642" t="n">
        <v>1</v>
      </c>
      <c r="AE642" t="n">
        <v>2</v>
      </c>
      <c r="AF642" t="n">
        <v>4</v>
      </c>
      <c r="AG642" t="n">
        <v>8</v>
      </c>
      <c r="AH642" t="n">
        <v>2</v>
      </c>
      <c r="AI642" t="n">
        <v>4</v>
      </c>
      <c r="AJ642" t="n">
        <v>1</v>
      </c>
      <c r="AK642" t="n">
        <v>2</v>
      </c>
      <c r="AL642" t="n">
        <v>2</v>
      </c>
      <c r="AM642" t="n">
        <v>4</v>
      </c>
      <c r="AN642" t="n">
        <v>0</v>
      </c>
      <c r="AO642" t="n">
        <v>0</v>
      </c>
      <c r="AP642" t="n">
        <v>0</v>
      </c>
      <c r="AQ642" t="n">
        <v>0</v>
      </c>
      <c r="AR642" t="inlineStr">
        <is>
          <t>No</t>
        </is>
      </c>
      <c r="AS642" t="inlineStr">
        <is>
          <t>No</t>
        </is>
      </c>
      <c r="AU642">
        <f>HYPERLINK("https://creighton-primo.hosted.exlibrisgroup.com/primo-explore/search?tab=default_tab&amp;search_scope=EVERYTHING&amp;vid=01CRU&amp;lang=en_US&amp;offset=0&amp;query=any,contains,991001231499702656","Catalog Record")</f>
        <v/>
      </c>
      <c r="AV642">
        <f>HYPERLINK("http://www.worldcat.org/oclc/35926334","WorldCat Record")</f>
        <v/>
      </c>
      <c r="AW642" t="inlineStr">
        <is>
          <t>3855410585:eng</t>
        </is>
      </c>
      <c r="AX642" t="inlineStr">
        <is>
          <t>35926334</t>
        </is>
      </c>
      <c r="AY642" t="inlineStr">
        <is>
          <t>991001231499702656</t>
        </is>
      </c>
      <c r="AZ642" t="inlineStr">
        <is>
          <t>991001231499702656</t>
        </is>
      </c>
      <c r="BA642" t="inlineStr">
        <is>
          <t>2263540340002656</t>
        </is>
      </c>
      <c r="BB642" t="inlineStr">
        <is>
          <t>BOOK</t>
        </is>
      </c>
      <c r="BD642" t="inlineStr">
        <is>
          <t>9780803602908</t>
        </is>
      </c>
      <c r="BE642" t="inlineStr">
        <is>
          <t>30001003673821</t>
        </is>
      </c>
      <c r="BF642" t="inlineStr">
        <is>
          <t>893743682</t>
        </is>
      </c>
    </row>
    <row r="643">
      <c r="A643" t="inlineStr">
        <is>
          <t>No</t>
        </is>
      </c>
      <c r="B643" t="inlineStr">
        <is>
          <t>CUHSL</t>
        </is>
      </c>
      <c r="C643" t="inlineStr">
        <is>
          <t>SHELVES</t>
        </is>
      </c>
      <c r="D643" t="inlineStr">
        <is>
          <t>WY 39 U45m 1994</t>
        </is>
      </c>
      <c r="E643" t="inlineStr">
        <is>
          <t>0                      WY 0039000U  45m         1994</t>
        </is>
      </c>
      <c r="F643" t="inlineStr">
        <is>
          <t>Medical-surgical nursing care planning guides / Susan Puderbaugh Ulrich, Suzanne Weyland Canale, Sharon Andrea Wendell.</t>
        </is>
      </c>
      <c r="H643" t="inlineStr">
        <is>
          <t>No</t>
        </is>
      </c>
      <c r="I643" t="inlineStr">
        <is>
          <t>1</t>
        </is>
      </c>
      <c r="J643" t="inlineStr">
        <is>
          <t>No</t>
        </is>
      </c>
      <c r="K643" t="inlineStr">
        <is>
          <t>No</t>
        </is>
      </c>
      <c r="L643" t="inlineStr">
        <is>
          <t>0</t>
        </is>
      </c>
      <c r="M643" t="inlineStr">
        <is>
          <t>Ulrich, Susan Puderbaugh.</t>
        </is>
      </c>
      <c r="N643" t="inlineStr">
        <is>
          <t>Philadelphia : W.B. Saunders, c1994.</t>
        </is>
      </c>
      <c r="O643" t="inlineStr">
        <is>
          <t>1994</t>
        </is>
      </c>
      <c r="P643" t="inlineStr">
        <is>
          <t>3rd ed.</t>
        </is>
      </c>
      <c r="Q643" t="inlineStr">
        <is>
          <t>eng</t>
        </is>
      </c>
      <c r="R643" t="inlineStr">
        <is>
          <t>pau</t>
        </is>
      </c>
      <c r="T643" t="inlineStr">
        <is>
          <t xml:space="preserve">WY </t>
        </is>
      </c>
      <c r="U643" t="n">
        <v>76</v>
      </c>
      <c r="V643" t="n">
        <v>76</v>
      </c>
      <c r="W643" t="inlineStr">
        <is>
          <t>2001-06-18</t>
        </is>
      </c>
      <c r="X643" t="inlineStr">
        <is>
          <t>2001-06-18</t>
        </is>
      </c>
      <c r="Y643" t="inlineStr">
        <is>
          <t>1994-05-03</t>
        </is>
      </c>
      <c r="Z643" t="inlineStr">
        <is>
          <t>1994-05-03</t>
        </is>
      </c>
      <c r="AA643" t="n">
        <v>245</v>
      </c>
      <c r="AB643" t="n">
        <v>200</v>
      </c>
      <c r="AC643" t="n">
        <v>293</v>
      </c>
      <c r="AD643" t="n">
        <v>2</v>
      </c>
      <c r="AE643" t="n">
        <v>2</v>
      </c>
      <c r="AF643" t="n">
        <v>3</v>
      </c>
      <c r="AG643" t="n">
        <v>6</v>
      </c>
      <c r="AH643" t="n">
        <v>1</v>
      </c>
      <c r="AI643" t="n">
        <v>3</v>
      </c>
      <c r="AJ643" t="n">
        <v>0</v>
      </c>
      <c r="AK643" t="n">
        <v>0</v>
      </c>
      <c r="AL643" t="n">
        <v>2</v>
      </c>
      <c r="AM643" t="n">
        <v>3</v>
      </c>
      <c r="AN643" t="n">
        <v>0</v>
      </c>
      <c r="AO643" t="n">
        <v>0</v>
      </c>
      <c r="AP643" t="n">
        <v>0</v>
      </c>
      <c r="AQ643" t="n">
        <v>0</v>
      </c>
      <c r="AR643" t="inlineStr">
        <is>
          <t>No</t>
        </is>
      </c>
      <c r="AS643" t="inlineStr">
        <is>
          <t>Yes</t>
        </is>
      </c>
      <c r="AT643">
        <f>HYPERLINK("http://catalog.hathitrust.org/Record/002952220","HathiTrust Record")</f>
        <v/>
      </c>
      <c r="AU643">
        <f>HYPERLINK("https://creighton-primo.hosted.exlibrisgroup.com/primo-explore/search?tab=default_tab&amp;search_scope=EVERYTHING&amp;vid=01CRU&amp;lang=en_US&amp;offset=0&amp;query=any,contains,991001160349702656","Catalog Record")</f>
        <v/>
      </c>
      <c r="AV643">
        <f>HYPERLINK("http://www.worldcat.org/oclc/28749378","WorldCat Record")</f>
        <v/>
      </c>
      <c r="AW643" t="inlineStr">
        <is>
          <t>31630294:eng</t>
        </is>
      </c>
      <c r="AX643" t="inlineStr">
        <is>
          <t>28749378</t>
        </is>
      </c>
      <c r="AY643" t="inlineStr">
        <is>
          <t>991001160349702656</t>
        </is>
      </c>
      <c r="AZ643" t="inlineStr">
        <is>
          <t>991001160349702656</t>
        </is>
      </c>
      <c r="BA643" t="inlineStr">
        <is>
          <t>2269473970002656</t>
        </is>
      </c>
      <c r="BB643" t="inlineStr">
        <is>
          <t>BOOK</t>
        </is>
      </c>
      <c r="BD643" t="inlineStr">
        <is>
          <t>9780721651989</t>
        </is>
      </c>
      <c r="BE643" t="inlineStr">
        <is>
          <t>30001002973958</t>
        </is>
      </c>
      <c r="BF643" t="inlineStr">
        <is>
          <t>893740829</t>
        </is>
      </c>
    </row>
    <row r="644">
      <c r="A644" t="inlineStr">
        <is>
          <t>No</t>
        </is>
      </c>
      <c r="B644" t="inlineStr">
        <is>
          <t>CUHSL</t>
        </is>
      </c>
      <c r="C644" t="inlineStr">
        <is>
          <t>SHELVES</t>
        </is>
      </c>
      <c r="D644" t="inlineStr">
        <is>
          <t>WY 39 U45n 1990</t>
        </is>
      </c>
      <c r="E644" t="inlineStr">
        <is>
          <t>0                      WY 0039000U  45n         1990</t>
        </is>
      </c>
      <c r="F644" t="inlineStr">
        <is>
          <t>Nursing care planning guides : a nursing diagnosis approach / by Susan Puderbaugh Ulrich, Suzanne Weyland Canale, Sharon Andrea Wendell.</t>
        </is>
      </c>
      <c r="H644" t="inlineStr">
        <is>
          <t>No</t>
        </is>
      </c>
      <c r="I644" t="inlineStr">
        <is>
          <t>1</t>
        </is>
      </c>
      <c r="J644" t="inlineStr">
        <is>
          <t>No</t>
        </is>
      </c>
      <c r="K644" t="inlineStr">
        <is>
          <t>No</t>
        </is>
      </c>
      <c r="L644" t="inlineStr">
        <is>
          <t>0</t>
        </is>
      </c>
      <c r="M644" t="inlineStr">
        <is>
          <t>Ulrich, Susan Puderbaugh.</t>
        </is>
      </c>
      <c r="N644" t="inlineStr">
        <is>
          <t>Philadelphia : Saunders, c1990.</t>
        </is>
      </c>
      <c r="O644" t="inlineStr">
        <is>
          <t>1990</t>
        </is>
      </c>
      <c r="P644" t="inlineStr">
        <is>
          <t>2nd ed.</t>
        </is>
      </c>
      <c r="Q644" t="inlineStr">
        <is>
          <t>eng</t>
        </is>
      </c>
      <c r="R644" t="inlineStr">
        <is>
          <t>xxu</t>
        </is>
      </c>
      <c r="T644" t="inlineStr">
        <is>
          <t xml:space="preserve">WY </t>
        </is>
      </c>
      <c r="U644" t="n">
        <v>46</v>
      </c>
      <c r="V644" t="n">
        <v>46</v>
      </c>
      <c r="W644" t="inlineStr">
        <is>
          <t>2003-10-26</t>
        </is>
      </c>
      <c r="X644" t="inlineStr">
        <is>
          <t>2003-10-26</t>
        </is>
      </c>
      <c r="Y644" t="inlineStr">
        <is>
          <t>1990-08-16</t>
        </is>
      </c>
      <c r="Z644" t="inlineStr">
        <is>
          <t>1990-08-16</t>
        </is>
      </c>
      <c r="AA644" t="n">
        <v>241</v>
      </c>
      <c r="AB644" t="n">
        <v>190</v>
      </c>
      <c r="AC644" t="n">
        <v>307</v>
      </c>
      <c r="AD644" t="n">
        <v>2</v>
      </c>
      <c r="AE644" t="n">
        <v>3</v>
      </c>
      <c r="AF644" t="n">
        <v>1</v>
      </c>
      <c r="AG644" t="n">
        <v>4</v>
      </c>
      <c r="AH644" t="n">
        <v>0</v>
      </c>
      <c r="AI644" t="n">
        <v>0</v>
      </c>
      <c r="AJ644" t="n">
        <v>0</v>
      </c>
      <c r="AK644" t="n">
        <v>0</v>
      </c>
      <c r="AL644" t="n">
        <v>1</v>
      </c>
      <c r="AM644" t="n">
        <v>3</v>
      </c>
      <c r="AN644" t="n">
        <v>0</v>
      </c>
      <c r="AO644" t="n">
        <v>1</v>
      </c>
      <c r="AP644" t="n">
        <v>0</v>
      </c>
      <c r="AQ644" t="n">
        <v>0</v>
      </c>
      <c r="AR644" t="inlineStr">
        <is>
          <t>No</t>
        </is>
      </c>
      <c r="AS644" t="inlineStr">
        <is>
          <t>Yes</t>
        </is>
      </c>
      <c r="AT644">
        <f>HYPERLINK("http://catalog.hathitrust.org/Record/002165917","HathiTrust Record")</f>
        <v/>
      </c>
      <c r="AU644">
        <f>HYPERLINK("https://creighton-primo.hosted.exlibrisgroup.com/primo-explore/search?tab=default_tab&amp;search_scope=EVERYTHING&amp;vid=01CRU&amp;lang=en_US&amp;offset=0&amp;query=any,contains,991001453379702656","Catalog Record")</f>
        <v/>
      </c>
      <c r="AV644">
        <f>HYPERLINK("http://www.worldcat.org/oclc/20935086","WorldCat Record")</f>
        <v/>
      </c>
      <c r="AW644" t="inlineStr">
        <is>
          <t>3901065065:eng</t>
        </is>
      </c>
      <c r="AX644" t="inlineStr">
        <is>
          <t>20935086</t>
        </is>
      </c>
      <c r="AY644" t="inlineStr">
        <is>
          <t>991001453379702656</t>
        </is>
      </c>
      <c r="AZ644" t="inlineStr">
        <is>
          <t>991001453379702656</t>
        </is>
      </c>
      <c r="BA644" t="inlineStr">
        <is>
          <t>2268242560002656</t>
        </is>
      </c>
      <c r="BB644" t="inlineStr">
        <is>
          <t>BOOK</t>
        </is>
      </c>
      <c r="BD644" t="inlineStr">
        <is>
          <t>9780721630915</t>
        </is>
      </c>
      <c r="BE644" t="inlineStr">
        <is>
          <t>30001001884024</t>
        </is>
      </c>
      <c r="BF644" t="inlineStr">
        <is>
          <t>893268528</t>
        </is>
      </c>
    </row>
    <row r="645">
      <c r="A645" t="inlineStr">
        <is>
          <t>No</t>
        </is>
      </c>
      <c r="B645" t="inlineStr">
        <is>
          <t>CUHSL</t>
        </is>
      </c>
      <c r="C645" t="inlineStr">
        <is>
          <t>SHELVES</t>
        </is>
      </c>
      <c r="D645" t="inlineStr">
        <is>
          <t>WY 39 V886m 1985</t>
        </is>
      </c>
      <c r="E645" t="inlineStr">
        <is>
          <t>0                      WY 0039000V  886m        1985</t>
        </is>
      </c>
      <c r="F645" t="inlineStr">
        <is>
          <t>Mosby's manual of neurological care / Gordon Vogt, Margaret Miller, Myrna Esluer.</t>
        </is>
      </c>
      <c r="H645" t="inlineStr">
        <is>
          <t>No</t>
        </is>
      </c>
      <c r="I645" t="inlineStr">
        <is>
          <t>1</t>
        </is>
      </c>
      <c r="J645" t="inlineStr">
        <is>
          <t>No</t>
        </is>
      </c>
      <c r="K645" t="inlineStr">
        <is>
          <t>No</t>
        </is>
      </c>
      <c r="L645" t="inlineStr">
        <is>
          <t>0</t>
        </is>
      </c>
      <c r="M645" t="inlineStr">
        <is>
          <t>Vogt, Gordon.</t>
        </is>
      </c>
      <c r="N645" t="inlineStr">
        <is>
          <t>St. Louis : Mosby, c1985.</t>
        </is>
      </c>
      <c r="O645" t="inlineStr">
        <is>
          <t>1985</t>
        </is>
      </c>
      <c r="Q645" t="inlineStr">
        <is>
          <t>eng</t>
        </is>
      </c>
      <c r="R645" t="inlineStr">
        <is>
          <t>xxu</t>
        </is>
      </c>
      <c r="T645" t="inlineStr">
        <is>
          <t xml:space="preserve">WY </t>
        </is>
      </c>
      <c r="U645" t="n">
        <v>2</v>
      </c>
      <c r="V645" t="n">
        <v>2</v>
      </c>
      <c r="W645" t="inlineStr">
        <is>
          <t>1996-02-11</t>
        </is>
      </c>
      <c r="X645" t="inlineStr">
        <is>
          <t>1996-02-11</t>
        </is>
      </c>
      <c r="Y645" t="inlineStr">
        <is>
          <t>1987-12-28</t>
        </is>
      </c>
      <c r="Z645" t="inlineStr">
        <is>
          <t>1987-12-28</t>
        </is>
      </c>
      <c r="AA645" t="n">
        <v>235</v>
      </c>
      <c r="AB645" t="n">
        <v>201</v>
      </c>
      <c r="AC645" t="n">
        <v>208</v>
      </c>
      <c r="AD645" t="n">
        <v>2</v>
      </c>
      <c r="AE645" t="n">
        <v>2</v>
      </c>
      <c r="AF645" t="n">
        <v>3</v>
      </c>
      <c r="AG645" t="n">
        <v>3</v>
      </c>
      <c r="AH645" t="n">
        <v>1</v>
      </c>
      <c r="AI645" t="n">
        <v>1</v>
      </c>
      <c r="AJ645" t="n">
        <v>0</v>
      </c>
      <c r="AK645" t="n">
        <v>0</v>
      </c>
      <c r="AL645" t="n">
        <v>3</v>
      </c>
      <c r="AM645" t="n">
        <v>3</v>
      </c>
      <c r="AN645" t="n">
        <v>0</v>
      </c>
      <c r="AO645" t="n">
        <v>0</v>
      </c>
      <c r="AP645" t="n">
        <v>0</v>
      </c>
      <c r="AQ645" t="n">
        <v>0</v>
      </c>
      <c r="AR645" t="inlineStr">
        <is>
          <t>No</t>
        </is>
      </c>
      <c r="AS645" t="inlineStr">
        <is>
          <t>Yes</t>
        </is>
      </c>
      <c r="AT645">
        <f>HYPERLINK("http://catalog.hathitrust.org/Record/000346753","HathiTrust Record")</f>
        <v/>
      </c>
      <c r="AU645">
        <f>HYPERLINK("https://creighton-primo.hosted.exlibrisgroup.com/primo-explore/search?tab=default_tab&amp;search_scope=EVERYTHING&amp;vid=01CRU&amp;lang=en_US&amp;offset=0&amp;query=any,contains,991001131829702656","Catalog Record")</f>
        <v/>
      </c>
      <c r="AV645">
        <f>HYPERLINK("http://www.worldcat.org/oclc/11043051","WorldCat Record")</f>
        <v/>
      </c>
      <c r="AW645" t="inlineStr">
        <is>
          <t>4013733:eng</t>
        </is>
      </c>
      <c r="AX645" t="inlineStr">
        <is>
          <t>11043051</t>
        </is>
      </c>
      <c r="AY645" t="inlineStr">
        <is>
          <t>991001131829702656</t>
        </is>
      </c>
      <c r="AZ645" t="inlineStr">
        <is>
          <t>991001131829702656</t>
        </is>
      </c>
      <c r="BA645" t="inlineStr">
        <is>
          <t>2260414700002656</t>
        </is>
      </c>
      <c r="BB645" t="inlineStr">
        <is>
          <t>BOOK</t>
        </is>
      </c>
      <c r="BD645" t="inlineStr">
        <is>
          <t>9780801652554</t>
        </is>
      </c>
      <c r="BE645" t="inlineStr">
        <is>
          <t>30001000285306</t>
        </is>
      </c>
      <c r="BF645" t="inlineStr">
        <is>
          <t>893284431</t>
        </is>
      </c>
    </row>
    <row r="646">
      <c r="A646" t="inlineStr">
        <is>
          <t>No</t>
        </is>
      </c>
      <c r="B646" t="inlineStr">
        <is>
          <t>CUHSL</t>
        </is>
      </c>
      <c r="C646" t="inlineStr">
        <is>
          <t>SHELVES</t>
        </is>
      </c>
      <c r="D646" t="inlineStr">
        <is>
          <t>WY 39 W613m 1985</t>
        </is>
      </c>
      <c r="E646" t="inlineStr">
        <is>
          <t>0                      WY 0039000W  613m        1985</t>
        </is>
      </c>
      <c r="F646" t="inlineStr">
        <is>
          <t>A manual of clinical obstetrics / Nancy Whitley.</t>
        </is>
      </c>
      <c r="H646" t="inlineStr">
        <is>
          <t>No</t>
        </is>
      </c>
      <c r="I646" t="inlineStr">
        <is>
          <t>1</t>
        </is>
      </c>
      <c r="J646" t="inlineStr">
        <is>
          <t>No</t>
        </is>
      </c>
      <c r="K646" t="inlineStr">
        <is>
          <t>No</t>
        </is>
      </c>
      <c r="L646" t="inlineStr">
        <is>
          <t>0</t>
        </is>
      </c>
      <c r="M646" t="inlineStr">
        <is>
          <t>Whitley, Nancy, 1942-</t>
        </is>
      </c>
      <c r="N646" t="inlineStr">
        <is>
          <t>Philadelphia : Lippincott, c1985.</t>
        </is>
      </c>
      <c r="O646" t="inlineStr">
        <is>
          <t>1985</t>
        </is>
      </c>
      <c r="Q646" t="inlineStr">
        <is>
          <t>eng</t>
        </is>
      </c>
      <c r="R646" t="inlineStr">
        <is>
          <t>xxu</t>
        </is>
      </c>
      <c r="T646" t="inlineStr">
        <is>
          <t xml:space="preserve">WY </t>
        </is>
      </c>
      <c r="U646" t="n">
        <v>8</v>
      </c>
      <c r="V646" t="n">
        <v>8</v>
      </c>
      <c r="W646" t="inlineStr">
        <is>
          <t>1991-02-26</t>
        </is>
      </c>
      <c r="X646" t="inlineStr">
        <is>
          <t>1991-02-26</t>
        </is>
      </c>
      <c r="Y646" t="inlineStr">
        <is>
          <t>1988-02-08</t>
        </is>
      </c>
      <c r="Z646" t="inlineStr">
        <is>
          <t>1988-02-08</t>
        </is>
      </c>
      <c r="AA646" t="n">
        <v>215</v>
      </c>
      <c r="AB646" t="n">
        <v>191</v>
      </c>
      <c r="AC646" t="n">
        <v>193</v>
      </c>
      <c r="AD646" t="n">
        <v>2</v>
      </c>
      <c r="AE646" t="n">
        <v>2</v>
      </c>
      <c r="AF646" t="n">
        <v>7</v>
      </c>
      <c r="AG646" t="n">
        <v>7</v>
      </c>
      <c r="AH646" t="n">
        <v>2</v>
      </c>
      <c r="AI646" t="n">
        <v>2</v>
      </c>
      <c r="AJ646" t="n">
        <v>2</v>
      </c>
      <c r="AK646" t="n">
        <v>2</v>
      </c>
      <c r="AL646" t="n">
        <v>4</v>
      </c>
      <c r="AM646" t="n">
        <v>4</v>
      </c>
      <c r="AN646" t="n">
        <v>0</v>
      </c>
      <c r="AO646" t="n">
        <v>0</v>
      </c>
      <c r="AP646" t="n">
        <v>0</v>
      </c>
      <c r="AQ646" t="n">
        <v>0</v>
      </c>
      <c r="AR646" t="inlineStr">
        <is>
          <t>No</t>
        </is>
      </c>
      <c r="AS646" t="inlineStr">
        <is>
          <t>Yes</t>
        </is>
      </c>
      <c r="AT646">
        <f>HYPERLINK("http://catalog.hathitrust.org/Record/000374837","HathiTrust Record")</f>
        <v/>
      </c>
      <c r="AU646">
        <f>HYPERLINK("https://creighton-primo.hosted.exlibrisgroup.com/primo-explore/search?tab=default_tab&amp;search_scope=EVERYTHING&amp;vid=01CRU&amp;lang=en_US&amp;offset=0&amp;query=any,contains,991000843309702656","Catalog Record")</f>
        <v/>
      </c>
      <c r="AV646">
        <f>HYPERLINK("http://www.worldcat.org/oclc/10605926","WorldCat Record")</f>
        <v/>
      </c>
      <c r="AW646" t="inlineStr">
        <is>
          <t>428427018:eng</t>
        </is>
      </c>
      <c r="AX646" t="inlineStr">
        <is>
          <t>10605926</t>
        </is>
      </c>
      <c r="AY646" t="inlineStr">
        <is>
          <t>991000843309702656</t>
        </is>
      </c>
      <c r="AZ646" t="inlineStr">
        <is>
          <t>991000843309702656</t>
        </is>
      </c>
      <c r="BA646" t="inlineStr">
        <is>
          <t>2262666850002656</t>
        </is>
      </c>
      <c r="BB646" t="inlineStr">
        <is>
          <t>BOOK</t>
        </is>
      </c>
      <c r="BD646" t="inlineStr">
        <is>
          <t>9780397542581</t>
        </is>
      </c>
      <c r="BE646" t="inlineStr">
        <is>
          <t>30001000785743</t>
        </is>
      </c>
      <c r="BF646" t="inlineStr">
        <is>
          <t>893357806</t>
        </is>
      </c>
    </row>
    <row r="647">
      <c r="A647" t="inlineStr">
        <is>
          <t>No</t>
        </is>
      </c>
      <c r="B647" t="inlineStr">
        <is>
          <t>CUHSL</t>
        </is>
      </c>
      <c r="C647" t="inlineStr">
        <is>
          <t>SHELVES</t>
        </is>
      </c>
      <c r="D647" t="inlineStr">
        <is>
          <t>WY 39 W713m 1986</t>
        </is>
      </c>
      <c r="E647" t="inlineStr">
        <is>
          <t>0                      WY 0039000W  713m        1986</t>
        </is>
      </c>
      <c r="F647" t="inlineStr">
        <is>
          <t>Manual of neonatal intensive care nursing / Mary Jane Willett, Marcia Patterson, Beth Steinbock.</t>
        </is>
      </c>
      <c r="H647" t="inlineStr">
        <is>
          <t>No</t>
        </is>
      </c>
      <c r="I647" t="inlineStr">
        <is>
          <t>1</t>
        </is>
      </c>
      <c r="J647" t="inlineStr">
        <is>
          <t>No</t>
        </is>
      </c>
      <c r="K647" t="inlineStr">
        <is>
          <t>No</t>
        </is>
      </c>
      <c r="L647" t="inlineStr">
        <is>
          <t>0</t>
        </is>
      </c>
      <c r="M647" t="inlineStr">
        <is>
          <t>Willett, Mary Jane.</t>
        </is>
      </c>
      <c r="N647" t="inlineStr">
        <is>
          <t>Boston : Little, Brown, c1986.</t>
        </is>
      </c>
      <c r="O647" t="inlineStr">
        <is>
          <t>1986</t>
        </is>
      </c>
      <c r="Q647" t="inlineStr">
        <is>
          <t>eng</t>
        </is>
      </c>
      <c r="R647" t="inlineStr">
        <is>
          <t>xxu</t>
        </is>
      </c>
      <c r="T647" t="inlineStr">
        <is>
          <t xml:space="preserve">WY </t>
        </is>
      </c>
      <c r="U647" t="n">
        <v>5</v>
      </c>
      <c r="V647" t="n">
        <v>5</v>
      </c>
      <c r="W647" t="inlineStr">
        <is>
          <t>1990-03-15</t>
        </is>
      </c>
      <c r="X647" t="inlineStr">
        <is>
          <t>1990-03-15</t>
        </is>
      </c>
      <c r="Y647" t="inlineStr">
        <is>
          <t>1987-12-28</t>
        </is>
      </c>
      <c r="Z647" t="inlineStr">
        <is>
          <t>1987-12-28</t>
        </is>
      </c>
      <c r="AA647" t="n">
        <v>159</v>
      </c>
      <c r="AB647" t="n">
        <v>133</v>
      </c>
      <c r="AC647" t="n">
        <v>136</v>
      </c>
      <c r="AD647" t="n">
        <v>2</v>
      </c>
      <c r="AE647" t="n">
        <v>2</v>
      </c>
      <c r="AF647" t="n">
        <v>5</v>
      </c>
      <c r="AG647" t="n">
        <v>5</v>
      </c>
      <c r="AH647" t="n">
        <v>1</v>
      </c>
      <c r="AI647" t="n">
        <v>1</v>
      </c>
      <c r="AJ647" t="n">
        <v>2</v>
      </c>
      <c r="AK647" t="n">
        <v>2</v>
      </c>
      <c r="AL647" t="n">
        <v>3</v>
      </c>
      <c r="AM647" t="n">
        <v>3</v>
      </c>
      <c r="AN647" t="n">
        <v>0</v>
      </c>
      <c r="AO647" t="n">
        <v>0</v>
      </c>
      <c r="AP647" t="n">
        <v>0</v>
      </c>
      <c r="AQ647" t="n">
        <v>0</v>
      </c>
      <c r="AR647" t="inlineStr">
        <is>
          <t>No</t>
        </is>
      </c>
      <c r="AS647" t="inlineStr">
        <is>
          <t>Yes</t>
        </is>
      </c>
      <c r="AT647">
        <f>HYPERLINK("http://catalog.hathitrust.org/Record/000537352","HathiTrust Record")</f>
        <v/>
      </c>
      <c r="AU647">
        <f>HYPERLINK("https://creighton-primo.hosted.exlibrisgroup.com/primo-explore/search?tab=default_tab&amp;search_scope=EVERYTHING&amp;vid=01CRU&amp;lang=en_US&amp;offset=0&amp;query=any,contains,991001131859702656","Catalog Record")</f>
        <v/>
      </c>
      <c r="AV647">
        <f>HYPERLINK("http://www.worldcat.org/oclc/13093910","WorldCat Record")</f>
        <v/>
      </c>
      <c r="AW647" t="inlineStr">
        <is>
          <t>5838782:eng</t>
        </is>
      </c>
      <c r="AX647" t="inlineStr">
        <is>
          <t>13093910</t>
        </is>
      </c>
      <c r="AY647" t="inlineStr">
        <is>
          <t>991001131859702656</t>
        </is>
      </c>
      <c r="AZ647" t="inlineStr">
        <is>
          <t>991001131859702656</t>
        </is>
      </c>
      <c r="BA647" t="inlineStr">
        <is>
          <t>2256566740002656</t>
        </is>
      </c>
      <c r="BB647" t="inlineStr">
        <is>
          <t>BOOK</t>
        </is>
      </c>
      <c r="BD647" t="inlineStr">
        <is>
          <t>9780316943789</t>
        </is>
      </c>
      <c r="BE647" t="inlineStr">
        <is>
          <t>30001000285314</t>
        </is>
      </c>
      <c r="BF647" t="inlineStr">
        <is>
          <t>893278751</t>
        </is>
      </c>
    </row>
    <row r="648">
      <c r="A648" t="inlineStr">
        <is>
          <t>No</t>
        </is>
      </c>
      <c r="B648" t="inlineStr">
        <is>
          <t>CUHSL</t>
        </is>
      </c>
      <c r="C648" t="inlineStr">
        <is>
          <t>SHELVES</t>
        </is>
      </c>
      <c r="D648" t="inlineStr">
        <is>
          <t>WY49 A111 2005</t>
        </is>
      </c>
      <c r="E648" t="inlineStr">
        <is>
          <t>0                      WY 0049000A  111         2005</t>
        </is>
      </c>
      <c r="F648" t="inlineStr">
        <is>
          <t>AACN procedure manual for critical care / edited by Debra J. Lynn-McHale Wiegand, Karen K. Carlson.</t>
        </is>
      </c>
      <c r="H648" t="inlineStr">
        <is>
          <t>No</t>
        </is>
      </c>
      <c r="I648" t="inlineStr">
        <is>
          <t>1</t>
        </is>
      </c>
      <c r="J648" t="inlineStr">
        <is>
          <t>No</t>
        </is>
      </c>
      <c r="K648" t="inlineStr">
        <is>
          <t>No</t>
        </is>
      </c>
      <c r="L648" t="inlineStr">
        <is>
          <t>0</t>
        </is>
      </c>
      <c r="N648" t="inlineStr">
        <is>
          <t>Philadelphia : Elsevier/Saunders, c2005.</t>
        </is>
      </c>
      <c r="O648" t="inlineStr">
        <is>
          <t>2005</t>
        </is>
      </c>
      <c r="P648" t="inlineStr">
        <is>
          <t>5th ed.</t>
        </is>
      </c>
      <c r="Q648" t="inlineStr">
        <is>
          <t>eng</t>
        </is>
      </c>
      <c r="R648" t="inlineStr">
        <is>
          <t>pau</t>
        </is>
      </c>
      <c r="T648" t="inlineStr">
        <is>
          <t xml:space="preserve">WY </t>
        </is>
      </c>
      <c r="U648" t="n">
        <v>3</v>
      </c>
      <c r="V648" t="n">
        <v>3</v>
      </c>
      <c r="W648" t="inlineStr">
        <is>
          <t>2007-04-02</t>
        </is>
      </c>
      <c r="X648" t="inlineStr">
        <is>
          <t>2007-04-02</t>
        </is>
      </c>
      <c r="Y648" t="inlineStr">
        <is>
          <t>2006-01-25</t>
        </is>
      </c>
      <c r="Z648" t="inlineStr">
        <is>
          <t>2006-01-25</t>
        </is>
      </c>
      <c r="AA648" t="n">
        <v>325</v>
      </c>
      <c r="AB648" t="n">
        <v>264</v>
      </c>
      <c r="AC648" t="n">
        <v>547</v>
      </c>
      <c r="AD648" t="n">
        <v>1</v>
      </c>
      <c r="AE648" t="n">
        <v>4</v>
      </c>
      <c r="AF648" t="n">
        <v>4</v>
      </c>
      <c r="AG648" t="n">
        <v>15</v>
      </c>
      <c r="AH648" t="n">
        <v>3</v>
      </c>
      <c r="AI648" t="n">
        <v>7</v>
      </c>
      <c r="AJ648" t="n">
        <v>0</v>
      </c>
      <c r="AK648" t="n">
        <v>1</v>
      </c>
      <c r="AL648" t="n">
        <v>1</v>
      </c>
      <c r="AM648" t="n">
        <v>5</v>
      </c>
      <c r="AN648" t="n">
        <v>0</v>
      </c>
      <c r="AO648" t="n">
        <v>2</v>
      </c>
      <c r="AP648" t="n">
        <v>0</v>
      </c>
      <c r="AQ648" t="n">
        <v>0</v>
      </c>
      <c r="AR648" t="inlineStr">
        <is>
          <t>No</t>
        </is>
      </c>
      <c r="AS648" t="inlineStr">
        <is>
          <t>Yes</t>
        </is>
      </c>
      <c r="AT648">
        <f>HYPERLINK("http://catalog.hathitrust.org/Record/004994956","HathiTrust Record")</f>
        <v/>
      </c>
      <c r="AU648">
        <f>HYPERLINK("https://creighton-primo.hosted.exlibrisgroup.com/primo-explore/search?tab=default_tab&amp;search_scope=EVERYTHING&amp;vid=01CRU&amp;lang=en_US&amp;offset=0&amp;query=any,contains,991000458189702656","Catalog Record")</f>
        <v/>
      </c>
      <c r="AV648">
        <f>HYPERLINK("http://www.worldcat.org/oclc/60128452","WorldCat Record")</f>
        <v/>
      </c>
      <c r="AW648" t="inlineStr">
        <is>
          <t>374604669:eng</t>
        </is>
      </c>
      <c r="AX648" t="inlineStr">
        <is>
          <t>60128452</t>
        </is>
      </c>
      <c r="AY648" t="inlineStr">
        <is>
          <t>991000458189702656</t>
        </is>
      </c>
      <c r="AZ648" t="inlineStr">
        <is>
          <t>991000458189702656</t>
        </is>
      </c>
      <c r="BA648" t="inlineStr">
        <is>
          <t>2268985500002656</t>
        </is>
      </c>
      <c r="BB648" t="inlineStr">
        <is>
          <t>BOOK</t>
        </is>
      </c>
      <c r="BD648" t="inlineStr">
        <is>
          <t>9780721604527</t>
        </is>
      </c>
      <c r="BE648" t="inlineStr">
        <is>
          <t>30001004913036</t>
        </is>
      </c>
      <c r="BF648" t="inlineStr">
        <is>
          <t>893639241</t>
        </is>
      </c>
    </row>
    <row r="649">
      <c r="A649" t="inlineStr">
        <is>
          <t>No</t>
        </is>
      </c>
      <c r="B649" t="inlineStr">
        <is>
          <t>CUHSL</t>
        </is>
      </c>
      <c r="C649" t="inlineStr">
        <is>
          <t>SHELVES</t>
        </is>
      </c>
      <c r="D649" t="inlineStr">
        <is>
          <t>WY 49 A8455 2005</t>
        </is>
      </c>
      <c r="E649" t="inlineStr">
        <is>
          <t>0                      WY 0049000A  8455        2005</t>
        </is>
      </c>
      <c r="F649" t="inlineStr">
        <is>
          <t>Assessment : a 2-in-1 reference for nurses.</t>
        </is>
      </c>
      <c r="H649" t="inlineStr">
        <is>
          <t>No</t>
        </is>
      </c>
      <c r="I649" t="inlineStr">
        <is>
          <t>1</t>
        </is>
      </c>
      <c r="J649" t="inlineStr">
        <is>
          <t>No</t>
        </is>
      </c>
      <c r="K649" t="inlineStr">
        <is>
          <t>No</t>
        </is>
      </c>
      <c r="L649" t="inlineStr">
        <is>
          <t>0</t>
        </is>
      </c>
      <c r="N649" t="inlineStr">
        <is>
          <t>Philadelphia : Lippincott Williams &amp; Wilkins, c2005.</t>
        </is>
      </c>
      <c r="O649" t="inlineStr">
        <is>
          <t>2005</t>
        </is>
      </c>
      <c r="Q649" t="inlineStr">
        <is>
          <t>eng</t>
        </is>
      </c>
      <c r="R649" t="inlineStr">
        <is>
          <t>pau</t>
        </is>
      </c>
      <c r="T649" t="inlineStr">
        <is>
          <t xml:space="preserve">WY </t>
        </is>
      </c>
      <c r="U649" t="n">
        <v>0</v>
      </c>
      <c r="V649" t="n">
        <v>0</v>
      </c>
      <c r="W649" t="inlineStr">
        <is>
          <t>2004-09-24</t>
        </is>
      </c>
      <c r="X649" t="inlineStr">
        <is>
          <t>2004-09-24</t>
        </is>
      </c>
      <c r="Y649" t="inlineStr">
        <is>
          <t>2004-09-22</t>
        </is>
      </c>
      <c r="Z649" t="inlineStr">
        <is>
          <t>2004-09-22</t>
        </is>
      </c>
      <c r="AA649" t="n">
        <v>145</v>
      </c>
      <c r="AB649" t="n">
        <v>104</v>
      </c>
      <c r="AC649" t="n">
        <v>146</v>
      </c>
      <c r="AD649" t="n">
        <v>2</v>
      </c>
      <c r="AE649" t="n">
        <v>2</v>
      </c>
      <c r="AF649" t="n">
        <v>6</v>
      </c>
      <c r="AG649" t="n">
        <v>7</v>
      </c>
      <c r="AH649" t="n">
        <v>4</v>
      </c>
      <c r="AI649" t="n">
        <v>4</v>
      </c>
      <c r="AJ649" t="n">
        <v>1</v>
      </c>
      <c r="AK649" t="n">
        <v>1</v>
      </c>
      <c r="AL649" t="n">
        <v>1</v>
      </c>
      <c r="AM649" t="n">
        <v>2</v>
      </c>
      <c r="AN649" t="n">
        <v>1</v>
      </c>
      <c r="AO649" t="n">
        <v>1</v>
      </c>
      <c r="AP649" t="n">
        <v>0</v>
      </c>
      <c r="AQ649" t="n">
        <v>0</v>
      </c>
      <c r="AR649" t="inlineStr">
        <is>
          <t>No</t>
        </is>
      </c>
      <c r="AS649" t="inlineStr">
        <is>
          <t>No</t>
        </is>
      </c>
      <c r="AU649">
        <f>HYPERLINK("https://creighton-primo.hosted.exlibrisgroup.com/primo-explore/search?tab=default_tab&amp;search_scope=EVERYTHING&amp;vid=01CRU&amp;lang=en_US&amp;offset=0&amp;query=any,contains,991000394489702656","Catalog Record")</f>
        <v/>
      </c>
      <c r="AV649">
        <f>HYPERLINK("http://www.worldcat.org/oclc/53476782","WorldCat Record")</f>
        <v/>
      </c>
      <c r="AW649" t="inlineStr">
        <is>
          <t>3944301585:eng</t>
        </is>
      </c>
      <c r="AX649" t="inlineStr">
        <is>
          <t>53476782</t>
        </is>
      </c>
      <c r="AY649" t="inlineStr">
        <is>
          <t>991000394489702656</t>
        </is>
      </c>
      <c r="AZ649" t="inlineStr">
        <is>
          <t>991000394489702656</t>
        </is>
      </c>
      <c r="BA649" t="inlineStr">
        <is>
          <t>2268831640002656</t>
        </is>
      </c>
      <c r="BB649" t="inlineStr">
        <is>
          <t>BOOK</t>
        </is>
      </c>
      <c r="BD649" t="inlineStr">
        <is>
          <t>9781582553191</t>
        </is>
      </c>
      <c r="BE649" t="inlineStr">
        <is>
          <t>30001004978450</t>
        </is>
      </c>
      <c r="BF649" t="inlineStr">
        <is>
          <t>893832792</t>
        </is>
      </c>
    </row>
    <row r="650">
      <c r="A650" t="inlineStr">
        <is>
          <t>No</t>
        </is>
      </c>
      <c r="B650" t="inlineStr">
        <is>
          <t>CUHSL</t>
        </is>
      </c>
      <c r="C650" t="inlineStr">
        <is>
          <t>SHELVES</t>
        </is>
      </c>
      <c r="D650" t="inlineStr">
        <is>
          <t>WY 49 C227m 2006</t>
        </is>
      </c>
      <c r="E650" t="inlineStr">
        <is>
          <t>0                      WY 0049000C  227m        2006</t>
        </is>
      </c>
      <c r="F650" t="inlineStr">
        <is>
          <t>Mosby's handbook of patient teaching / Mary M. Canobbio.</t>
        </is>
      </c>
      <c r="H650" t="inlineStr">
        <is>
          <t>No</t>
        </is>
      </c>
      <c r="I650" t="inlineStr">
        <is>
          <t>1</t>
        </is>
      </c>
      <c r="J650" t="inlineStr">
        <is>
          <t>No</t>
        </is>
      </c>
      <c r="K650" t="inlineStr">
        <is>
          <t>No</t>
        </is>
      </c>
      <c r="L650" t="inlineStr">
        <is>
          <t>0</t>
        </is>
      </c>
      <c r="M650" t="inlineStr">
        <is>
          <t>Canobbio, Mary M.</t>
        </is>
      </c>
      <c r="N650" t="inlineStr">
        <is>
          <t>St. Louis, Mo. : Mosby Elsevier, c2006.</t>
        </is>
      </c>
      <c r="O650" t="inlineStr">
        <is>
          <t>2006</t>
        </is>
      </c>
      <c r="P650" t="inlineStr">
        <is>
          <t>3rd ed.</t>
        </is>
      </c>
      <c r="Q650" t="inlineStr">
        <is>
          <t>eng</t>
        </is>
      </c>
      <c r="R650" t="inlineStr">
        <is>
          <t>mou</t>
        </is>
      </c>
      <c r="T650" t="inlineStr">
        <is>
          <t xml:space="preserve">WY </t>
        </is>
      </c>
      <c r="U650" t="n">
        <v>3</v>
      </c>
      <c r="V650" t="n">
        <v>3</v>
      </c>
      <c r="W650" t="inlineStr">
        <is>
          <t>2010-03-20</t>
        </is>
      </c>
      <c r="X650" t="inlineStr">
        <is>
          <t>2010-03-20</t>
        </is>
      </c>
      <c r="Y650" t="inlineStr">
        <is>
          <t>2006-03-16</t>
        </is>
      </c>
      <c r="Z650" t="inlineStr">
        <is>
          <t>2006-03-16</t>
        </is>
      </c>
      <c r="AA650" t="n">
        <v>465</v>
      </c>
      <c r="AB650" t="n">
        <v>384</v>
      </c>
      <c r="AC650" t="n">
        <v>739</v>
      </c>
      <c r="AD650" t="n">
        <v>2</v>
      </c>
      <c r="AE650" t="n">
        <v>3</v>
      </c>
      <c r="AF650" t="n">
        <v>9</v>
      </c>
      <c r="AG650" t="n">
        <v>19</v>
      </c>
      <c r="AH650" t="n">
        <v>5</v>
      </c>
      <c r="AI650" t="n">
        <v>7</v>
      </c>
      <c r="AJ650" t="n">
        <v>1</v>
      </c>
      <c r="AK650" t="n">
        <v>4</v>
      </c>
      <c r="AL650" t="n">
        <v>2</v>
      </c>
      <c r="AM650" t="n">
        <v>9</v>
      </c>
      <c r="AN650" t="n">
        <v>2</v>
      </c>
      <c r="AO650" t="n">
        <v>2</v>
      </c>
      <c r="AP650" t="n">
        <v>0</v>
      </c>
      <c r="AQ650" t="n">
        <v>0</v>
      </c>
      <c r="AR650" t="inlineStr">
        <is>
          <t>No</t>
        </is>
      </c>
      <c r="AS650" t="inlineStr">
        <is>
          <t>No</t>
        </is>
      </c>
      <c r="AU650">
        <f>HYPERLINK("https://creighton-primo.hosted.exlibrisgroup.com/primo-explore/search?tab=default_tab&amp;search_scope=EVERYTHING&amp;vid=01CRU&amp;lang=en_US&amp;offset=0&amp;query=any,contains,991001737219702656","Catalog Record")</f>
        <v/>
      </c>
      <c r="AV650">
        <f>HYPERLINK("http://www.worldcat.org/oclc/62332155","WorldCat Record")</f>
        <v/>
      </c>
      <c r="AW650" t="inlineStr">
        <is>
          <t>2636605:eng</t>
        </is>
      </c>
      <c r="AX650" t="inlineStr">
        <is>
          <t>62332155</t>
        </is>
      </c>
      <c r="AY650" t="inlineStr">
        <is>
          <t>991001737219702656</t>
        </is>
      </c>
      <c r="AZ650" t="inlineStr">
        <is>
          <t>991001737219702656</t>
        </is>
      </c>
      <c r="BA650" t="inlineStr">
        <is>
          <t>2266619100002656</t>
        </is>
      </c>
      <c r="BB650" t="inlineStr">
        <is>
          <t>BOOK</t>
        </is>
      </c>
      <c r="BD650" t="inlineStr">
        <is>
          <t>9780323032087</t>
        </is>
      </c>
      <c r="BE650" t="inlineStr">
        <is>
          <t>30001005126331</t>
        </is>
      </c>
      <c r="BF650" t="inlineStr">
        <is>
          <t>893465791</t>
        </is>
      </c>
    </row>
    <row r="651">
      <c r="A651" t="inlineStr">
        <is>
          <t>No</t>
        </is>
      </c>
      <c r="B651" t="inlineStr">
        <is>
          <t>CUHSL</t>
        </is>
      </c>
      <c r="C651" t="inlineStr">
        <is>
          <t>SHELVES</t>
        </is>
      </c>
      <c r="D651" t="inlineStr">
        <is>
          <t>WY 49 C294h 1999</t>
        </is>
      </c>
      <c r="E651" t="inlineStr">
        <is>
          <t>0                      WY 0049000C  294h        1999</t>
        </is>
      </c>
      <c r="F651" t="inlineStr">
        <is>
          <t>Handbook of nursing diagnosis / Lynda Juall Carpenito.</t>
        </is>
      </c>
      <c r="H651" t="inlineStr">
        <is>
          <t>No</t>
        </is>
      </c>
      <c r="I651" t="inlineStr">
        <is>
          <t>1</t>
        </is>
      </c>
      <c r="J651" t="inlineStr">
        <is>
          <t>No</t>
        </is>
      </c>
      <c r="K651" t="inlineStr">
        <is>
          <t>Yes</t>
        </is>
      </c>
      <c r="L651" t="inlineStr">
        <is>
          <t>0</t>
        </is>
      </c>
      <c r="M651" t="inlineStr">
        <is>
          <t>Carpenito, Lynda Juall.</t>
        </is>
      </c>
      <c r="N651" t="inlineStr">
        <is>
          <t>Philadelphia : Lippincott Williams &amp; Wilkins, c1999.</t>
        </is>
      </c>
      <c r="O651" t="inlineStr">
        <is>
          <t>1999</t>
        </is>
      </c>
      <c r="P651" t="inlineStr">
        <is>
          <t>8th ed.</t>
        </is>
      </c>
      <c r="Q651" t="inlineStr">
        <is>
          <t>eng</t>
        </is>
      </c>
      <c r="R651" t="inlineStr">
        <is>
          <t>pau</t>
        </is>
      </c>
      <c r="T651" t="inlineStr">
        <is>
          <t xml:space="preserve">WY </t>
        </is>
      </c>
      <c r="U651" t="n">
        <v>12</v>
      </c>
      <c r="V651" t="n">
        <v>12</v>
      </c>
      <c r="W651" t="inlineStr">
        <is>
          <t>2001-08-06</t>
        </is>
      </c>
      <c r="X651" t="inlineStr">
        <is>
          <t>2001-08-06</t>
        </is>
      </c>
      <c r="Y651" t="inlineStr">
        <is>
          <t>1999-08-17</t>
        </is>
      </c>
      <c r="Z651" t="inlineStr">
        <is>
          <t>1999-08-17</t>
        </is>
      </c>
      <c r="AA651" t="n">
        <v>242</v>
      </c>
      <c r="AB651" t="n">
        <v>195</v>
      </c>
      <c r="AC651" t="n">
        <v>1176</v>
      </c>
      <c r="AD651" t="n">
        <v>1</v>
      </c>
      <c r="AE651" t="n">
        <v>6</v>
      </c>
      <c r="AF651" t="n">
        <v>3</v>
      </c>
      <c r="AG651" t="n">
        <v>27</v>
      </c>
      <c r="AH651" t="n">
        <v>0</v>
      </c>
      <c r="AI651" t="n">
        <v>11</v>
      </c>
      <c r="AJ651" t="n">
        <v>0</v>
      </c>
      <c r="AK651" t="n">
        <v>5</v>
      </c>
      <c r="AL651" t="n">
        <v>3</v>
      </c>
      <c r="AM651" t="n">
        <v>12</v>
      </c>
      <c r="AN651" t="n">
        <v>0</v>
      </c>
      <c r="AO651" t="n">
        <v>4</v>
      </c>
      <c r="AP651" t="n">
        <v>0</v>
      </c>
      <c r="AQ651" t="n">
        <v>0</v>
      </c>
      <c r="AR651" t="inlineStr">
        <is>
          <t>No</t>
        </is>
      </c>
      <c r="AS651" t="inlineStr">
        <is>
          <t>Yes</t>
        </is>
      </c>
      <c r="AT651">
        <f>HYPERLINK("http://catalog.hathitrust.org/Record/004034507","HathiTrust Record")</f>
        <v/>
      </c>
      <c r="AU651">
        <f>HYPERLINK("https://creighton-primo.hosted.exlibrisgroup.com/primo-explore/search?tab=default_tab&amp;search_scope=EVERYTHING&amp;vid=01CRU&amp;lang=en_US&amp;offset=0&amp;query=any,contains,991000863539702656","Catalog Record")</f>
        <v/>
      </c>
      <c r="AV651">
        <f>HYPERLINK("http://www.worldcat.org/oclc/40698413","WorldCat Record")</f>
        <v/>
      </c>
      <c r="AW651" t="inlineStr">
        <is>
          <t>2637205:eng</t>
        </is>
      </c>
      <c r="AX651" t="inlineStr">
        <is>
          <t>40698413</t>
        </is>
      </c>
      <c r="AY651" t="inlineStr">
        <is>
          <t>991000863539702656</t>
        </is>
      </c>
      <c r="AZ651" t="inlineStr">
        <is>
          <t>991000863539702656</t>
        </is>
      </c>
      <c r="BA651" t="inlineStr">
        <is>
          <t>2264534340002656</t>
        </is>
      </c>
      <c r="BB651" t="inlineStr">
        <is>
          <t>BOOK</t>
        </is>
      </c>
      <c r="BD651" t="inlineStr">
        <is>
          <t>9780781719711</t>
        </is>
      </c>
      <c r="BE651" t="inlineStr">
        <is>
          <t>30001004149938</t>
        </is>
      </c>
      <c r="BF651" t="inlineStr">
        <is>
          <t>893283970</t>
        </is>
      </c>
    </row>
    <row r="652">
      <c r="A652" t="inlineStr">
        <is>
          <t>No</t>
        </is>
      </c>
      <c r="B652" t="inlineStr">
        <is>
          <t>CUHSL</t>
        </is>
      </c>
      <c r="C652" t="inlineStr">
        <is>
          <t>SHELVES</t>
        </is>
      </c>
      <c r="D652" t="inlineStr">
        <is>
          <t>WY 49 C536 1997</t>
        </is>
      </c>
      <c r="E652" t="inlineStr">
        <is>
          <t>0                      WY 0049000C  536         1997</t>
        </is>
      </c>
      <c r="F652" t="inlineStr">
        <is>
          <t>Children and youth assisted by medical technology in educational settings : guidelines for care / edited by Stephanie Porter ... [et al.] ; illustrations by Marcia Williams.</t>
        </is>
      </c>
      <c r="H652" t="inlineStr">
        <is>
          <t>No</t>
        </is>
      </c>
      <c r="I652" t="inlineStr">
        <is>
          <t>1</t>
        </is>
      </c>
      <c r="J652" t="inlineStr">
        <is>
          <t>No</t>
        </is>
      </c>
      <c r="K652" t="inlineStr">
        <is>
          <t>No</t>
        </is>
      </c>
      <c r="L652" t="inlineStr">
        <is>
          <t>0</t>
        </is>
      </c>
      <c r="N652" t="inlineStr">
        <is>
          <t>Baltimore : P.H. Brookes Pub. Co., c1997.</t>
        </is>
      </c>
      <c r="O652" t="inlineStr">
        <is>
          <t>1997</t>
        </is>
      </c>
      <c r="P652" t="inlineStr">
        <is>
          <t>2nd ed.</t>
        </is>
      </c>
      <c r="Q652" t="inlineStr">
        <is>
          <t>eng</t>
        </is>
      </c>
      <c r="R652" t="inlineStr">
        <is>
          <t>mdu</t>
        </is>
      </c>
      <c r="T652" t="inlineStr">
        <is>
          <t xml:space="preserve">WY </t>
        </is>
      </c>
      <c r="U652" t="n">
        <v>3</v>
      </c>
      <c r="V652" t="n">
        <v>3</v>
      </c>
      <c r="W652" t="inlineStr">
        <is>
          <t>1999-05-11</t>
        </is>
      </c>
      <c r="X652" t="inlineStr">
        <is>
          <t>1999-05-11</t>
        </is>
      </c>
      <c r="Y652" t="inlineStr">
        <is>
          <t>1998-11-10</t>
        </is>
      </c>
      <c r="Z652" t="inlineStr">
        <is>
          <t>1998-11-10</t>
        </is>
      </c>
      <c r="AA652" t="n">
        <v>239</v>
      </c>
      <c r="AB652" t="n">
        <v>208</v>
      </c>
      <c r="AC652" t="n">
        <v>209</v>
      </c>
      <c r="AD652" t="n">
        <v>1</v>
      </c>
      <c r="AE652" t="n">
        <v>1</v>
      </c>
      <c r="AF652" t="n">
        <v>9</v>
      </c>
      <c r="AG652" t="n">
        <v>9</v>
      </c>
      <c r="AH652" t="n">
        <v>4</v>
      </c>
      <c r="AI652" t="n">
        <v>4</v>
      </c>
      <c r="AJ652" t="n">
        <v>3</v>
      </c>
      <c r="AK652" t="n">
        <v>3</v>
      </c>
      <c r="AL652" t="n">
        <v>5</v>
      </c>
      <c r="AM652" t="n">
        <v>5</v>
      </c>
      <c r="AN652" t="n">
        <v>0</v>
      </c>
      <c r="AO652" t="n">
        <v>0</v>
      </c>
      <c r="AP652" t="n">
        <v>0</v>
      </c>
      <c r="AQ652" t="n">
        <v>0</v>
      </c>
      <c r="AR652" t="inlineStr">
        <is>
          <t>No</t>
        </is>
      </c>
      <c r="AS652" t="inlineStr">
        <is>
          <t>Yes</t>
        </is>
      </c>
      <c r="AT652">
        <f>HYPERLINK("http://catalog.hathitrust.org/Record/101983480","HathiTrust Record")</f>
        <v/>
      </c>
      <c r="AU652">
        <f>HYPERLINK("https://creighton-primo.hosted.exlibrisgroup.com/primo-explore/search?tab=default_tab&amp;search_scope=EVERYTHING&amp;vid=01CRU&amp;lang=en_US&amp;offset=0&amp;query=any,contains,991001570379702656","Catalog Record")</f>
        <v/>
      </c>
      <c r="AV652">
        <f>HYPERLINK("http://www.worldcat.org/oclc/35667191","WorldCat Record")</f>
        <v/>
      </c>
      <c r="AW652" t="inlineStr">
        <is>
          <t>837022443:eng</t>
        </is>
      </c>
      <c r="AX652" t="inlineStr">
        <is>
          <t>35667191</t>
        </is>
      </c>
      <c r="AY652" t="inlineStr">
        <is>
          <t>991001570379702656</t>
        </is>
      </c>
      <c r="AZ652" t="inlineStr">
        <is>
          <t>991001570379702656</t>
        </is>
      </c>
      <c r="BA652" t="inlineStr">
        <is>
          <t>2261003760002656</t>
        </is>
      </c>
      <c r="BB652" t="inlineStr">
        <is>
          <t>BOOK</t>
        </is>
      </c>
      <c r="BD652" t="inlineStr">
        <is>
          <t>9781557662361</t>
        </is>
      </c>
      <c r="BE652" t="inlineStr">
        <is>
          <t>30001003803352</t>
        </is>
      </c>
      <c r="BF652" t="inlineStr">
        <is>
          <t>893451337</t>
        </is>
      </c>
    </row>
    <row r="653">
      <c r="A653" t="inlineStr">
        <is>
          <t>No</t>
        </is>
      </c>
      <c r="B653" t="inlineStr">
        <is>
          <t>CUHSL</t>
        </is>
      </c>
      <c r="C653" t="inlineStr">
        <is>
          <t>SHELVES</t>
        </is>
      </c>
      <c r="D653" t="inlineStr">
        <is>
          <t>WY 49 C9345 2004</t>
        </is>
      </c>
      <c r="E653" t="inlineStr">
        <is>
          <t>0                      WY 0049000C  9345        2004</t>
        </is>
      </c>
      <c r="F653" t="inlineStr">
        <is>
          <t>Critical care skills : a clinical handbook / Barbara Clark Mims ... [et al.].</t>
        </is>
      </c>
      <c r="H653" t="inlineStr">
        <is>
          <t>No</t>
        </is>
      </c>
      <c r="I653" t="inlineStr">
        <is>
          <t>1</t>
        </is>
      </c>
      <c r="J653" t="inlineStr">
        <is>
          <t>No</t>
        </is>
      </c>
      <c r="K653" t="inlineStr">
        <is>
          <t>No</t>
        </is>
      </c>
      <c r="L653" t="inlineStr">
        <is>
          <t>0</t>
        </is>
      </c>
      <c r="N653" t="inlineStr">
        <is>
          <t>St. Louis : W.B. Saunders, c2004.</t>
        </is>
      </c>
      <c r="O653" t="inlineStr">
        <is>
          <t>2004</t>
        </is>
      </c>
      <c r="P653" t="inlineStr">
        <is>
          <t>2nd ed.</t>
        </is>
      </c>
      <c r="Q653" t="inlineStr">
        <is>
          <t>eng</t>
        </is>
      </c>
      <c r="R653" t="inlineStr">
        <is>
          <t>mou</t>
        </is>
      </c>
      <c r="T653" t="inlineStr">
        <is>
          <t xml:space="preserve">WY </t>
        </is>
      </c>
      <c r="U653" t="n">
        <v>1</v>
      </c>
      <c r="V653" t="n">
        <v>1</v>
      </c>
      <c r="W653" t="inlineStr">
        <is>
          <t>2004-09-18</t>
        </is>
      </c>
      <c r="X653" t="inlineStr">
        <is>
          <t>2004-09-18</t>
        </is>
      </c>
      <c r="Y653" t="inlineStr">
        <is>
          <t>2004-09-16</t>
        </is>
      </c>
      <c r="Z653" t="inlineStr">
        <is>
          <t>2004-09-16</t>
        </is>
      </c>
      <c r="AA653" t="n">
        <v>244</v>
      </c>
      <c r="AB653" t="n">
        <v>166</v>
      </c>
      <c r="AC653" t="n">
        <v>209</v>
      </c>
      <c r="AD653" t="n">
        <v>2</v>
      </c>
      <c r="AE653" t="n">
        <v>2</v>
      </c>
      <c r="AF653" t="n">
        <v>6</v>
      </c>
      <c r="AG653" t="n">
        <v>6</v>
      </c>
      <c r="AH653" t="n">
        <v>4</v>
      </c>
      <c r="AI653" t="n">
        <v>4</v>
      </c>
      <c r="AJ653" t="n">
        <v>0</v>
      </c>
      <c r="AK653" t="n">
        <v>0</v>
      </c>
      <c r="AL653" t="n">
        <v>1</v>
      </c>
      <c r="AM653" t="n">
        <v>1</v>
      </c>
      <c r="AN653" t="n">
        <v>1</v>
      </c>
      <c r="AO653" t="n">
        <v>1</v>
      </c>
      <c r="AP653" t="n">
        <v>0</v>
      </c>
      <c r="AQ653" t="n">
        <v>0</v>
      </c>
      <c r="AR653" t="inlineStr">
        <is>
          <t>No</t>
        </is>
      </c>
      <c r="AS653" t="inlineStr">
        <is>
          <t>Yes</t>
        </is>
      </c>
      <c r="AT653">
        <f>HYPERLINK("http://catalog.hathitrust.org/Record/004370109","HathiTrust Record")</f>
        <v/>
      </c>
      <c r="AU653">
        <f>HYPERLINK("https://creighton-primo.hosted.exlibrisgroup.com/primo-explore/search?tab=default_tab&amp;search_scope=EVERYTHING&amp;vid=01CRU&amp;lang=en_US&amp;offset=0&amp;query=any,contains,991000392019702656","Catalog Record")</f>
        <v/>
      </c>
      <c r="AV653">
        <f>HYPERLINK("http://www.worldcat.org/oclc/56655324","WorldCat Record")</f>
        <v/>
      </c>
      <c r="AW653" t="inlineStr">
        <is>
          <t>836919326:eng</t>
        </is>
      </c>
      <c r="AX653" t="inlineStr">
        <is>
          <t>56655324</t>
        </is>
      </c>
      <c r="AY653" t="inlineStr">
        <is>
          <t>991000392019702656</t>
        </is>
      </c>
      <c r="AZ653" t="inlineStr">
        <is>
          <t>991000392019702656</t>
        </is>
      </c>
      <c r="BA653" t="inlineStr">
        <is>
          <t>2261767540002656</t>
        </is>
      </c>
      <c r="BB653" t="inlineStr">
        <is>
          <t>BOOK</t>
        </is>
      </c>
      <c r="BD653" t="inlineStr">
        <is>
          <t>9780721600857</t>
        </is>
      </c>
      <c r="BE653" t="inlineStr">
        <is>
          <t>30001004445211</t>
        </is>
      </c>
      <c r="BF653" t="inlineStr">
        <is>
          <t>893827446</t>
        </is>
      </c>
    </row>
    <row r="654">
      <c r="A654" t="inlineStr">
        <is>
          <t>No</t>
        </is>
      </c>
      <c r="B654" t="inlineStr">
        <is>
          <t>CUHSL</t>
        </is>
      </c>
      <c r="C654" t="inlineStr">
        <is>
          <t>SHELVES</t>
        </is>
      </c>
      <c r="D654" t="inlineStr">
        <is>
          <t>WY49 D611 2002</t>
        </is>
      </c>
      <c r="E654" t="inlineStr">
        <is>
          <t>0                      WY 0049000D  611         2002</t>
        </is>
      </c>
      <c r="F654" t="inlineStr">
        <is>
          <t>Disease management for nurse practitioners.</t>
        </is>
      </c>
      <c r="H654" t="inlineStr">
        <is>
          <t>No</t>
        </is>
      </c>
      <c r="I654" t="inlineStr">
        <is>
          <t>1</t>
        </is>
      </c>
      <c r="J654" t="inlineStr">
        <is>
          <t>No</t>
        </is>
      </c>
      <c r="K654" t="inlineStr">
        <is>
          <t>No</t>
        </is>
      </c>
      <c r="L654" t="inlineStr">
        <is>
          <t>0</t>
        </is>
      </c>
      <c r="N654" t="inlineStr">
        <is>
          <t>Springhouse, Pa. : Springhouse, c2002.</t>
        </is>
      </c>
      <c r="O654" t="inlineStr">
        <is>
          <t>2002</t>
        </is>
      </c>
      <c r="Q654" t="inlineStr">
        <is>
          <t>eng</t>
        </is>
      </c>
      <c r="R654" t="inlineStr">
        <is>
          <t>pau</t>
        </is>
      </c>
      <c r="T654" t="inlineStr">
        <is>
          <t xml:space="preserve">WY </t>
        </is>
      </c>
      <c r="U654" t="n">
        <v>3</v>
      </c>
      <c r="V654" t="n">
        <v>3</v>
      </c>
      <c r="W654" t="inlineStr">
        <is>
          <t>2003-09-30</t>
        </is>
      </c>
      <c r="X654" t="inlineStr">
        <is>
          <t>2003-09-30</t>
        </is>
      </c>
      <c r="Y654" t="inlineStr">
        <is>
          <t>2002-04-23</t>
        </is>
      </c>
      <c r="Z654" t="inlineStr">
        <is>
          <t>2002-04-23</t>
        </is>
      </c>
      <c r="AA654" t="n">
        <v>178</v>
      </c>
      <c r="AB654" t="n">
        <v>128</v>
      </c>
      <c r="AC654" t="n">
        <v>128</v>
      </c>
      <c r="AD654" t="n">
        <v>1</v>
      </c>
      <c r="AE654" t="n">
        <v>1</v>
      </c>
      <c r="AF654" t="n">
        <v>2</v>
      </c>
      <c r="AG654" t="n">
        <v>2</v>
      </c>
      <c r="AH654" t="n">
        <v>1</v>
      </c>
      <c r="AI654" t="n">
        <v>1</v>
      </c>
      <c r="AJ654" t="n">
        <v>0</v>
      </c>
      <c r="AK654" t="n">
        <v>0</v>
      </c>
      <c r="AL654" t="n">
        <v>2</v>
      </c>
      <c r="AM654" t="n">
        <v>2</v>
      </c>
      <c r="AN654" t="n">
        <v>0</v>
      </c>
      <c r="AO654" t="n">
        <v>0</v>
      </c>
      <c r="AP654" t="n">
        <v>0</v>
      </c>
      <c r="AQ654" t="n">
        <v>0</v>
      </c>
      <c r="AR654" t="inlineStr">
        <is>
          <t>No</t>
        </is>
      </c>
      <c r="AS654" t="inlineStr">
        <is>
          <t>No</t>
        </is>
      </c>
      <c r="AU654">
        <f>HYPERLINK("https://creighton-primo.hosted.exlibrisgroup.com/primo-explore/search?tab=default_tab&amp;search_scope=EVERYTHING&amp;vid=01CRU&amp;lang=en_US&amp;offset=0&amp;query=any,contains,991000308729702656","Catalog Record")</f>
        <v/>
      </c>
      <c r="AV654">
        <f>HYPERLINK("http://www.worldcat.org/oclc/47081403","WorldCat Record")</f>
        <v/>
      </c>
      <c r="AW654" t="inlineStr">
        <is>
          <t>8909064928:eng</t>
        </is>
      </c>
      <c r="AX654" t="inlineStr">
        <is>
          <t>47081403</t>
        </is>
      </c>
      <c r="AY654" t="inlineStr">
        <is>
          <t>991000308729702656</t>
        </is>
      </c>
      <c r="AZ654" t="inlineStr">
        <is>
          <t>991000308729702656</t>
        </is>
      </c>
      <c r="BA654" t="inlineStr">
        <is>
          <t>2256817680002656</t>
        </is>
      </c>
      <c r="BB654" t="inlineStr">
        <is>
          <t>BOOK</t>
        </is>
      </c>
      <c r="BD654" t="inlineStr">
        <is>
          <t>9781582550695</t>
        </is>
      </c>
      <c r="BE654" t="inlineStr">
        <is>
          <t>30001004237535</t>
        </is>
      </c>
      <c r="BF654" t="inlineStr">
        <is>
          <t>893269340</t>
        </is>
      </c>
    </row>
    <row r="655">
      <c r="A655" t="inlineStr">
        <is>
          <t>No</t>
        </is>
      </c>
      <c r="B655" t="inlineStr">
        <is>
          <t>CUHSL</t>
        </is>
      </c>
      <c r="C655" t="inlineStr">
        <is>
          <t>SHELVES</t>
        </is>
      </c>
      <c r="D655" t="inlineStr">
        <is>
          <t>WY 49 D651pa 1998</t>
        </is>
      </c>
      <c r="E655" t="inlineStr">
        <is>
          <t>0                      WY 0049000D  651pa       1998</t>
        </is>
      </c>
      <c r="F655" t="inlineStr">
        <is>
          <t>Psychiatric care plans : guidelines for individualizing care / Marilynn E. Doenges, Mary C. Townsend, Mary Frances Moorhouse.</t>
        </is>
      </c>
      <c r="H655" t="inlineStr">
        <is>
          <t>No</t>
        </is>
      </c>
      <c r="I655" t="inlineStr">
        <is>
          <t>1</t>
        </is>
      </c>
      <c r="J655" t="inlineStr">
        <is>
          <t>No</t>
        </is>
      </c>
      <c r="K655" t="inlineStr">
        <is>
          <t>No</t>
        </is>
      </c>
      <c r="L655" t="inlineStr">
        <is>
          <t>0</t>
        </is>
      </c>
      <c r="M655" t="inlineStr">
        <is>
          <t>Doenges, Marilynn E., 1922-</t>
        </is>
      </c>
      <c r="N655" t="inlineStr">
        <is>
          <t>Philadelphia : F.A. Davis, c1998.</t>
        </is>
      </c>
      <c r="O655" t="inlineStr">
        <is>
          <t>1998</t>
        </is>
      </c>
      <c r="P655" t="inlineStr">
        <is>
          <t>Ed. 3</t>
        </is>
      </c>
      <c r="Q655" t="inlineStr">
        <is>
          <t>eng</t>
        </is>
      </c>
      <c r="R655" t="inlineStr">
        <is>
          <t>pau</t>
        </is>
      </c>
      <c r="T655" t="inlineStr">
        <is>
          <t xml:space="preserve">WY </t>
        </is>
      </c>
      <c r="U655" t="n">
        <v>2</v>
      </c>
      <c r="V655" t="n">
        <v>2</v>
      </c>
      <c r="W655" t="inlineStr">
        <is>
          <t>2007-09-22</t>
        </is>
      </c>
      <c r="X655" t="inlineStr">
        <is>
          <t>2007-09-22</t>
        </is>
      </c>
      <c r="Y655" t="inlineStr">
        <is>
          <t>1998-12-10</t>
        </is>
      </c>
      <c r="Z655" t="inlineStr">
        <is>
          <t>1998-12-10</t>
        </is>
      </c>
      <c r="AA655" t="n">
        <v>175</v>
      </c>
      <c r="AB655" t="n">
        <v>130</v>
      </c>
      <c r="AC655" t="n">
        <v>135</v>
      </c>
      <c r="AD655" t="n">
        <v>1</v>
      </c>
      <c r="AE655" t="n">
        <v>1</v>
      </c>
      <c r="AF655" t="n">
        <v>5</v>
      </c>
      <c r="AG655" t="n">
        <v>5</v>
      </c>
      <c r="AH655" t="n">
        <v>1</v>
      </c>
      <c r="AI655" t="n">
        <v>1</v>
      </c>
      <c r="AJ655" t="n">
        <v>1</v>
      </c>
      <c r="AK655" t="n">
        <v>1</v>
      </c>
      <c r="AL655" t="n">
        <v>4</v>
      </c>
      <c r="AM655" t="n">
        <v>4</v>
      </c>
      <c r="AN655" t="n">
        <v>0</v>
      </c>
      <c r="AO655" t="n">
        <v>0</v>
      </c>
      <c r="AP655" t="n">
        <v>0</v>
      </c>
      <c r="AQ655" t="n">
        <v>0</v>
      </c>
      <c r="AR655" t="inlineStr">
        <is>
          <t>No</t>
        </is>
      </c>
      <c r="AS655" t="inlineStr">
        <is>
          <t>Yes</t>
        </is>
      </c>
      <c r="AT655">
        <f>HYPERLINK("http://catalog.hathitrust.org/Record/004542239","HathiTrust Record")</f>
        <v/>
      </c>
      <c r="AU655">
        <f>HYPERLINK("https://creighton-primo.hosted.exlibrisgroup.com/primo-explore/search?tab=default_tab&amp;search_scope=EVERYTHING&amp;vid=01CRU&amp;lang=en_US&amp;offset=0&amp;query=any,contains,991000692259702656","Catalog Record")</f>
        <v/>
      </c>
      <c r="AV655">
        <f>HYPERLINK("http://www.worldcat.org/oclc/37281836","WorldCat Record")</f>
        <v/>
      </c>
      <c r="AW655" t="inlineStr">
        <is>
          <t>3857329856:eng</t>
        </is>
      </c>
      <c r="AX655" t="inlineStr">
        <is>
          <t>37281836</t>
        </is>
      </c>
      <c r="AY655" t="inlineStr">
        <is>
          <t>991000692259702656</t>
        </is>
      </c>
      <c r="AZ655" t="inlineStr">
        <is>
          <t>991000692259702656</t>
        </is>
      </c>
      <c r="BA655" t="inlineStr">
        <is>
          <t>2257921960002656</t>
        </is>
      </c>
      <c r="BB655" t="inlineStr">
        <is>
          <t>BOOK</t>
        </is>
      </c>
      <c r="BD655" t="inlineStr">
        <is>
          <t>9780803603226</t>
        </is>
      </c>
      <c r="BE655" t="inlineStr">
        <is>
          <t>30001004036846</t>
        </is>
      </c>
      <c r="BF655" t="inlineStr">
        <is>
          <t>893556861</t>
        </is>
      </c>
    </row>
    <row r="656">
      <c r="A656" t="inlineStr">
        <is>
          <t>No</t>
        </is>
      </c>
      <c r="B656" t="inlineStr">
        <is>
          <t>CUHSL</t>
        </is>
      </c>
      <c r="C656" t="inlineStr">
        <is>
          <t>SHELVES</t>
        </is>
      </c>
      <c r="D656" t="inlineStr">
        <is>
          <t>WY 49 E53 2004</t>
        </is>
      </c>
      <c r="E656" t="inlineStr">
        <is>
          <t>0                      WY 0049000E  53          2004</t>
        </is>
      </c>
      <c r="F656" t="inlineStr">
        <is>
          <t>Emergency nursing procedures / [edited by] Jean A. Proehl.</t>
        </is>
      </c>
      <c r="H656" t="inlineStr">
        <is>
          <t>No</t>
        </is>
      </c>
      <c r="I656" t="inlineStr">
        <is>
          <t>1</t>
        </is>
      </c>
      <c r="J656" t="inlineStr">
        <is>
          <t>No</t>
        </is>
      </c>
      <c r="K656" t="inlineStr">
        <is>
          <t>Yes</t>
        </is>
      </c>
      <c r="L656" t="inlineStr">
        <is>
          <t>0</t>
        </is>
      </c>
      <c r="N656" t="inlineStr">
        <is>
          <t>St. Louis, Mo. : Saunders, c2004.</t>
        </is>
      </c>
      <c r="O656" t="inlineStr">
        <is>
          <t>2004</t>
        </is>
      </c>
      <c r="P656" t="inlineStr">
        <is>
          <t>3rd ed.</t>
        </is>
      </c>
      <c r="Q656" t="inlineStr">
        <is>
          <t>eng</t>
        </is>
      </c>
      <c r="R656" t="inlineStr">
        <is>
          <t>mou</t>
        </is>
      </c>
      <c r="T656" t="inlineStr">
        <is>
          <t xml:space="preserve">WY </t>
        </is>
      </c>
      <c r="U656" t="n">
        <v>0</v>
      </c>
      <c r="V656" t="n">
        <v>0</v>
      </c>
      <c r="W656" t="inlineStr">
        <is>
          <t>2009-10-09</t>
        </is>
      </c>
      <c r="X656" t="inlineStr">
        <is>
          <t>2009-10-09</t>
        </is>
      </c>
      <c r="Y656" t="inlineStr">
        <is>
          <t>2004-09-02</t>
        </is>
      </c>
      <c r="Z656" t="inlineStr">
        <is>
          <t>2004-09-02</t>
        </is>
      </c>
      <c r="AA656" t="n">
        <v>301</v>
      </c>
      <c r="AB656" t="n">
        <v>230</v>
      </c>
      <c r="AC656" t="n">
        <v>577</v>
      </c>
      <c r="AD656" t="n">
        <v>1</v>
      </c>
      <c r="AE656" t="n">
        <v>2</v>
      </c>
      <c r="AF656" t="n">
        <v>7</v>
      </c>
      <c r="AG656" t="n">
        <v>15</v>
      </c>
      <c r="AH656" t="n">
        <v>5</v>
      </c>
      <c r="AI656" t="n">
        <v>7</v>
      </c>
      <c r="AJ656" t="n">
        <v>0</v>
      </c>
      <c r="AK656" t="n">
        <v>3</v>
      </c>
      <c r="AL656" t="n">
        <v>3</v>
      </c>
      <c r="AM656" t="n">
        <v>6</v>
      </c>
      <c r="AN656" t="n">
        <v>0</v>
      </c>
      <c r="AO656" t="n">
        <v>1</v>
      </c>
      <c r="AP656" t="n">
        <v>0</v>
      </c>
      <c r="AQ656" t="n">
        <v>0</v>
      </c>
      <c r="AR656" t="inlineStr">
        <is>
          <t>No</t>
        </is>
      </c>
      <c r="AS656" t="inlineStr">
        <is>
          <t>Yes</t>
        </is>
      </c>
      <c r="AT656">
        <f>HYPERLINK("http://catalog.hathitrust.org/Record/004377946","HathiTrust Record")</f>
        <v/>
      </c>
      <c r="AU656">
        <f>HYPERLINK("https://creighton-primo.hosted.exlibrisgroup.com/primo-explore/search?tab=default_tab&amp;search_scope=EVERYTHING&amp;vid=01CRU&amp;lang=en_US&amp;offset=0&amp;query=any,contains,991000382289702656","Catalog Record")</f>
        <v/>
      </c>
      <c r="AV656">
        <f>HYPERLINK("http://www.worldcat.org/oclc/54953447","WorldCat Record")</f>
        <v/>
      </c>
      <c r="AW656" t="inlineStr">
        <is>
          <t>1110327466:eng</t>
        </is>
      </c>
      <c r="AX656" t="inlineStr">
        <is>
          <t>54953447</t>
        </is>
      </c>
      <c r="AY656" t="inlineStr">
        <is>
          <t>991000382289702656</t>
        </is>
      </c>
      <c r="AZ656" t="inlineStr">
        <is>
          <t>991000382289702656</t>
        </is>
      </c>
      <c r="BA656" t="inlineStr">
        <is>
          <t>2258775030002656</t>
        </is>
      </c>
      <c r="BB656" t="inlineStr">
        <is>
          <t>BOOK</t>
        </is>
      </c>
      <c r="BD656" t="inlineStr">
        <is>
          <t>9780721603414</t>
        </is>
      </c>
      <c r="BE656" t="inlineStr">
        <is>
          <t>30001004840585</t>
        </is>
      </c>
      <c r="BF656" t="inlineStr">
        <is>
          <t>893639140</t>
        </is>
      </c>
    </row>
    <row r="657">
      <c r="A657" t="inlineStr">
        <is>
          <t>No</t>
        </is>
      </c>
      <c r="B657" t="inlineStr">
        <is>
          <t>CUHSL</t>
        </is>
      </c>
      <c r="C657" t="inlineStr">
        <is>
          <t>SHELVES</t>
        </is>
      </c>
      <c r="D657" t="inlineStr">
        <is>
          <t>WY 49 G671p 2008</t>
        </is>
      </c>
      <c r="E657" t="inlineStr">
        <is>
          <t>0                      WY 0049000G  671p        2008</t>
        </is>
      </c>
      <c r="F657" t="inlineStr">
        <is>
          <t>Psychosocial nursing for general patient care / Linda M. Gorman, Donna F. Sultan.</t>
        </is>
      </c>
      <c r="H657" t="inlineStr">
        <is>
          <t>No</t>
        </is>
      </c>
      <c r="I657" t="inlineStr">
        <is>
          <t>1</t>
        </is>
      </c>
      <c r="J657" t="inlineStr">
        <is>
          <t>No</t>
        </is>
      </c>
      <c r="K657" t="inlineStr">
        <is>
          <t>No</t>
        </is>
      </c>
      <c r="L657" t="inlineStr">
        <is>
          <t>1</t>
        </is>
      </c>
      <c r="M657" t="inlineStr">
        <is>
          <t>Gorman, Linda M.</t>
        </is>
      </c>
      <c r="N657" t="inlineStr">
        <is>
          <t>Philadelphia : F.A. Davis Co., c2008.</t>
        </is>
      </c>
      <c r="O657" t="inlineStr">
        <is>
          <t>2008</t>
        </is>
      </c>
      <c r="P657" t="inlineStr">
        <is>
          <t>3rd ed.</t>
        </is>
      </c>
      <c r="Q657" t="inlineStr">
        <is>
          <t>eng</t>
        </is>
      </c>
      <c r="R657" t="inlineStr">
        <is>
          <t>pau</t>
        </is>
      </c>
      <c r="T657" t="inlineStr">
        <is>
          <t xml:space="preserve">WY </t>
        </is>
      </c>
      <c r="U657" t="n">
        <v>0</v>
      </c>
      <c r="V657" t="n">
        <v>0</v>
      </c>
      <c r="W657" t="inlineStr">
        <is>
          <t>2008-09-26</t>
        </is>
      </c>
      <c r="X657" t="inlineStr">
        <is>
          <t>2008-09-26</t>
        </is>
      </c>
      <c r="Y657" t="inlineStr">
        <is>
          <t>2008-09-26</t>
        </is>
      </c>
      <c r="Z657" t="inlineStr">
        <is>
          <t>2008-09-26</t>
        </is>
      </c>
      <c r="AA657" t="n">
        <v>389</v>
      </c>
      <c r="AB657" t="n">
        <v>296</v>
      </c>
      <c r="AC657" t="n">
        <v>951</v>
      </c>
      <c r="AD657" t="n">
        <v>3</v>
      </c>
      <c r="AE657" t="n">
        <v>14</v>
      </c>
      <c r="AF657" t="n">
        <v>11</v>
      </c>
      <c r="AG657" t="n">
        <v>29</v>
      </c>
      <c r="AH657" t="n">
        <v>5</v>
      </c>
      <c r="AI657" t="n">
        <v>11</v>
      </c>
      <c r="AJ657" t="n">
        <v>2</v>
      </c>
      <c r="AK657" t="n">
        <v>5</v>
      </c>
      <c r="AL657" t="n">
        <v>4</v>
      </c>
      <c r="AM657" t="n">
        <v>9</v>
      </c>
      <c r="AN657" t="n">
        <v>2</v>
      </c>
      <c r="AO657" t="n">
        <v>9</v>
      </c>
      <c r="AP657" t="n">
        <v>0</v>
      </c>
      <c r="AQ657" t="n">
        <v>0</v>
      </c>
      <c r="AR657" t="inlineStr">
        <is>
          <t>No</t>
        </is>
      </c>
      <c r="AS657" t="inlineStr">
        <is>
          <t>Yes</t>
        </is>
      </c>
      <c r="AT657">
        <f>HYPERLINK("http://catalog.hathitrust.org/Record/009801497","HathiTrust Record")</f>
        <v/>
      </c>
      <c r="AU657">
        <f>HYPERLINK("https://creighton-primo.hosted.exlibrisgroup.com/primo-explore/search?tab=default_tab&amp;search_scope=EVERYTHING&amp;vid=01CRU&amp;lang=en_US&amp;offset=0&amp;query=any,contains,991001320219702656","Catalog Record")</f>
        <v/>
      </c>
      <c r="AV657">
        <f>HYPERLINK("http://www.worldcat.org/oclc/173659675","WorldCat Record")</f>
        <v/>
      </c>
      <c r="AW657" t="inlineStr">
        <is>
          <t>37592876:eng</t>
        </is>
      </c>
      <c r="AX657" t="inlineStr">
        <is>
          <t>173659675</t>
        </is>
      </c>
      <c r="AY657" t="inlineStr">
        <is>
          <t>991001320219702656</t>
        </is>
      </c>
      <c r="AZ657" t="inlineStr">
        <is>
          <t>991001320219702656</t>
        </is>
      </c>
      <c r="BA657" t="inlineStr">
        <is>
          <t>2266103810002656</t>
        </is>
      </c>
      <c r="BB657" t="inlineStr">
        <is>
          <t>BOOK</t>
        </is>
      </c>
      <c r="BD657" t="inlineStr">
        <is>
          <t>9780803617841</t>
        </is>
      </c>
      <c r="BE657" t="inlineStr">
        <is>
          <t>30001005372273</t>
        </is>
      </c>
      <c r="BF657" t="inlineStr">
        <is>
          <t>893560967</t>
        </is>
      </c>
    </row>
    <row r="658">
      <c r="A658" t="inlineStr">
        <is>
          <t>No</t>
        </is>
      </c>
      <c r="B658" t="inlineStr">
        <is>
          <t>CUHSL</t>
        </is>
      </c>
      <c r="C658" t="inlineStr">
        <is>
          <t>SHELVES</t>
        </is>
      </c>
      <c r="D658" t="inlineStr">
        <is>
          <t>WY49 H2354 2003</t>
        </is>
      </c>
      <c r="E658" t="inlineStr">
        <is>
          <t>0                      WY 0049000H  2354        2003</t>
        </is>
      </c>
      <c r="F658" t="inlineStr">
        <is>
          <t>Handbook of geriatric nursing care.</t>
        </is>
      </c>
      <c r="H658" t="inlineStr">
        <is>
          <t>No</t>
        </is>
      </c>
      <c r="I658" t="inlineStr">
        <is>
          <t>1</t>
        </is>
      </c>
      <c r="J658" t="inlineStr">
        <is>
          <t>No</t>
        </is>
      </c>
      <c r="K658" t="inlineStr">
        <is>
          <t>No</t>
        </is>
      </c>
      <c r="L658" t="inlineStr">
        <is>
          <t>0</t>
        </is>
      </c>
      <c r="N658" t="inlineStr">
        <is>
          <t>Philadelphia : Lippincott Williams &amp; Wilkins, c2003.</t>
        </is>
      </c>
      <c r="O658" t="inlineStr">
        <is>
          <t>2003</t>
        </is>
      </c>
      <c r="P658" t="inlineStr">
        <is>
          <t>2nd ed.</t>
        </is>
      </c>
      <c r="Q658" t="inlineStr">
        <is>
          <t>eng</t>
        </is>
      </c>
      <c r="R658" t="inlineStr">
        <is>
          <t>pau</t>
        </is>
      </c>
      <c r="T658" t="inlineStr">
        <is>
          <t xml:space="preserve">WY </t>
        </is>
      </c>
      <c r="U658" t="n">
        <v>2</v>
      </c>
      <c r="V658" t="n">
        <v>2</v>
      </c>
      <c r="W658" t="inlineStr">
        <is>
          <t>2003-05-13</t>
        </is>
      </c>
      <c r="X658" t="inlineStr">
        <is>
          <t>2003-05-13</t>
        </is>
      </c>
      <c r="Y658" t="inlineStr">
        <is>
          <t>2003-05-13</t>
        </is>
      </c>
      <c r="Z658" t="inlineStr">
        <is>
          <t>2003-05-13</t>
        </is>
      </c>
      <c r="AA658" t="n">
        <v>323</v>
      </c>
      <c r="AB658" t="n">
        <v>240</v>
      </c>
      <c r="AC658" t="n">
        <v>292</v>
      </c>
      <c r="AD658" t="n">
        <v>2</v>
      </c>
      <c r="AE658" t="n">
        <v>2</v>
      </c>
      <c r="AF658" t="n">
        <v>9</v>
      </c>
      <c r="AG658" t="n">
        <v>9</v>
      </c>
      <c r="AH658" t="n">
        <v>3</v>
      </c>
      <c r="AI658" t="n">
        <v>3</v>
      </c>
      <c r="AJ658" t="n">
        <v>1</v>
      </c>
      <c r="AK658" t="n">
        <v>1</v>
      </c>
      <c r="AL658" t="n">
        <v>6</v>
      </c>
      <c r="AM658" t="n">
        <v>6</v>
      </c>
      <c r="AN658" t="n">
        <v>1</v>
      </c>
      <c r="AO658" t="n">
        <v>1</v>
      </c>
      <c r="AP658" t="n">
        <v>0</v>
      </c>
      <c r="AQ658" t="n">
        <v>0</v>
      </c>
      <c r="AR658" t="inlineStr">
        <is>
          <t>No</t>
        </is>
      </c>
      <c r="AS658" t="inlineStr">
        <is>
          <t>No</t>
        </is>
      </c>
      <c r="AU658">
        <f>HYPERLINK("https://creighton-primo.hosted.exlibrisgroup.com/primo-explore/search?tab=default_tab&amp;search_scope=EVERYTHING&amp;vid=01CRU&amp;lang=en_US&amp;offset=0&amp;query=any,contains,991000346969702656","Catalog Record")</f>
        <v/>
      </c>
      <c r="AV658">
        <f>HYPERLINK("http://www.worldcat.org/oclc/50124465","WorldCat Record")</f>
        <v/>
      </c>
      <c r="AW658" t="inlineStr">
        <is>
          <t>56834970:eng</t>
        </is>
      </c>
      <c r="AX658" t="inlineStr">
        <is>
          <t>50124465</t>
        </is>
      </c>
      <c r="AY658" t="inlineStr">
        <is>
          <t>991000346969702656</t>
        </is>
      </c>
      <c r="AZ658" t="inlineStr">
        <is>
          <t>991000346969702656</t>
        </is>
      </c>
      <c r="BA658" t="inlineStr">
        <is>
          <t>2266787460002656</t>
        </is>
      </c>
      <c r="BB658" t="inlineStr">
        <is>
          <t>BOOK</t>
        </is>
      </c>
      <c r="BD658" t="inlineStr">
        <is>
          <t>9781582551432</t>
        </is>
      </c>
      <c r="BE658" t="inlineStr">
        <is>
          <t>30001004502433</t>
        </is>
      </c>
      <c r="BF658" t="inlineStr">
        <is>
          <t>893732797</t>
        </is>
      </c>
    </row>
    <row r="659">
      <c r="A659" t="inlineStr">
        <is>
          <t>No</t>
        </is>
      </c>
      <c r="B659" t="inlineStr">
        <is>
          <t>CUHSL</t>
        </is>
      </c>
      <c r="C659" t="inlineStr">
        <is>
          <t>SHELVES</t>
        </is>
      </c>
      <c r="D659" t="inlineStr">
        <is>
          <t>WY49 H429m 1999</t>
        </is>
      </c>
      <c r="E659" t="inlineStr">
        <is>
          <t>0                      WY 0049000H  429m        1999</t>
        </is>
      </c>
      <c r="F659" t="inlineStr">
        <is>
          <t>Manual of pediatric critical care / Mary Fran Hazinski.</t>
        </is>
      </c>
      <c r="H659" t="inlineStr">
        <is>
          <t>No</t>
        </is>
      </c>
      <c r="I659" t="inlineStr">
        <is>
          <t>1</t>
        </is>
      </c>
      <c r="J659" t="inlineStr">
        <is>
          <t>No</t>
        </is>
      </c>
      <c r="K659" t="inlineStr">
        <is>
          <t>No</t>
        </is>
      </c>
      <c r="L659" t="inlineStr">
        <is>
          <t>0</t>
        </is>
      </c>
      <c r="M659" t="inlineStr">
        <is>
          <t>Hazinski, Mary Fran.</t>
        </is>
      </c>
      <c r="N659" t="inlineStr">
        <is>
          <t>St. Louis : Mosby, c1999.</t>
        </is>
      </c>
      <c r="O659" t="inlineStr">
        <is>
          <t>1999</t>
        </is>
      </c>
      <c r="Q659" t="inlineStr">
        <is>
          <t>eng</t>
        </is>
      </c>
      <c r="R659" t="inlineStr">
        <is>
          <t>mou</t>
        </is>
      </c>
      <c r="T659" t="inlineStr">
        <is>
          <t xml:space="preserve">WY </t>
        </is>
      </c>
      <c r="U659" t="n">
        <v>1</v>
      </c>
      <c r="V659" t="n">
        <v>1</v>
      </c>
      <c r="W659" t="inlineStr">
        <is>
          <t>2002-09-18</t>
        </is>
      </c>
      <c r="X659" t="inlineStr">
        <is>
          <t>2002-09-18</t>
        </is>
      </c>
      <c r="Y659" t="inlineStr">
        <is>
          <t>2002-06-27</t>
        </is>
      </c>
      <c r="Z659" t="inlineStr">
        <is>
          <t>2002-06-27</t>
        </is>
      </c>
      <c r="AA659" t="n">
        <v>261</v>
      </c>
      <c r="AB659" t="n">
        <v>185</v>
      </c>
      <c r="AC659" t="n">
        <v>187</v>
      </c>
      <c r="AD659" t="n">
        <v>1</v>
      </c>
      <c r="AE659" t="n">
        <v>1</v>
      </c>
      <c r="AF659" t="n">
        <v>9</v>
      </c>
      <c r="AG659" t="n">
        <v>9</v>
      </c>
      <c r="AH659" t="n">
        <v>3</v>
      </c>
      <c r="AI659" t="n">
        <v>3</v>
      </c>
      <c r="AJ659" t="n">
        <v>1</v>
      </c>
      <c r="AK659" t="n">
        <v>1</v>
      </c>
      <c r="AL659" t="n">
        <v>6</v>
      </c>
      <c r="AM659" t="n">
        <v>6</v>
      </c>
      <c r="AN659" t="n">
        <v>0</v>
      </c>
      <c r="AO659" t="n">
        <v>0</v>
      </c>
      <c r="AP659" t="n">
        <v>0</v>
      </c>
      <c r="AQ659" t="n">
        <v>0</v>
      </c>
      <c r="AR659" t="inlineStr">
        <is>
          <t>No</t>
        </is>
      </c>
      <c r="AS659" t="inlineStr">
        <is>
          <t>Yes</t>
        </is>
      </c>
      <c r="AT659">
        <f>HYPERLINK("http://catalog.hathitrust.org/Record/004013611","HathiTrust Record")</f>
        <v/>
      </c>
      <c r="AU659">
        <f>HYPERLINK("https://creighton-primo.hosted.exlibrisgroup.com/primo-explore/search?tab=default_tab&amp;search_scope=EVERYTHING&amp;vid=01CRU&amp;lang=en_US&amp;offset=0&amp;query=any,contains,991000319299702656","Catalog Record")</f>
        <v/>
      </c>
      <c r="AV659">
        <f>HYPERLINK("http://www.worldcat.org/oclc/40120330","WorldCat Record")</f>
        <v/>
      </c>
      <c r="AW659" t="inlineStr">
        <is>
          <t>1076402:eng</t>
        </is>
      </c>
      <c r="AX659" t="inlineStr">
        <is>
          <t>40120330</t>
        </is>
      </c>
      <c r="AY659" t="inlineStr">
        <is>
          <t>991000319299702656</t>
        </is>
      </c>
      <c r="AZ659" t="inlineStr">
        <is>
          <t>991000319299702656</t>
        </is>
      </c>
      <c r="BA659" t="inlineStr">
        <is>
          <t>2264403580002656</t>
        </is>
      </c>
      <c r="BB659" t="inlineStr">
        <is>
          <t>BOOK</t>
        </is>
      </c>
      <c r="BD659" t="inlineStr">
        <is>
          <t>9780815142300</t>
        </is>
      </c>
      <c r="BE659" t="inlineStr">
        <is>
          <t>30001004239945</t>
        </is>
      </c>
      <c r="BF659" t="inlineStr">
        <is>
          <t>893285504</t>
        </is>
      </c>
    </row>
    <row r="660">
      <c r="A660" t="inlineStr">
        <is>
          <t>No</t>
        </is>
      </c>
      <c r="B660" t="inlineStr">
        <is>
          <t>CUHSL</t>
        </is>
      </c>
      <c r="C660" t="inlineStr">
        <is>
          <t>SHELVES</t>
        </is>
      </c>
      <c r="D660" t="inlineStr">
        <is>
          <t>WY49 H586w 2005</t>
        </is>
      </c>
      <c r="E660" t="inlineStr">
        <is>
          <t>0                      WY 0049000H  586w        2005</t>
        </is>
      </c>
      <c r="F660" t="inlineStr">
        <is>
          <t>Wound care / Cathy Thomas Hess.</t>
        </is>
      </c>
      <c r="H660" t="inlineStr">
        <is>
          <t>No</t>
        </is>
      </c>
      <c r="I660" t="inlineStr">
        <is>
          <t>1</t>
        </is>
      </c>
      <c r="J660" t="inlineStr">
        <is>
          <t>No</t>
        </is>
      </c>
      <c r="K660" t="inlineStr">
        <is>
          <t>No</t>
        </is>
      </c>
      <c r="L660" t="inlineStr">
        <is>
          <t>0</t>
        </is>
      </c>
      <c r="M660" t="inlineStr">
        <is>
          <t>Hess, Cathy Thomas, 1961-</t>
        </is>
      </c>
      <c r="N660" t="inlineStr">
        <is>
          <t>Philadelphia : Lippincott Williams &amp; Wilkins, c2005.</t>
        </is>
      </c>
      <c r="O660" t="inlineStr">
        <is>
          <t>2005</t>
        </is>
      </c>
      <c r="P660" t="inlineStr">
        <is>
          <t>5th ed.</t>
        </is>
      </c>
      <c r="Q660" t="inlineStr">
        <is>
          <t>eng</t>
        </is>
      </c>
      <c r="R660" t="inlineStr">
        <is>
          <t>pau</t>
        </is>
      </c>
      <c r="S660" t="inlineStr">
        <is>
          <t>Clinical guide</t>
        </is>
      </c>
      <c r="T660" t="inlineStr">
        <is>
          <t xml:space="preserve">WY </t>
        </is>
      </c>
      <c r="U660" t="n">
        <v>0</v>
      </c>
      <c r="V660" t="n">
        <v>0</v>
      </c>
      <c r="W660" t="inlineStr">
        <is>
          <t>2006-10-13</t>
        </is>
      </c>
      <c r="X660" t="inlineStr">
        <is>
          <t>2006-10-13</t>
        </is>
      </c>
      <c r="Y660" t="inlineStr">
        <is>
          <t>2006-10-06</t>
        </is>
      </c>
      <c r="Z660" t="inlineStr">
        <is>
          <t>2006-10-06</t>
        </is>
      </c>
      <c r="AA660" t="n">
        <v>317</v>
      </c>
      <c r="AB660" t="n">
        <v>252</v>
      </c>
      <c r="AC660" t="n">
        <v>554</v>
      </c>
      <c r="AD660" t="n">
        <v>1</v>
      </c>
      <c r="AE660" t="n">
        <v>3</v>
      </c>
      <c r="AF660" t="n">
        <v>8</v>
      </c>
      <c r="AG660" t="n">
        <v>12</v>
      </c>
      <c r="AH660" t="n">
        <v>3</v>
      </c>
      <c r="AI660" t="n">
        <v>5</v>
      </c>
      <c r="AJ660" t="n">
        <v>2</v>
      </c>
      <c r="AK660" t="n">
        <v>3</v>
      </c>
      <c r="AL660" t="n">
        <v>4</v>
      </c>
      <c r="AM660" t="n">
        <v>7</v>
      </c>
      <c r="AN660" t="n">
        <v>0</v>
      </c>
      <c r="AO660" t="n">
        <v>0</v>
      </c>
      <c r="AP660" t="n">
        <v>0</v>
      </c>
      <c r="AQ660" t="n">
        <v>0</v>
      </c>
      <c r="AR660" t="inlineStr">
        <is>
          <t>No</t>
        </is>
      </c>
      <c r="AS660" t="inlineStr">
        <is>
          <t>No</t>
        </is>
      </c>
      <c r="AU660">
        <f>HYPERLINK("https://creighton-primo.hosted.exlibrisgroup.com/primo-explore/search?tab=default_tab&amp;search_scope=EVERYTHING&amp;vid=01CRU&amp;lang=en_US&amp;offset=0&amp;query=any,contains,991001745219702656","Catalog Record")</f>
        <v/>
      </c>
      <c r="AV660">
        <f>HYPERLINK("http://www.worldcat.org/oclc/55624352","WorldCat Record")</f>
        <v/>
      </c>
      <c r="AW660" t="inlineStr">
        <is>
          <t>641537:eng</t>
        </is>
      </c>
      <c r="AX660" t="inlineStr">
        <is>
          <t>55624352</t>
        </is>
      </c>
      <c r="AY660" t="inlineStr">
        <is>
          <t>991001745219702656</t>
        </is>
      </c>
      <c r="AZ660" t="inlineStr">
        <is>
          <t>991001745219702656</t>
        </is>
      </c>
      <c r="BA660" t="inlineStr">
        <is>
          <t>2263269610002656</t>
        </is>
      </c>
      <c r="BB660" t="inlineStr">
        <is>
          <t>BOOK</t>
        </is>
      </c>
      <c r="BD660" t="inlineStr">
        <is>
          <t>9781582552941</t>
        </is>
      </c>
      <c r="BE660" t="inlineStr">
        <is>
          <t>30001005175742</t>
        </is>
      </c>
      <c r="BF660" t="inlineStr">
        <is>
          <t>893121985</t>
        </is>
      </c>
    </row>
    <row r="661">
      <c r="A661" t="inlineStr">
        <is>
          <t>No</t>
        </is>
      </c>
      <c r="B661" t="inlineStr">
        <is>
          <t>CUHSL</t>
        </is>
      </c>
      <c r="C661" t="inlineStr">
        <is>
          <t>SHELVES</t>
        </is>
      </c>
      <c r="D661" t="inlineStr">
        <is>
          <t>WY 49 H716p 1996</t>
        </is>
      </c>
      <c r="E661" t="inlineStr">
        <is>
          <t>0                      WY 0049000H  716p        1996</t>
        </is>
      </c>
      <c r="F661" t="inlineStr">
        <is>
          <t>Practical guide to health assessment through the lifespan / Mildred O. Hogstel, Rhonda Keen-Payne.</t>
        </is>
      </c>
      <c r="H661" t="inlineStr">
        <is>
          <t>No</t>
        </is>
      </c>
      <c r="I661" t="inlineStr">
        <is>
          <t>1</t>
        </is>
      </c>
      <c r="J661" t="inlineStr">
        <is>
          <t>No</t>
        </is>
      </c>
      <c r="K661" t="inlineStr">
        <is>
          <t>No</t>
        </is>
      </c>
      <c r="L661" t="inlineStr">
        <is>
          <t>0</t>
        </is>
      </c>
      <c r="M661" t="inlineStr">
        <is>
          <t>Hogstel, Mildred O.</t>
        </is>
      </c>
      <c r="N661" t="inlineStr">
        <is>
          <t>Philadelphia : F.A. Davis, c1996.</t>
        </is>
      </c>
      <c r="O661" t="inlineStr">
        <is>
          <t>1996</t>
        </is>
      </c>
      <c r="P661" t="inlineStr">
        <is>
          <t>2nd ed.</t>
        </is>
      </c>
      <c r="Q661" t="inlineStr">
        <is>
          <t>eng</t>
        </is>
      </c>
      <c r="R661" t="inlineStr">
        <is>
          <t>pau</t>
        </is>
      </c>
      <c r="T661" t="inlineStr">
        <is>
          <t xml:space="preserve">WY </t>
        </is>
      </c>
      <c r="U661" t="n">
        <v>4</v>
      </c>
      <c r="V661" t="n">
        <v>4</v>
      </c>
      <c r="W661" t="inlineStr">
        <is>
          <t>1998-01-20</t>
        </is>
      </c>
      <c r="X661" t="inlineStr">
        <is>
          <t>1998-01-20</t>
        </is>
      </c>
      <c r="Y661" t="inlineStr">
        <is>
          <t>1997-05-28</t>
        </is>
      </c>
      <c r="Z661" t="inlineStr">
        <is>
          <t>1997-05-28</t>
        </is>
      </c>
      <c r="AA661" t="n">
        <v>222</v>
      </c>
      <c r="AB661" t="n">
        <v>182</v>
      </c>
      <c r="AC661" t="n">
        <v>496</v>
      </c>
      <c r="AD661" t="n">
        <v>1</v>
      </c>
      <c r="AE661" t="n">
        <v>2</v>
      </c>
      <c r="AF661" t="n">
        <v>6</v>
      </c>
      <c r="AG661" t="n">
        <v>14</v>
      </c>
      <c r="AH661" t="n">
        <v>4</v>
      </c>
      <c r="AI661" t="n">
        <v>7</v>
      </c>
      <c r="AJ661" t="n">
        <v>0</v>
      </c>
      <c r="AK661" t="n">
        <v>3</v>
      </c>
      <c r="AL661" t="n">
        <v>5</v>
      </c>
      <c r="AM661" t="n">
        <v>11</v>
      </c>
      <c r="AN661" t="n">
        <v>0</v>
      </c>
      <c r="AO661" t="n">
        <v>1</v>
      </c>
      <c r="AP661" t="n">
        <v>0</v>
      </c>
      <c r="AQ661" t="n">
        <v>0</v>
      </c>
      <c r="AR661" t="inlineStr">
        <is>
          <t>No</t>
        </is>
      </c>
      <c r="AS661" t="inlineStr">
        <is>
          <t>Yes</t>
        </is>
      </c>
      <c r="AT661">
        <f>HYPERLINK("http://catalog.hathitrust.org/Record/003094468","HathiTrust Record")</f>
        <v/>
      </c>
      <c r="AU661">
        <f>HYPERLINK("https://creighton-primo.hosted.exlibrisgroup.com/primo-explore/search?tab=default_tab&amp;search_scope=EVERYTHING&amp;vid=01CRU&amp;lang=en_US&amp;offset=0&amp;query=any,contains,991001556639702656","Catalog Record")</f>
        <v/>
      </c>
      <c r="AV661">
        <f>HYPERLINK("http://www.worldcat.org/oclc/34193938","WorldCat Record")</f>
        <v/>
      </c>
      <c r="AW661" t="inlineStr">
        <is>
          <t>30452806:eng</t>
        </is>
      </c>
      <c r="AX661" t="inlineStr">
        <is>
          <t>34193938</t>
        </is>
      </c>
      <c r="AY661" t="inlineStr">
        <is>
          <t>991001556639702656</t>
        </is>
      </c>
      <c r="AZ661" t="inlineStr">
        <is>
          <t>991001556639702656</t>
        </is>
      </c>
      <c r="BA661" t="inlineStr">
        <is>
          <t>2260555710002656</t>
        </is>
      </c>
      <c r="BB661" t="inlineStr">
        <is>
          <t>BOOK</t>
        </is>
      </c>
      <c r="BD661" t="inlineStr">
        <is>
          <t>9780803601307</t>
        </is>
      </c>
      <c r="BE661" t="inlineStr">
        <is>
          <t>30001003672575</t>
        </is>
      </c>
      <c r="BF661" t="inlineStr">
        <is>
          <t>893558092</t>
        </is>
      </c>
    </row>
    <row r="662">
      <c r="A662" t="inlineStr">
        <is>
          <t>No</t>
        </is>
      </c>
      <c r="B662" t="inlineStr">
        <is>
          <t>CUHSL</t>
        </is>
      </c>
      <c r="C662" t="inlineStr">
        <is>
          <t>SHELVES</t>
        </is>
      </c>
      <c r="D662" t="inlineStr">
        <is>
          <t>WY49 H745n 2004</t>
        </is>
      </c>
      <c r="E662" t="inlineStr">
        <is>
          <t>0                      WY 0049000H  745n        2004</t>
        </is>
      </c>
      <c r="F662" t="inlineStr">
        <is>
          <t>Nurse's fast facts : your quick source for core clinical content / Brenda Walters Holloway.</t>
        </is>
      </c>
      <c r="H662" t="inlineStr">
        <is>
          <t>No</t>
        </is>
      </c>
      <c r="I662" t="inlineStr">
        <is>
          <t>1</t>
        </is>
      </c>
      <c r="J662" t="inlineStr">
        <is>
          <t>No</t>
        </is>
      </c>
      <c r="K662" t="inlineStr">
        <is>
          <t>No</t>
        </is>
      </c>
      <c r="L662" t="inlineStr">
        <is>
          <t>0</t>
        </is>
      </c>
      <c r="M662" t="inlineStr">
        <is>
          <t>Holloway, Brenda Walters, 1949-</t>
        </is>
      </c>
      <c r="N662" t="inlineStr">
        <is>
          <t>Philadelphia : F.A. Davis Co., c2004.</t>
        </is>
      </c>
      <c r="O662" t="inlineStr">
        <is>
          <t>2004</t>
        </is>
      </c>
      <c r="P662" t="inlineStr">
        <is>
          <t>3rd ed.</t>
        </is>
      </c>
      <c r="Q662" t="inlineStr">
        <is>
          <t>eng</t>
        </is>
      </c>
      <c r="R662" t="inlineStr">
        <is>
          <t>pau</t>
        </is>
      </c>
      <c r="T662" t="inlineStr">
        <is>
          <t xml:space="preserve">WY </t>
        </is>
      </c>
      <c r="U662" t="n">
        <v>7</v>
      </c>
      <c r="V662" t="n">
        <v>7</v>
      </c>
      <c r="W662" t="inlineStr">
        <is>
          <t>2009-02-22</t>
        </is>
      </c>
      <c r="X662" t="inlineStr">
        <is>
          <t>2009-02-22</t>
        </is>
      </c>
      <c r="Y662" t="inlineStr">
        <is>
          <t>2004-11-16</t>
        </is>
      </c>
      <c r="Z662" t="inlineStr">
        <is>
          <t>2004-11-16</t>
        </is>
      </c>
      <c r="AA662" t="n">
        <v>112</v>
      </c>
      <c r="AB662" t="n">
        <v>91</v>
      </c>
      <c r="AC662" t="n">
        <v>457</v>
      </c>
      <c r="AD662" t="n">
        <v>2</v>
      </c>
      <c r="AE662" t="n">
        <v>4</v>
      </c>
      <c r="AF662" t="n">
        <v>3</v>
      </c>
      <c r="AG662" t="n">
        <v>12</v>
      </c>
      <c r="AH662" t="n">
        <v>1</v>
      </c>
      <c r="AI662" t="n">
        <v>5</v>
      </c>
      <c r="AJ662" t="n">
        <v>0</v>
      </c>
      <c r="AK662" t="n">
        <v>3</v>
      </c>
      <c r="AL662" t="n">
        <v>1</v>
      </c>
      <c r="AM662" t="n">
        <v>5</v>
      </c>
      <c r="AN662" t="n">
        <v>1</v>
      </c>
      <c r="AO662" t="n">
        <v>3</v>
      </c>
      <c r="AP662" t="n">
        <v>0</v>
      </c>
      <c r="AQ662" t="n">
        <v>0</v>
      </c>
      <c r="AR662" t="inlineStr">
        <is>
          <t>No</t>
        </is>
      </c>
      <c r="AS662" t="inlineStr">
        <is>
          <t>No</t>
        </is>
      </c>
      <c r="AU662">
        <f>HYPERLINK("https://creighton-primo.hosted.exlibrisgroup.com/primo-explore/search?tab=default_tab&amp;search_scope=EVERYTHING&amp;vid=01CRU&amp;lang=en_US&amp;offset=0&amp;query=any,contains,991000411219702656","Catalog Record")</f>
        <v/>
      </c>
      <c r="AV662">
        <f>HYPERLINK("http://www.worldcat.org/oclc/54408242","WorldCat Record")</f>
        <v/>
      </c>
      <c r="AW662" t="inlineStr">
        <is>
          <t>801616378:eng</t>
        </is>
      </c>
      <c r="AX662" t="inlineStr">
        <is>
          <t>54408242</t>
        </is>
      </c>
      <c r="AY662" t="inlineStr">
        <is>
          <t>991000411219702656</t>
        </is>
      </c>
      <c r="AZ662" t="inlineStr">
        <is>
          <t>991000411219702656</t>
        </is>
      </c>
      <c r="BA662" t="inlineStr">
        <is>
          <t>2258430480002656</t>
        </is>
      </c>
      <c r="BB662" t="inlineStr">
        <is>
          <t>BOOK</t>
        </is>
      </c>
      <c r="BD662" t="inlineStr">
        <is>
          <t>9780803611610</t>
        </is>
      </c>
      <c r="BE662" t="inlineStr">
        <is>
          <t>30001005390325</t>
        </is>
      </c>
      <c r="BF662" t="inlineStr">
        <is>
          <t>893732841</t>
        </is>
      </c>
    </row>
    <row r="663">
      <c r="A663" t="inlineStr">
        <is>
          <t>No</t>
        </is>
      </c>
      <c r="B663" t="inlineStr">
        <is>
          <t>CUHSL</t>
        </is>
      </c>
      <c r="C663" t="inlineStr">
        <is>
          <t>SHELVES</t>
        </is>
      </c>
      <c r="D663" t="inlineStr">
        <is>
          <t>WY 49 L765 1996</t>
        </is>
      </c>
      <c r="E663" t="inlineStr">
        <is>
          <t>0                      WY 0049000L  765         1996</t>
        </is>
      </c>
      <c r="F663" t="inlineStr">
        <is>
          <t>The Lippincott manual of nursing practice.</t>
        </is>
      </c>
      <c r="H663" t="inlineStr">
        <is>
          <t>No</t>
        </is>
      </c>
      <c r="I663" t="inlineStr">
        <is>
          <t>1</t>
        </is>
      </c>
      <c r="J663" t="inlineStr">
        <is>
          <t>No</t>
        </is>
      </c>
      <c r="K663" t="inlineStr">
        <is>
          <t>Yes</t>
        </is>
      </c>
      <c r="L663" t="inlineStr">
        <is>
          <t>0</t>
        </is>
      </c>
      <c r="N663" t="inlineStr">
        <is>
          <t>Philadelphia : Lippincott-Raven Publishers, c1996.</t>
        </is>
      </c>
      <c r="O663" t="inlineStr">
        <is>
          <t>1996</t>
        </is>
      </c>
      <c r="P663" t="inlineStr">
        <is>
          <t>6th ed. / [edited by] Sandra M. Nettina.</t>
        </is>
      </c>
      <c r="Q663" t="inlineStr">
        <is>
          <t>eng</t>
        </is>
      </c>
      <c r="R663" t="inlineStr">
        <is>
          <t>pau</t>
        </is>
      </c>
      <c r="T663" t="inlineStr">
        <is>
          <t xml:space="preserve">WY </t>
        </is>
      </c>
      <c r="U663" t="n">
        <v>15</v>
      </c>
      <c r="V663" t="n">
        <v>15</v>
      </c>
      <c r="W663" t="inlineStr">
        <is>
          <t>2007-12-10</t>
        </is>
      </c>
      <c r="X663" t="inlineStr">
        <is>
          <t>2007-12-10</t>
        </is>
      </c>
      <c r="Y663" t="inlineStr">
        <is>
          <t>1996-04-18</t>
        </is>
      </c>
      <c r="Z663" t="inlineStr">
        <is>
          <t>1996-04-18</t>
        </is>
      </c>
      <c r="AA663" t="n">
        <v>396</v>
      </c>
      <c r="AB663" t="n">
        <v>325</v>
      </c>
      <c r="AC663" t="n">
        <v>1897</v>
      </c>
      <c r="AD663" t="n">
        <v>1</v>
      </c>
      <c r="AE663" t="n">
        <v>17</v>
      </c>
      <c r="AF663" t="n">
        <v>4</v>
      </c>
      <c r="AG663" t="n">
        <v>42</v>
      </c>
      <c r="AH663" t="n">
        <v>1</v>
      </c>
      <c r="AI663" t="n">
        <v>11</v>
      </c>
      <c r="AJ663" t="n">
        <v>2</v>
      </c>
      <c r="AK663" t="n">
        <v>9</v>
      </c>
      <c r="AL663" t="n">
        <v>2</v>
      </c>
      <c r="AM663" t="n">
        <v>16</v>
      </c>
      <c r="AN663" t="n">
        <v>0</v>
      </c>
      <c r="AO663" t="n">
        <v>12</v>
      </c>
      <c r="AP663" t="n">
        <v>0</v>
      </c>
      <c r="AQ663" t="n">
        <v>1</v>
      </c>
      <c r="AR663" t="inlineStr">
        <is>
          <t>No</t>
        </is>
      </c>
      <c r="AS663" t="inlineStr">
        <is>
          <t>Yes</t>
        </is>
      </c>
      <c r="AT663">
        <f>HYPERLINK("http://catalog.hathitrust.org/Record/003043451","HathiTrust Record")</f>
        <v/>
      </c>
      <c r="AU663">
        <f>HYPERLINK("https://creighton-primo.hosted.exlibrisgroup.com/primo-explore/search?tab=default_tab&amp;search_scope=EVERYTHING&amp;vid=01CRU&amp;lang=en_US&amp;offset=0&amp;query=any,contains,991001506239702656","Catalog Record")</f>
        <v/>
      </c>
      <c r="AV663">
        <f>HYPERLINK("http://www.worldcat.org/oclc/33077330","WorldCat Record")</f>
        <v/>
      </c>
      <c r="AW663" t="inlineStr">
        <is>
          <t>364006384:eng</t>
        </is>
      </c>
      <c r="AX663" t="inlineStr">
        <is>
          <t>33077330</t>
        </is>
      </c>
      <c r="AY663" t="inlineStr">
        <is>
          <t>991001506239702656</t>
        </is>
      </c>
      <c r="AZ663" t="inlineStr">
        <is>
          <t>991001506239702656</t>
        </is>
      </c>
      <c r="BA663" t="inlineStr">
        <is>
          <t>2254804940002656</t>
        </is>
      </c>
      <c r="BB663" t="inlineStr">
        <is>
          <t>BOOK</t>
        </is>
      </c>
      <c r="BD663" t="inlineStr">
        <is>
          <t>9780397551637</t>
        </is>
      </c>
      <c r="BE663" t="inlineStr">
        <is>
          <t>30001003264472</t>
        </is>
      </c>
      <c r="BF663" t="inlineStr">
        <is>
          <t>893284867</t>
        </is>
      </c>
    </row>
    <row r="664">
      <c r="A664" t="inlineStr">
        <is>
          <t>No</t>
        </is>
      </c>
      <c r="B664" t="inlineStr">
        <is>
          <t>CUHSL</t>
        </is>
      </c>
      <c r="C664" t="inlineStr">
        <is>
          <t>SHELVES</t>
        </is>
      </c>
      <c r="D664" t="inlineStr">
        <is>
          <t>WY49 M2938 2003</t>
        </is>
      </c>
      <c r="E664" t="inlineStr">
        <is>
          <t>0                      WY 0049000M  2938        2003</t>
        </is>
      </c>
      <c r="F664" t="inlineStr">
        <is>
          <t>Manual of medical-surgical nursing care : nursing interventions &amp; collaborative management / Pamela L. Swearingen, special project editor.</t>
        </is>
      </c>
      <c r="H664" t="inlineStr">
        <is>
          <t>No</t>
        </is>
      </c>
      <c r="I664" t="inlineStr">
        <is>
          <t>1</t>
        </is>
      </c>
      <c r="J664" t="inlineStr">
        <is>
          <t>No</t>
        </is>
      </c>
      <c r="K664" t="inlineStr">
        <is>
          <t>Yes</t>
        </is>
      </c>
      <c r="L664" t="inlineStr">
        <is>
          <t>0</t>
        </is>
      </c>
      <c r="N664" t="inlineStr">
        <is>
          <t>St. Louis : Mosby, c2003.</t>
        </is>
      </c>
      <c r="O664" t="inlineStr">
        <is>
          <t>2003</t>
        </is>
      </c>
      <c r="P664" t="inlineStr">
        <is>
          <t>Ed. 5.</t>
        </is>
      </c>
      <c r="Q664" t="inlineStr">
        <is>
          <t>eng</t>
        </is>
      </c>
      <c r="R664" t="inlineStr">
        <is>
          <t>mou</t>
        </is>
      </c>
      <c r="T664" t="inlineStr">
        <is>
          <t xml:space="preserve">WY </t>
        </is>
      </c>
      <c r="U664" t="n">
        <v>1</v>
      </c>
      <c r="V664" t="n">
        <v>1</v>
      </c>
      <c r="W664" t="inlineStr">
        <is>
          <t>2006-11-06</t>
        </is>
      </c>
      <c r="X664" t="inlineStr">
        <is>
          <t>2006-11-06</t>
        </is>
      </c>
      <c r="Y664" t="inlineStr">
        <is>
          <t>2002-12-12</t>
        </is>
      </c>
      <c r="Z664" t="inlineStr">
        <is>
          <t>2002-12-12</t>
        </is>
      </c>
      <c r="AA664" t="n">
        <v>272</v>
      </c>
      <c r="AB664" t="n">
        <v>208</v>
      </c>
      <c r="AC664" t="n">
        <v>559</v>
      </c>
      <c r="AD664" t="n">
        <v>1</v>
      </c>
      <c r="AE664" t="n">
        <v>2</v>
      </c>
      <c r="AF664" t="n">
        <v>5</v>
      </c>
      <c r="AG664" t="n">
        <v>16</v>
      </c>
      <c r="AH664" t="n">
        <v>1</v>
      </c>
      <c r="AI664" t="n">
        <v>6</v>
      </c>
      <c r="AJ664" t="n">
        <v>1</v>
      </c>
      <c r="AK664" t="n">
        <v>4</v>
      </c>
      <c r="AL664" t="n">
        <v>4</v>
      </c>
      <c r="AM664" t="n">
        <v>9</v>
      </c>
      <c r="AN664" t="n">
        <v>0</v>
      </c>
      <c r="AO664" t="n">
        <v>1</v>
      </c>
      <c r="AP664" t="n">
        <v>0</v>
      </c>
      <c r="AQ664" t="n">
        <v>0</v>
      </c>
      <c r="AR664" t="inlineStr">
        <is>
          <t>No</t>
        </is>
      </c>
      <c r="AS664" t="inlineStr">
        <is>
          <t>Yes</t>
        </is>
      </c>
      <c r="AT664">
        <f>HYPERLINK("http://catalog.hathitrust.org/Record/003799474","HathiTrust Record")</f>
        <v/>
      </c>
      <c r="AU664">
        <f>HYPERLINK("https://creighton-primo.hosted.exlibrisgroup.com/primo-explore/search?tab=default_tab&amp;search_scope=EVERYTHING&amp;vid=01CRU&amp;lang=en_US&amp;offset=0&amp;query=any,contains,991000333269702656","Catalog Record")</f>
        <v/>
      </c>
      <c r="AV664">
        <f>HYPERLINK("http://www.worldcat.org/oclc/49221920","WorldCat Record")</f>
        <v/>
      </c>
      <c r="AW664" t="inlineStr">
        <is>
          <t>815799385:eng</t>
        </is>
      </c>
      <c r="AX664" t="inlineStr">
        <is>
          <t>49221920</t>
        </is>
      </c>
      <c r="AY664" t="inlineStr">
        <is>
          <t>991000333269702656</t>
        </is>
      </c>
      <c r="AZ664" t="inlineStr">
        <is>
          <t>991000333269702656</t>
        </is>
      </c>
      <c r="BA664" t="inlineStr">
        <is>
          <t>2260802990002656</t>
        </is>
      </c>
      <c r="BB664" t="inlineStr">
        <is>
          <t>BOOK</t>
        </is>
      </c>
      <c r="BD664" t="inlineStr">
        <is>
          <t>9780323016476</t>
        </is>
      </c>
      <c r="BE664" t="inlineStr">
        <is>
          <t>30001004500718</t>
        </is>
      </c>
      <c r="BF664" t="inlineStr">
        <is>
          <t>893109422</t>
        </is>
      </c>
    </row>
    <row r="665">
      <c r="A665" t="inlineStr">
        <is>
          <t>No</t>
        </is>
      </c>
      <c r="B665" t="inlineStr">
        <is>
          <t>CUHSL</t>
        </is>
      </c>
      <c r="C665" t="inlineStr">
        <is>
          <t>SHELVES</t>
        </is>
      </c>
      <c r="D665" t="inlineStr">
        <is>
          <t>WY 49 M358 1998</t>
        </is>
      </c>
      <c r="E665" t="inlineStr">
        <is>
          <t>0                      WY 0049000M  358         1998</t>
        </is>
      </c>
      <c r="F665" t="inlineStr">
        <is>
          <t>Manual of home health practice : guidance for effective clinical operations / Tina M. Marrelli, Lynda S. Hilliard.</t>
        </is>
      </c>
      <c r="H665" t="inlineStr">
        <is>
          <t>No</t>
        </is>
      </c>
      <c r="I665" t="inlineStr">
        <is>
          <t>1</t>
        </is>
      </c>
      <c r="J665" t="inlineStr">
        <is>
          <t>No</t>
        </is>
      </c>
      <c r="K665" t="inlineStr">
        <is>
          <t>No</t>
        </is>
      </c>
      <c r="L665" t="inlineStr">
        <is>
          <t>0</t>
        </is>
      </c>
      <c r="M665" t="inlineStr">
        <is>
          <t>Marrelli, T. M.</t>
        </is>
      </c>
      <c r="N665" t="inlineStr">
        <is>
          <t>St. Louis, Mo. ; London : Mosby, c1998.</t>
        </is>
      </c>
      <c r="O665" t="inlineStr">
        <is>
          <t>1998</t>
        </is>
      </c>
      <c r="Q665" t="inlineStr">
        <is>
          <t>eng</t>
        </is>
      </c>
      <c r="R665" t="inlineStr">
        <is>
          <t>mou</t>
        </is>
      </c>
      <c r="T665" t="inlineStr">
        <is>
          <t xml:space="preserve">WY </t>
        </is>
      </c>
      <c r="U665" t="n">
        <v>4</v>
      </c>
      <c r="V665" t="n">
        <v>4</v>
      </c>
      <c r="W665" t="inlineStr">
        <is>
          <t>2003-03-26</t>
        </is>
      </c>
      <c r="X665" t="inlineStr">
        <is>
          <t>2003-03-26</t>
        </is>
      </c>
      <c r="Y665" t="inlineStr">
        <is>
          <t>1999-11-04</t>
        </is>
      </c>
      <c r="Z665" t="inlineStr">
        <is>
          <t>1999-11-04</t>
        </is>
      </c>
      <c r="AA665" t="n">
        <v>59</v>
      </c>
      <c r="AB665" t="n">
        <v>41</v>
      </c>
      <c r="AC665" t="n">
        <v>41</v>
      </c>
      <c r="AD665" t="n">
        <v>1</v>
      </c>
      <c r="AE665" t="n">
        <v>1</v>
      </c>
      <c r="AF665" t="n">
        <v>4</v>
      </c>
      <c r="AG665" t="n">
        <v>4</v>
      </c>
      <c r="AH665" t="n">
        <v>0</v>
      </c>
      <c r="AI665" t="n">
        <v>0</v>
      </c>
      <c r="AJ665" t="n">
        <v>2</v>
      </c>
      <c r="AK665" t="n">
        <v>2</v>
      </c>
      <c r="AL665" t="n">
        <v>3</v>
      </c>
      <c r="AM665" t="n">
        <v>3</v>
      </c>
      <c r="AN665" t="n">
        <v>0</v>
      </c>
      <c r="AO665" t="n">
        <v>0</v>
      </c>
      <c r="AP665" t="n">
        <v>0</v>
      </c>
      <c r="AQ665" t="n">
        <v>0</v>
      </c>
      <c r="AR665" t="inlineStr">
        <is>
          <t>No</t>
        </is>
      </c>
      <c r="AS665" t="inlineStr">
        <is>
          <t>No</t>
        </is>
      </c>
      <c r="AU665">
        <f>HYPERLINK("https://creighton-primo.hosted.exlibrisgroup.com/primo-explore/search?tab=default_tab&amp;search_scope=EVERYTHING&amp;vid=01CRU&amp;lang=en_US&amp;offset=0&amp;query=any,contains,991000598199702656","Catalog Record")</f>
        <v/>
      </c>
      <c r="AV665">
        <f>HYPERLINK("http://www.worldcat.org/oclc/38112996","WorldCat Record")</f>
        <v/>
      </c>
      <c r="AW665" t="inlineStr">
        <is>
          <t>622923:eng</t>
        </is>
      </c>
      <c r="AX665" t="inlineStr">
        <is>
          <t>38112996</t>
        </is>
      </c>
      <c r="AY665" t="inlineStr">
        <is>
          <t>991000598199702656</t>
        </is>
      </c>
      <c r="AZ665" t="inlineStr">
        <is>
          <t>991000598199702656</t>
        </is>
      </c>
      <c r="BA665" t="inlineStr">
        <is>
          <t>2271840380002656</t>
        </is>
      </c>
      <c r="BB665" t="inlineStr">
        <is>
          <t>BOOK</t>
        </is>
      </c>
      <c r="BD665" t="inlineStr">
        <is>
          <t>9780815146506</t>
        </is>
      </c>
      <c r="BE665" t="inlineStr">
        <is>
          <t>30001004015832</t>
        </is>
      </c>
      <c r="BF665" t="inlineStr">
        <is>
          <t>893830432</t>
        </is>
      </c>
    </row>
    <row r="666">
      <c r="A666" t="inlineStr">
        <is>
          <t>No</t>
        </is>
      </c>
      <c r="B666" t="inlineStr">
        <is>
          <t>CUHSL</t>
        </is>
      </c>
      <c r="C666" t="inlineStr">
        <is>
          <t>SHELVES</t>
        </is>
      </c>
      <c r="D666" t="inlineStr">
        <is>
          <t>WY49 N9745 2002</t>
        </is>
      </c>
      <c r="E666" t="inlineStr">
        <is>
          <t>0                      WY 0049000N  9745        2002</t>
        </is>
      </c>
      <c r="F666" t="inlineStr">
        <is>
          <t>Nursing diagnosis handbook : a guide to planning care / [edited by] Betty J. Ackley, Gail B. Ladwig.</t>
        </is>
      </c>
      <c r="H666" t="inlineStr">
        <is>
          <t>No</t>
        </is>
      </c>
      <c r="I666" t="inlineStr">
        <is>
          <t>1</t>
        </is>
      </c>
      <c r="J666" t="inlineStr">
        <is>
          <t>No</t>
        </is>
      </c>
      <c r="K666" t="inlineStr">
        <is>
          <t>Yes</t>
        </is>
      </c>
      <c r="L666" t="inlineStr">
        <is>
          <t>0</t>
        </is>
      </c>
      <c r="N666" t="inlineStr">
        <is>
          <t>St. Louis : Mosby, c2002.</t>
        </is>
      </c>
      <c r="O666" t="inlineStr">
        <is>
          <t>2002</t>
        </is>
      </c>
      <c r="P666" t="inlineStr">
        <is>
          <t>5th ed.</t>
        </is>
      </c>
      <c r="Q666" t="inlineStr">
        <is>
          <t>eng</t>
        </is>
      </c>
      <c r="R666" t="inlineStr">
        <is>
          <t>mou</t>
        </is>
      </c>
      <c r="T666" t="inlineStr">
        <is>
          <t xml:space="preserve">WY </t>
        </is>
      </c>
      <c r="U666" t="n">
        <v>7</v>
      </c>
      <c r="V666" t="n">
        <v>7</v>
      </c>
      <c r="W666" t="inlineStr">
        <is>
          <t>2002-09-23</t>
        </is>
      </c>
      <c r="X666" t="inlineStr">
        <is>
          <t>2002-09-23</t>
        </is>
      </c>
      <c r="Y666" t="inlineStr">
        <is>
          <t>2001-12-20</t>
        </is>
      </c>
      <c r="Z666" t="inlineStr">
        <is>
          <t>2001-12-20</t>
        </is>
      </c>
      <c r="AA666" t="n">
        <v>301</v>
      </c>
      <c r="AB666" t="n">
        <v>249</v>
      </c>
      <c r="AC666" t="n">
        <v>1666</v>
      </c>
      <c r="AD666" t="n">
        <v>2</v>
      </c>
      <c r="AE666" t="n">
        <v>15</v>
      </c>
      <c r="AF666" t="n">
        <v>8</v>
      </c>
      <c r="AG666" t="n">
        <v>45</v>
      </c>
      <c r="AH666" t="n">
        <v>5</v>
      </c>
      <c r="AI666" t="n">
        <v>16</v>
      </c>
      <c r="AJ666" t="n">
        <v>0</v>
      </c>
      <c r="AK666" t="n">
        <v>8</v>
      </c>
      <c r="AL666" t="n">
        <v>5</v>
      </c>
      <c r="AM666" t="n">
        <v>17</v>
      </c>
      <c r="AN666" t="n">
        <v>1</v>
      </c>
      <c r="AO666" t="n">
        <v>11</v>
      </c>
      <c r="AP666" t="n">
        <v>0</v>
      </c>
      <c r="AQ666" t="n">
        <v>0</v>
      </c>
      <c r="AR666" t="inlineStr">
        <is>
          <t>No</t>
        </is>
      </c>
      <c r="AS666" t="inlineStr">
        <is>
          <t>Yes</t>
        </is>
      </c>
      <c r="AT666">
        <f>HYPERLINK("http://catalog.hathitrust.org/Record/004580327","HathiTrust Record")</f>
        <v/>
      </c>
      <c r="AU666">
        <f>HYPERLINK("https://creighton-primo.hosted.exlibrisgroup.com/primo-explore/search?tab=default_tab&amp;search_scope=EVERYTHING&amp;vid=01CRU&amp;lang=en_US&amp;offset=0&amp;query=any,contains,991000298919702656","Catalog Record")</f>
        <v/>
      </c>
      <c r="AV666">
        <f>HYPERLINK("http://www.worldcat.org/oclc/46872999","WorldCat Record")</f>
        <v/>
      </c>
      <c r="AW666" t="inlineStr">
        <is>
          <t>194796659:eng</t>
        </is>
      </c>
      <c r="AX666" t="inlineStr">
        <is>
          <t>46872999</t>
        </is>
      </c>
      <c r="AY666" t="inlineStr">
        <is>
          <t>991000298919702656</t>
        </is>
      </c>
      <c r="AZ666" t="inlineStr">
        <is>
          <t>991000298919702656</t>
        </is>
      </c>
      <c r="BA666" t="inlineStr">
        <is>
          <t>2272223710002656</t>
        </is>
      </c>
      <c r="BB666" t="inlineStr">
        <is>
          <t>BOOK</t>
        </is>
      </c>
      <c r="BD666" t="inlineStr">
        <is>
          <t>9780323014595</t>
        </is>
      </c>
      <c r="BE666" t="inlineStr">
        <is>
          <t>30001004560332</t>
        </is>
      </c>
      <c r="BF666" t="inlineStr">
        <is>
          <t>893108688</t>
        </is>
      </c>
    </row>
    <row r="667">
      <c r="A667" t="inlineStr">
        <is>
          <t>No</t>
        </is>
      </c>
      <c r="B667" t="inlineStr">
        <is>
          <t>CUHSL</t>
        </is>
      </c>
      <c r="C667" t="inlineStr">
        <is>
          <t>SHELVES</t>
        </is>
      </c>
      <c r="D667" t="inlineStr">
        <is>
          <t>WY 49 P462c 1998</t>
        </is>
      </c>
      <c r="E667" t="inlineStr">
        <is>
          <t>0                      WY 0049000P  462c        1998</t>
        </is>
      </c>
      <c r="F667" t="inlineStr">
        <is>
          <t>Clinical nursing skills &amp; techniques / Anne Griffin Perry, Patricia A. Potter.</t>
        </is>
      </c>
      <c r="H667" t="inlineStr">
        <is>
          <t>No</t>
        </is>
      </c>
      <c r="I667" t="inlineStr">
        <is>
          <t>1</t>
        </is>
      </c>
      <c r="J667" t="inlineStr">
        <is>
          <t>No</t>
        </is>
      </c>
      <c r="K667" t="inlineStr">
        <is>
          <t>No</t>
        </is>
      </c>
      <c r="L667" t="inlineStr">
        <is>
          <t>0</t>
        </is>
      </c>
      <c r="M667" t="inlineStr">
        <is>
          <t>Perry, Anne Griffin.</t>
        </is>
      </c>
      <c r="N667" t="inlineStr">
        <is>
          <t>St. Louis : Mosby, c1998.</t>
        </is>
      </c>
      <c r="O667" t="inlineStr">
        <is>
          <t>1998</t>
        </is>
      </c>
      <c r="P667" t="inlineStr">
        <is>
          <t>4th ed.</t>
        </is>
      </c>
      <c r="Q667" t="inlineStr">
        <is>
          <t>eng</t>
        </is>
      </c>
      <c r="R667" t="inlineStr">
        <is>
          <t>xxu</t>
        </is>
      </c>
      <c r="T667" t="inlineStr">
        <is>
          <t xml:space="preserve">WY </t>
        </is>
      </c>
      <c r="U667" t="n">
        <v>11</v>
      </c>
      <c r="V667" t="n">
        <v>11</v>
      </c>
      <c r="W667" t="inlineStr">
        <is>
          <t>1999-02-16</t>
        </is>
      </c>
      <c r="X667" t="inlineStr">
        <is>
          <t>1999-02-16</t>
        </is>
      </c>
      <c r="Y667" t="inlineStr">
        <is>
          <t>1997-12-18</t>
        </is>
      </c>
      <c r="Z667" t="inlineStr">
        <is>
          <t>1997-12-18</t>
        </is>
      </c>
      <c r="AA667" t="n">
        <v>291</v>
      </c>
      <c r="AB667" t="n">
        <v>240</v>
      </c>
      <c r="AC667" t="n">
        <v>247</v>
      </c>
      <c r="AD667" t="n">
        <v>0</v>
      </c>
      <c r="AE667" t="n">
        <v>0</v>
      </c>
      <c r="AF667" t="n">
        <v>4</v>
      </c>
      <c r="AG667" t="n">
        <v>4</v>
      </c>
      <c r="AH667" t="n">
        <v>1</v>
      </c>
      <c r="AI667" t="n">
        <v>1</v>
      </c>
      <c r="AJ667" t="n">
        <v>1</v>
      </c>
      <c r="AK667" t="n">
        <v>1</v>
      </c>
      <c r="AL667" t="n">
        <v>3</v>
      </c>
      <c r="AM667" t="n">
        <v>3</v>
      </c>
      <c r="AN667" t="n">
        <v>0</v>
      </c>
      <c r="AO667" t="n">
        <v>0</v>
      </c>
      <c r="AP667" t="n">
        <v>0</v>
      </c>
      <c r="AQ667" t="n">
        <v>0</v>
      </c>
      <c r="AR667" t="inlineStr">
        <is>
          <t>No</t>
        </is>
      </c>
      <c r="AS667" t="inlineStr">
        <is>
          <t>Yes</t>
        </is>
      </c>
      <c r="AT667">
        <f>HYPERLINK("http://catalog.hathitrust.org/Record/003186830","HathiTrust Record")</f>
        <v/>
      </c>
      <c r="AU667">
        <f>HYPERLINK("https://creighton-primo.hosted.exlibrisgroup.com/primo-explore/search?tab=default_tab&amp;search_scope=EVERYTHING&amp;vid=01CRU&amp;lang=en_US&amp;offset=0&amp;query=any,contains,991001271439702656","Catalog Record")</f>
        <v/>
      </c>
      <c r="AV667">
        <f>HYPERLINK("http://www.worldcat.org/oclc/37355339","WorldCat Record")</f>
        <v/>
      </c>
      <c r="AW667" t="inlineStr">
        <is>
          <t>5091100448:eng</t>
        </is>
      </c>
      <c r="AX667" t="inlineStr">
        <is>
          <t>37355339</t>
        </is>
      </c>
      <c r="AY667" t="inlineStr">
        <is>
          <t>991001271439702656</t>
        </is>
      </c>
      <c r="AZ667" t="inlineStr">
        <is>
          <t>991001271439702656</t>
        </is>
      </c>
      <c r="BA667" t="inlineStr">
        <is>
          <t>2261587940002656</t>
        </is>
      </c>
      <c r="BB667" t="inlineStr">
        <is>
          <t>BOOK</t>
        </is>
      </c>
      <c r="BD667" t="inlineStr">
        <is>
          <t>9780815143055</t>
        </is>
      </c>
      <c r="BE667" t="inlineStr">
        <is>
          <t>30001003694850</t>
        </is>
      </c>
      <c r="BF667" t="inlineStr">
        <is>
          <t>893460403</t>
        </is>
      </c>
    </row>
    <row r="668">
      <c r="A668" t="inlineStr">
        <is>
          <t>No</t>
        </is>
      </c>
      <c r="B668" t="inlineStr">
        <is>
          <t>CUHSL</t>
        </is>
      </c>
      <c r="C668" t="inlineStr">
        <is>
          <t>SHELVES</t>
        </is>
      </c>
      <c r="D668" t="inlineStr">
        <is>
          <t>WY49 P462c 2006</t>
        </is>
      </c>
      <c r="E668" t="inlineStr">
        <is>
          <t>0                      WY 0049000P  462c        2006</t>
        </is>
      </c>
      <c r="F668" t="inlineStr">
        <is>
          <t>Clinical nursing skills &amp; techniques / [edited by] Anne Griffin Perry, Patricia A. Potter.</t>
        </is>
      </c>
      <c r="H668" t="inlineStr">
        <is>
          <t>No</t>
        </is>
      </c>
      <c r="I668" t="inlineStr">
        <is>
          <t>1</t>
        </is>
      </c>
      <c r="J668" t="inlineStr">
        <is>
          <t>No</t>
        </is>
      </c>
      <c r="K668" t="inlineStr">
        <is>
          <t>No</t>
        </is>
      </c>
      <c r="L668" t="inlineStr">
        <is>
          <t>0</t>
        </is>
      </c>
      <c r="N668" t="inlineStr">
        <is>
          <t>St. Louis, Mo. : Elsevier/Mosby, c2006.</t>
        </is>
      </c>
      <c r="O668" t="inlineStr">
        <is>
          <t>2006</t>
        </is>
      </c>
      <c r="P668" t="inlineStr">
        <is>
          <t>6th ed.</t>
        </is>
      </c>
      <c r="Q668" t="inlineStr">
        <is>
          <t>eng</t>
        </is>
      </c>
      <c r="R668" t="inlineStr">
        <is>
          <t>mou</t>
        </is>
      </c>
      <c r="T668" t="inlineStr">
        <is>
          <t xml:space="preserve">WY </t>
        </is>
      </c>
      <c r="U668" t="n">
        <v>13</v>
      </c>
      <c r="V668" t="n">
        <v>13</v>
      </c>
      <c r="W668" t="inlineStr">
        <is>
          <t>2008-03-26</t>
        </is>
      </c>
      <c r="X668" t="inlineStr">
        <is>
          <t>2008-03-26</t>
        </is>
      </c>
      <c r="Y668" t="inlineStr">
        <is>
          <t>2006-01-19</t>
        </is>
      </c>
      <c r="Z668" t="inlineStr">
        <is>
          <t>2006-01-19</t>
        </is>
      </c>
      <c r="AA668" t="n">
        <v>445</v>
      </c>
      <c r="AB668" t="n">
        <v>322</v>
      </c>
      <c r="AC668" t="n">
        <v>351</v>
      </c>
      <c r="AD668" t="n">
        <v>2</v>
      </c>
      <c r="AE668" t="n">
        <v>2</v>
      </c>
      <c r="AF668" t="n">
        <v>4</v>
      </c>
      <c r="AG668" t="n">
        <v>5</v>
      </c>
      <c r="AH668" t="n">
        <v>2</v>
      </c>
      <c r="AI668" t="n">
        <v>2</v>
      </c>
      <c r="AJ668" t="n">
        <v>0</v>
      </c>
      <c r="AK668" t="n">
        <v>0</v>
      </c>
      <c r="AL668" t="n">
        <v>1</v>
      </c>
      <c r="AM668" t="n">
        <v>2</v>
      </c>
      <c r="AN668" t="n">
        <v>1</v>
      </c>
      <c r="AO668" t="n">
        <v>1</v>
      </c>
      <c r="AP668" t="n">
        <v>0</v>
      </c>
      <c r="AQ668" t="n">
        <v>0</v>
      </c>
      <c r="AR668" t="inlineStr">
        <is>
          <t>No</t>
        </is>
      </c>
      <c r="AS668" t="inlineStr">
        <is>
          <t>No</t>
        </is>
      </c>
      <c r="AU668">
        <f>HYPERLINK("https://creighton-primo.hosted.exlibrisgroup.com/primo-explore/search?tab=default_tab&amp;search_scope=EVERYTHING&amp;vid=01CRU&amp;lang=en_US&amp;offset=0&amp;query=any,contains,991001736589702656","Catalog Record")</f>
        <v/>
      </c>
      <c r="AV668">
        <f>HYPERLINK("http://www.worldcat.org/oclc/61046967","WorldCat Record")</f>
        <v/>
      </c>
      <c r="AW668" t="inlineStr">
        <is>
          <t>5090361003:eng</t>
        </is>
      </c>
      <c r="AX668" t="inlineStr">
        <is>
          <t>61046967</t>
        </is>
      </c>
      <c r="AY668" t="inlineStr">
        <is>
          <t>991001736589702656</t>
        </is>
      </c>
      <c r="AZ668" t="inlineStr">
        <is>
          <t>991001736589702656</t>
        </is>
      </c>
      <c r="BA668" t="inlineStr">
        <is>
          <t>2255048010002656</t>
        </is>
      </c>
      <c r="BB668" t="inlineStr">
        <is>
          <t>BOOK</t>
        </is>
      </c>
      <c r="BD668" t="inlineStr">
        <is>
          <t>9780323028394</t>
        </is>
      </c>
      <c r="BE668" t="inlineStr">
        <is>
          <t>30001004910792</t>
        </is>
      </c>
      <c r="BF668" t="inlineStr">
        <is>
          <t>893162264</t>
        </is>
      </c>
    </row>
    <row r="669">
      <c r="A669" t="inlineStr">
        <is>
          <t>No</t>
        </is>
      </c>
      <c r="B669" t="inlineStr">
        <is>
          <t>CUHSL</t>
        </is>
      </c>
      <c r="C669" t="inlineStr">
        <is>
          <t>SHELVES</t>
        </is>
      </c>
      <c r="D669" t="inlineStr">
        <is>
          <t>WY 49R163n 2005</t>
        </is>
      </c>
      <c r="E669" t="inlineStr">
        <is>
          <t>0                      WY 0049000R  163n        2005</t>
        </is>
      </c>
      <c r="F669" t="inlineStr">
        <is>
          <t>Nursing diagnosis reference manual / Sheila Sparks Ralph, Cynthia M. Taylor.</t>
        </is>
      </c>
      <c r="H669" t="inlineStr">
        <is>
          <t>No</t>
        </is>
      </c>
      <c r="I669" t="inlineStr">
        <is>
          <t>1</t>
        </is>
      </c>
      <c r="J669" t="inlineStr">
        <is>
          <t>No</t>
        </is>
      </c>
      <c r="K669" t="inlineStr">
        <is>
          <t>Yes</t>
        </is>
      </c>
      <c r="L669" t="inlineStr">
        <is>
          <t>0</t>
        </is>
      </c>
      <c r="M669" t="inlineStr">
        <is>
          <t>Ralph, Sheila Sparks.</t>
        </is>
      </c>
      <c r="N669" t="inlineStr">
        <is>
          <t>Philadelphia : Lippincott Williams &amp; Wilkins, c2005.</t>
        </is>
      </c>
      <c r="O669" t="inlineStr">
        <is>
          <t>2005</t>
        </is>
      </c>
      <c r="P669" t="inlineStr">
        <is>
          <t>6th ed.</t>
        </is>
      </c>
      <c r="Q669" t="inlineStr">
        <is>
          <t>eng</t>
        </is>
      </c>
      <c r="R669" t="inlineStr">
        <is>
          <t>pau</t>
        </is>
      </c>
      <c r="T669" t="inlineStr">
        <is>
          <t xml:space="preserve">WY </t>
        </is>
      </c>
      <c r="U669" t="n">
        <v>3</v>
      </c>
      <c r="V669" t="n">
        <v>3</v>
      </c>
      <c r="W669" t="inlineStr">
        <is>
          <t>2007-04-02</t>
        </is>
      </c>
      <c r="X669" t="inlineStr">
        <is>
          <t>2007-04-02</t>
        </is>
      </c>
      <c r="Y669" t="inlineStr">
        <is>
          <t>2004-11-29</t>
        </is>
      </c>
      <c r="Z669" t="inlineStr">
        <is>
          <t>2004-11-29</t>
        </is>
      </c>
      <c r="AA669" t="n">
        <v>324</v>
      </c>
      <c r="AB669" t="n">
        <v>268</v>
      </c>
      <c r="AC669" t="n">
        <v>771</v>
      </c>
      <c r="AD669" t="n">
        <v>2</v>
      </c>
      <c r="AE669" t="n">
        <v>8</v>
      </c>
      <c r="AF669" t="n">
        <v>7</v>
      </c>
      <c r="AG669" t="n">
        <v>20</v>
      </c>
      <c r="AH669" t="n">
        <v>2</v>
      </c>
      <c r="AI669" t="n">
        <v>5</v>
      </c>
      <c r="AJ669" t="n">
        <v>2</v>
      </c>
      <c r="AK669" t="n">
        <v>5</v>
      </c>
      <c r="AL669" t="n">
        <v>4</v>
      </c>
      <c r="AM669" t="n">
        <v>10</v>
      </c>
      <c r="AN669" t="n">
        <v>1</v>
      </c>
      <c r="AO669" t="n">
        <v>5</v>
      </c>
      <c r="AP669" t="n">
        <v>0</v>
      </c>
      <c r="AQ669" t="n">
        <v>0</v>
      </c>
      <c r="AR669" t="inlineStr">
        <is>
          <t>No</t>
        </is>
      </c>
      <c r="AS669" t="inlineStr">
        <is>
          <t>No</t>
        </is>
      </c>
      <c r="AU669">
        <f>HYPERLINK("https://creighton-primo.hosted.exlibrisgroup.com/primo-explore/search?tab=default_tab&amp;search_scope=EVERYTHING&amp;vid=01CRU&amp;lang=en_US&amp;offset=0&amp;query=any,contains,991001731339702656","Catalog Record")</f>
        <v/>
      </c>
      <c r="AV669">
        <f>HYPERLINK("http://www.worldcat.org/oclc/56014652","WorldCat Record")</f>
        <v/>
      </c>
      <c r="AW669" t="inlineStr">
        <is>
          <t>641533:eng</t>
        </is>
      </c>
      <c r="AX669" t="inlineStr">
        <is>
          <t>56014652</t>
        </is>
      </c>
      <c r="AY669" t="inlineStr">
        <is>
          <t>991001731339702656</t>
        </is>
      </c>
      <c r="AZ669" t="inlineStr">
        <is>
          <t>991001731339702656</t>
        </is>
      </c>
      <c r="BA669" t="inlineStr">
        <is>
          <t>2257268170002656</t>
        </is>
      </c>
      <c r="BB669" t="inlineStr">
        <is>
          <t>BOOK</t>
        </is>
      </c>
      <c r="BD669" t="inlineStr">
        <is>
          <t>9781582552927</t>
        </is>
      </c>
      <c r="BE669" t="inlineStr">
        <is>
          <t>30001004925774</t>
        </is>
      </c>
      <c r="BF669" t="inlineStr">
        <is>
          <t>893162263</t>
        </is>
      </c>
    </row>
    <row r="670">
      <c r="A670" t="inlineStr">
        <is>
          <t>No</t>
        </is>
      </c>
      <c r="B670" t="inlineStr">
        <is>
          <t>CUHSL</t>
        </is>
      </c>
      <c r="C670" t="inlineStr">
        <is>
          <t>SHELVES</t>
        </is>
      </c>
      <c r="D670" t="inlineStr">
        <is>
          <t>WY 49 S736na 1998</t>
        </is>
      </c>
      <c r="E670" t="inlineStr">
        <is>
          <t>0                      WY 0049000S  736na       1998</t>
        </is>
      </c>
      <c r="F670" t="inlineStr">
        <is>
          <t>Nursing diagnosis reference manual / Sheila M. Sparks, Cynthia M. Taylor.</t>
        </is>
      </c>
      <c r="H670" t="inlineStr">
        <is>
          <t>No</t>
        </is>
      </c>
      <c r="I670" t="inlineStr">
        <is>
          <t>1</t>
        </is>
      </c>
      <c r="J670" t="inlineStr">
        <is>
          <t>No</t>
        </is>
      </c>
      <c r="K670" t="inlineStr">
        <is>
          <t>Yes</t>
        </is>
      </c>
      <c r="L670" t="inlineStr">
        <is>
          <t>0</t>
        </is>
      </c>
      <c r="M670" t="inlineStr">
        <is>
          <t>Ralph, Sheila Sparks.</t>
        </is>
      </c>
      <c r="N670" t="inlineStr">
        <is>
          <t>Springhouse, Pa. : Springhouse Corp., c1998.</t>
        </is>
      </c>
      <c r="O670" t="inlineStr">
        <is>
          <t>1998</t>
        </is>
      </c>
      <c r="P670" t="inlineStr">
        <is>
          <t>4th ed.</t>
        </is>
      </c>
      <c r="Q670" t="inlineStr">
        <is>
          <t>eng</t>
        </is>
      </c>
      <c r="R670" t="inlineStr">
        <is>
          <t>pau</t>
        </is>
      </c>
      <c r="T670" t="inlineStr">
        <is>
          <t xml:space="preserve">WY </t>
        </is>
      </c>
      <c r="U670" t="n">
        <v>19</v>
      </c>
      <c r="V670" t="n">
        <v>19</v>
      </c>
      <c r="W670" t="inlineStr">
        <is>
          <t>2002-11-18</t>
        </is>
      </c>
      <c r="X670" t="inlineStr">
        <is>
          <t>2002-11-18</t>
        </is>
      </c>
      <c r="Y670" t="inlineStr">
        <is>
          <t>1999-11-02</t>
        </is>
      </c>
      <c r="Z670" t="inlineStr">
        <is>
          <t>1999-11-02</t>
        </is>
      </c>
      <c r="AA670" t="n">
        <v>199</v>
      </c>
      <c r="AB670" t="n">
        <v>175</v>
      </c>
      <c r="AC670" t="n">
        <v>771</v>
      </c>
      <c r="AD670" t="n">
        <v>2</v>
      </c>
      <c r="AE670" t="n">
        <v>8</v>
      </c>
      <c r="AF670" t="n">
        <v>4</v>
      </c>
      <c r="AG670" t="n">
        <v>20</v>
      </c>
      <c r="AH670" t="n">
        <v>2</v>
      </c>
      <c r="AI670" t="n">
        <v>5</v>
      </c>
      <c r="AJ670" t="n">
        <v>1</v>
      </c>
      <c r="AK670" t="n">
        <v>5</v>
      </c>
      <c r="AL670" t="n">
        <v>1</v>
      </c>
      <c r="AM670" t="n">
        <v>10</v>
      </c>
      <c r="AN670" t="n">
        <v>0</v>
      </c>
      <c r="AO670" t="n">
        <v>5</v>
      </c>
      <c r="AP670" t="n">
        <v>0</v>
      </c>
      <c r="AQ670" t="n">
        <v>0</v>
      </c>
      <c r="AR670" t="inlineStr">
        <is>
          <t>No</t>
        </is>
      </c>
      <c r="AS670" t="inlineStr">
        <is>
          <t>Yes</t>
        </is>
      </c>
      <c r="AT670">
        <f>HYPERLINK("http://catalog.hathitrust.org/Record/003203153","HathiTrust Record")</f>
        <v/>
      </c>
      <c r="AU670">
        <f>HYPERLINK("https://creighton-primo.hosted.exlibrisgroup.com/primo-explore/search?tab=default_tab&amp;search_scope=EVERYTHING&amp;vid=01CRU&amp;lang=en_US&amp;offset=0&amp;query=any,contains,991000598109702656","Catalog Record")</f>
        <v/>
      </c>
      <c r="AV670">
        <f>HYPERLINK("http://www.worldcat.org/oclc/37481569","WorldCat Record")</f>
        <v/>
      </c>
      <c r="AW670" t="inlineStr">
        <is>
          <t>641533:eng</t>
        </is>
      </c>
      <c r="AX670" t="inlineStr">
        <is>
          <t>37481569</t>
        </is>
      </c>
      <c r="AY670" t="inlineStr">
        <is>
          <t>991000598109702656</t>
        </is>
      </c>
      <c r="AZ670" t="inlineStr">
        <is>
          <t>991000598109702656</t>
        </is>
      </c>
      <c r="BA670" t="inlineStr">
        <is>
          <t>2268719110002656</t>
        </is>
      </c>
      <c r="BB670" t="inlineStr">
        <is>
          <t>BOOK</t>
        </is>
      </c>
      <c r="BD670" t="inlineStr">
        <is>
          <t>9780874348972</t>
        </is>
      </c>
      <c r="BE670" t="inlineStr">
        <is>
          <t>30001004015840</t>
        </is>
      </c>
      <c r="BF670" t="inlineStr">
        <is>
          <t>893830431</t>
        </is>
      </c>
    </row>
    <row r="671">
      <c r="A671" t="inlineStr">
        <is>
          <t>No</t>
        </is>
      </c>
      <c r="B671" t="inlineStr">
        <is>
          <t>CUHSL</t>
        </is>
      </c>
      <c r="C671" t="inlineStr">
        <is>
          <t>SHELVES</t>
        </is>
      </c>
      <c r="D671" t="inlineStr">
        <is>
          <t>WY 49 V289m 2004</t>
        </is>
      </c>
      <c r="E671" t="inlineStr">
        <is>
          <t>0                      WY 0049000V  289m        2004</t>
        </is>
      </c>
      <c r="F671" t="inlineStr">
        <is>
          <t>Manual of psychiatric nursing care plans : diagnoses, clinical tools, and psychopharmacology / Elizabeth M. Varcarolis.</t>
        </is>
      </c>
      <c r="H671" t="inlineStr">
        <is>
          <t>No</t>
        </is>
      </c>
      <c r="I671" t="inlineStr">
        <is>
          <t>1</t>
        </is>
      </c>
      <c r="J671" t="inlineStr">
        <is>
          <t>No</t>
        </is>
      </c>
      <c r="K671" t="inlineStr">
        <is>
          <t>No</t>
        </is>
      </c>
      <c r="L671" t="inlineStr">
        <is>
          <t>0</t>
        </is>
      </c>
      <c r="M671" t="inlineStr">
        <is>
          <t>Varcarolis, Elizabeth M.</t>
        </is>
      </c>
      <c r="N671" t="inlineStr">
        <is>
          <t>St. Louis : Saunders, c2004.</t>
        </is>
      </c>
      <c r="O671" t="inlineStr">
        <is>
          <t>2004</t>
        </is>
      </c>
      <c r="P671" t="inlineStr">
        <is>
          <t>2nd ed.</t>
        </is>
      </c>
      <c r="Q671" t="inlineStr">
        <is>
          <t>eng</t>
        </is>
      </c>
      <c r="R671" t="inlineStr">
        <is>
          <t>mou</t>
        </is>
      </c>
      <c r="T671" t="inlineStr">
        <is>
          <t xml:space="preserve">WY </t>
        </is>
      </c>
      <c r="U671" t="n">
        <v>3</v>
      </c>
      <c r="V671" t="n">
        <v>3</v>
      </c>
      <c r="W671" t="inlineStr">
        <is>
          <t>2007-09-22</t>
        </is>
      </c>
      <c r="X671" t="inlineStr">
        <is>
          <t>2007-09-22</t>
        </is>
      </c>
      <c r="Y671" t="inlineStr">
        <is>
          <t>2004-09-27</t>
        </is>
      </c>
      <c r="Z671" t="inlineStr">
        <is>
          <t>2004-09-27</t>
        </is>
      </c>
      <c r="AA671" t="n">
        <v>168</v>
      </c>
      <c r="AB671" t="n">
        <v>116</v>
      </c>
      <c r="AC671" t="n">
        <v>235</v>
      </c>
      <c r="AD671" t="n">
        <v>1</v>
      </c>
      <c r="AE671" t="n">
        <v>1</v>
      </c>
      <c r="AF671" t="n">
        <v>4</v>
      </c>
      <c r="AG671" t="n">
        <v>8</v>
      </c>
      <c r="AH671" t="n">
        <v>1</v>
      </c>
      <c r="AI671" t="n">
        <v>3</v>
      </c>
      <c r="AJ671" t="n">
        <v>2</v>
      </c>
      <c r="AK671" t="n">
        <v>2</v>
      </c>
      <c r="AL671" t="n">
        <v>2</v>
      </c>
      <c r="AM671" t="n">
        <v>4</v>
      </c>
      <c r="AN671" t="n">
        <v>0</v>
      </c>
      <c r="AO671" t="n">
        <v>0</v>
      </c>
      <c r="AP671" t="n">
        <v>0</v>
      </c>
      <c r="AQ671" t="n">
        <v>0</v>
      </c>
      <c r="AR671" t="inlineStr">
        <is>
          <t>No</t>
        </is>
      </c>
      <c r="AS671" t="inlineStr">
        <is>
          <t>Yes</t>
        </is>
      </c>
      <c r="AT671">
        <f>HYPERLINK("http://catalog.hathitrust.org/Record/012269004","HathiTrust Record")</f>
        <v/>
      </c>
      <c r="AU671">
        <f>HYPERLINK("https://creighton-primo.hosted.exlibrisgroup.com/primo-explore/search?tab=default_tab&amp;search_scope=EVERYTHING&amp;vid=01CRU&amp;lang=en_US&amp;offset=0&amp;query=any,contains,991000397409702656","Catalog Record")</f>
        <v/>
      </c>
      <c r="AV671">
        <f>HYPERLINK("http://www.worldcat.org/oclc/52937970","WorldCat Record")</f>
        <v/>
      </c>
      <c r="AW671" t="inlineStr">
        <is>
          <t>837190627:eng</t>
        </is>
      </c>
      <c r="AX671" t="inlineStr">
        <is>
          <t>52937970</t>
        </is>
      </c>
      <c r="AY671" t="inlineStr">
        <is>
          <t>991000397409702656</t>
        </is>
      </c>
      <c r="AZ671" t="inlineStr">
        <is>
          <t>991000397409702656</t>
        </is>
      </c>
      <c r="BA671" t="inlineStr">
        <is>
          <t>2262709870002656</t>
        </is>
      </c>
      <c r="BB671" t="inlineStr">
        <is>
          <t>BOOK</t>
        </is>
      </c>
      <c r="BD671" t="inlineStr">
        <is>
          <t>9780721603162</t>
        </is>
      </c>
      <c r="BE671" t="inlineStr">
        <is>
          <t>30001004923233</t>
        </is>
      </c>
      <c r="BF671" t="inlineStr">
        <is>
          <t>893285535</t>
        </is>
      </c>
    </row>
    <row r="672">
      <c r="A672" t="inlineStr">
        <is>
          <t>No</t>
        </is>
      </c>
      <c r="B672" t="inlineStr">
        <is>
          <t>CUHSL</t>
        </is>
      </c>
      <c r="C672" t="inlineStr">
        <is>
          <t>SHELVES</t>
        </is>
      </c>
      <c r="D672" t="inlineStr">
        <is>
          <t>WY49 V879a 2004</t>
        </is>
      </c>
      <c r="E672" t="inlineStr">
        <is>
          <t>0                      WY 0049000V  879a        2004</t>
        </is>
      </c>
      <c r="F672" t="inlineStr">
        <is>
          <t>Advanced practice oncology and palliative care guidelines / Wendy H. Vogel, Margery A. Wilson, Michelle S. Melvin.</t>
        </is>
      </c>
      <c r="H672" t="inlineStr">
        <is>
          <t>No</t>
        </is>
      </c>
      <c r="I672" t="inlineStr">
        <is>
          <t>1</t>
        </is>
      </c>
      <c r="J672" t="inlineStr">
        <is>
          <t>No</t>
        </is>
      </c>
      <c r="K672" t="inlineStr">
        <is>
          <t>No</t>
        </is>
      </c>
      <c r="L672" t="inlineStr">
        <is>
          <t>0</t>
        </is>
      </c>
      <c r="M672" t="inlineStr">
        <is>
          <t>Vogel, Wendy H.</t>
        </is>
      </c>
      <c r="N672" t="inlineStr">
        <is>
          <t>Philadelphia : Lippincott Williams &amp; Wilkins, c2004.</t>
        </is>
      </c>
      <c r="O672" t="inlineStr">
        <is>
          <t>2004</t>
        </is>
      </c>
      <c r="Q672" t="inlineStr">
        <is>
          <t>eng</t>
        </is>
      </c>
      <c r="R672" t="inlineStr">
        <is>
          <t>pau</t>
        </is>
      </c>
      <c r="T672" t="inlineStr">
        <is>
          <t xml:space="preserve">WY </t>
        </is>
      </c>
      <c r="U672" t="n">
        <v>0</v>
      </c>
      <c r="V672" t="n">
        <v>0</v>
      </c>
      <c r="W672" t="inlineStr">
        <is>
          <t>2006-10-13</t>
        </is>
      </c>
      <c r="X672" t="inlineStr">
        <is>
          <t>2006-10-13</t>
        </is>
      </c>
      <c r="Y672" t="inlineStr">
        <is>
          <t>2006-10-06</t>
        </is>
      </c>
      <c r="Z672" t="inlineStr">
        <is>
          <t>2006-10-06</t>
        </is>
      </c>
      <c r="AA672" t="n">
        <v>142</v>
      </c>
      <c r="AB672" t="n">
        <v>85</v>
      </c>
      <c r="AC672" t="n">
        <v>482</v>
      </c>
      <c r="AD672" t="n">
        <v>1</v>
      </c>
      <c r="AE672" t="n">
        <v>5</v>
      </c>
      <c r="AF672" t="n">
        <v>0</v>
      </c>
      <c r="AG672" t="n">
        <v>20</v>
      </c>
      <c r="AH672" t="n">
        <v>0</v>
      </c>
      <c r="AI672" t="n">
        <v>7</v>
      </c>
      <c r="AJ672" t="n">
        <v>0</v>
      </c>
      <c r="AK672" t="n">
        <v>5</v>
      </c>
      <c r="AL672" t="n">
        <v>0</v>
      </c>
      <c r="AM672" t="n">
        <v>5</v>
      </c>
      <c r="AN672" t="n">
        <v>0</v>
      </c>
      <c r="AO672" t="n">
        <v>4</v>
      </c>
      <c r="AP672" t="n">
        <v>0</v>
      </c>
      <c r="AQ672" t="n">
        <v>1</v>
      </c>
      <c r="AR672" t="inlineStr">
        <is>
          <t>No</t>
        </is>
      </c>
      <c r="AS672" t="inlineStr">
        <is>
          <t>No</t>
        </is>
      </c>
      <c r="AU672">
        <f>HYPERLINK("https://creighton-primo.hosted.exlibrisgroup.com/primo-explore/search?tab=default_tab&amp;search_scope=EVERYTHING&amp;vid=01CRU&amp;lang=en_US&amp;offset=0&amp;query=any,contains,991000551919702656","Catalog Record")</f>
        <v/>
      </c>
      <c r="AV672">
        <f>HYPERLINK("http://www.worldcat.org/oclc/51478057","WorldCat Record")</f>
        <v/>
      </c>
      <c r="AW672" t="inlineStr">
        <is>
          <t>766772:eng</t>
        </is>
      </c>
      <c r="AX672" t="inlineStr">
        <is>
          <t>51478057</t>
        </is>
      </c>
      <c r="AY672" t="inlineStr">
        <is>
          <t>991000551919702656</t>
        </is>
      </c>
      <c r="AZ672" t="inlineStr">
        <is>
          <t>991000551919702656</t>
        </is>
      </c>
      <c r="BA672" t="inlineStr">
        <is>
          <t>2257090680002656</t>
        </is>
      </c>
      <c r="BB672" t="inlineStr">
        <is>
          <t>BOOK</t>
        </is>
      </c>
      <c r="BD672" t="inlineStr">
        <is>
          <t>9780781743310</t>
        </is>
      </c>
      <c r="BE672" t="inlineStr">
        <is>
          <t>30001005175734</t>
        </is>
      </c>
      <c r="BF672" t="inlineStr">
        <is>
          <t>893144439</t>
        </is>
      </c>
    </row>
    <row r="673">
      <c r="A673" t="inlineStr">
        <is>
          <t>No</t>
        </is>
      </c>
      <c r="B673" t="inlineStr">
        <is>
          <t>CUHSL</t>
        </is>
      </c>
      <c r="C673" t="inlineStr">
        <is>
          <t>SHELVES</t>
        </is>
      </c>
      <c r="D673" t="inlineStr">
        <is>
          <t>WY 49 W585d 2003</t>
        </is>
      </c>
      <c r="E673" t="inlineStr">
        <is>
          <t>0                      WY 0049000W  585d        2003</t>
        </is>
      </c>
      <c r="F673" t="inlineStr">
        <is>
          <t>Documentation &amp; the nursing process / Lois White.</t>
        </is>
      </c>
      <c r="H673" t="inlineStr">
        <is>
          <t>No</t>
        </is>
      </c>
      <c r="I673" t="inlineStr">
        <is>
          <t>1</t>
        </is>
      </c>
      <c r="J673" t="inlineStr">
        <is>
          <t>No</t>
        </is>
      </c>
      <c r="K673" t="inlineStr">
        <is>
          <t>No</t>
        </is>
      </c>
      <c r="L673" t="inlineStr">
        <is>
          <t>0</t>
        </is>
      </c>
      <c r="M673" t="inlineStr">
        <is>
          <t>White, Lois (Lois Elain Wacker)</t>
        </is>
      </c>
      <c r="N673" t="inlineStr">
        <is>
          <t>Clifton Park, N.Y. : Thomson/Delmar Learning, c2003.</t>
        </is>
      </c>
      <c r="O673" t="inlineStr">
        <is>
          <t>2003</t>
        </is>
      </c>
      <c r="Q673" t="inlineStr">
        <is>
          <t>eng</t>
        </is>
      </c>
      <c r="R673" t="inlineStr">
        <is>
          <t>nyu</t>
        </is>
      </c>
      <c r="T673" t="inlineStr">
        <is>
          <t xml:space="preserve">WY </t>
        </is>
      </c>
      <c r="U673" t="n">
        <v>1</v>
      </c>
      <c r="V673" t="n">
        <v>1</v>
      </c>
      <c r="W673" t="inlineStr">
        <is>
          <t>2006-09-11</t>
        </is>
      </c>
      <c r="X673" t="inlineStr">
        <is>
          <t>2006-09-11</t>
        </is>
      </c>
      <c r="Y673" t="inlineStr">
        <is>
          <t>2006-09-11</t>
        </is>
      </c>
      <c r="Z673" t="inlineStr">
        <is>
          <t>2006-09-11</t>
        </is>
      </c>
      <c r="AA673" t="n">
        <v>197</v>
      </c>
      <c r="AB673" t="n">
        <v>144</v>
      </c>
      <c r="AC673" t="n">
        <v>150</v>
      </c>
      <c r="AD673" t="n">
        <v>1</v>
      </c>
      <c r="AE673" t="n">
        <v>1</v>
      </c>
      <c r="AF673" t="n">
        <v>6</v>
      </c>
      <c r="AG673" t="n">
        <v>6</v>
      </c>
      <c r="AH673" t="n">
        <v>2</v>
      </c>
      <c r="AI673" t="n">
        <v>2</v>
      </c>
      <c r="AJ673" t="n">
        <v>0</v>
      </c>
      <c r="AK673" t="n">
        <v>0</v>
      </c>
      <c r="AL673" t="n">
        <v>4</v>
      </c>
      <c r="AM673" t="n">
        <v>4</v>
      </c>
      <c r="AN673" t="n">
        <v>0</v>
      </c>
      <c r="AO673" t="n">
        <v>0</v>
      </c>
      <c r="AP673" t="n">
        <v>0</v>
      </c>
      <c r="AQ673" t="n">
        <v>0</v>
      </c>
      <c r="AR673" t="inlineStr">
        <is>
          <t>No</t>
        </is>
      </c>
      <c r="AS673" t="inlineStr">
        <is>
          <t>No</t>
        </is>
      </c>
      <c r="AU673">
        <f>HYPERLINK("https://creighton-primo.hosted.exlibrisgroup.com/primo-explore/search?tab=default_tab&amp;search_scope=EVERYTHING&amp;vid=01CRU&amp;lang=en_US&amp;offset=0&amp;query=any,contains,991000537179702656","Catalog Record")</f>
        <v/>
      </c>
      <c r="AV673">
        <f>HYPERLINK("http://www.worldcat.org/oclc/49743666","WorldCat Record")</f>
        <v/>
      </c>
      <c r="AW673" t="inlineStr">
        <is>
          <t>1047908:eng</t>
        </is>
      </c>
      <c r="AX673" t="inlineStr">
        <is>
          <t>49743666</t>
        </is>
      </c>
      <c r="AY673" t="inlineStr">
        <is>
          <t>991000537179702656</t>
        </is>
      </c>
      <c r="AZ673" t="inlineStr">
        <is>
          <t>991000537179702656</t>
        </is>
      </c>
      <c r="BA673" t="inlineStr">
        <is>
          <t>2259083450002656</t>
        </is>
      </c>
      <c r="BB673" t="inlineStr">
        <is>
          <t>BOOK</t>
        </is>
      </c>
      <c r="BD673" t="inlineStr">
        <is>
          <t>9780766850095</t>
        </is>
      </c>
      <c r="BE673" t="inlineStr">
        <is>
          <t>30001005120474</t>
        </is>
      </c>
      <c r="BF673" t="inlineStr">
        <is>
          <t>893640640</t>
        </is>
      </c>
    </row>
    <row r="674">
      <c r="A674" t="inlineStr">
        <is>
          <t>No</t>
        </is>
      </c>
      <c r="B674" t="inlineStr">
        <is>
          <t>CUHSL</t>
        </is>
      </c>
      <c r="C674" t="inlineStr">
        <is>
          <t>SHELVES</t>
        </is>
      </c>
      <c r="D674" t="inlineStr">
        <is>
          <t>WY 77 A154u 2000</t>
        </is>
      </c>
      <c r="E674" t="inlineStr">
        <is>
          <t>0                      WY 0077000A  154u        2000</t>
        </is>
      </c>
      <c r="F674" t="inlineStr">
        <is>
          <t>Understanding payment for advanced practice nursing services / Sheila Abood, David Keepnews.</t>
        </is>
      </c>
      <c r="G674" t="inlineStr">
        <is>
          <t>V. 1</t>
        </is>
      </c>
      <c r="H674" t="inlineStr">
        <is>
          <t>Yes</t>
        </is>
      </c>
      <c r="I674" t="inlineStr">
        <is>
          <t>1</t>
        </is>
      </c>
      <c r="J674" t="inlineStr">
        <is>
          <t>No</t>
        </is>
      </c>
      <c r="K674" t="inlineStr">
        <is>
          <t>No</t>
        </is>
      </c>
      <c r="L674" t="inlineStr">
        <is>
          <t>0</t>
        </is>
      </c>
      <c r="M674" t="inlineStr">
        <is>
          <t>Abood, Sheila.</t>
        </is>
      </c>
      <c r="N674" t="inlineStr">
        <is>
          <t>Washington, DC : American Nurses Pub., c2000-</t>
        </is>
      </c>
      <c r="O674" t="inlineStr">
        <is>
          <t>2000</t>
        </is>
      </c>
      <c r="Q674" t="inlineStr">
        <is>
          <t>eng</t>
        </is>
      </c>
      <c r="R674" t="inlineStr">
        <is>
          <t>dcu</t>
        </is>
      </c>
      <c r="S674" t="inlineStr">
        <is>
          <t>ANA pub ; no. APNS-20</t>
        </is>
      </c>
      <c r="T674" t="inlineStr">
        <is>
          <t xml:space="preserve">WY </t>
        </is>
      </c>
      <c r="U674" t="n">
        <v>1</v>
      </c>
      <c r="V674" t="n">
        <v>1</v>
      </c>
      <c r="W674" t="inlineStr">
        <is>
          <t>2002-04-17</t>
        </is>
      </c>
      <c r="X674" t="inlineStr">
        <is>
          <t>2002-04-17</t>
        </is>
      </c>
      <c r="Y674" t="inlineStr">
        <is>
          <t>2001-12-16</t>
        </is>
      </c>
      <c r="Z674" t="inlineStr">
        <is>
          <t>2002-09-18</t>
        </is>
      </c>
      <c r="AA674" t="n">
        <v>151</v>
      </c>
      <c r="AB674" t="n">
        <v>149</v>
      </c>
      <c r="AC674" t="n">
        <v>152</v>
      </c>
      <c r="AD674" t="n">
        <v>2</v>
      </c>
      <c r="AE674" t="n">
        <v>2</v>
      </c>
      <c r="AF674" t="n">
        <v>12</v>
      </c>
      <c r="AG674" t="n">
        <v>12</v>
      </c>
      <c r="AH674" t="n">
        <v>4</v>
      </c>
      <c r="AI674" t="n">
        <v>4</v>
      </c>
      <c r="AJ674" t="n">
        <v>4</v>
      </c>
      <c r="AK674" t="n">
        <v>4</v>
      </c>
      <c r="AL674" t="n">
        <v>6</v>
      </c>
      <c r="AM674" t="n">
        <v>6</v>
      </c>
      <c r="AN674" t="n">
        <v>0</v>
      </c>
      <c r="AO674" t="n">
        <v>0</v>
      </c>
      <c r="AP674" t="n">
        <v>0</v>
      </c>
      <c r="AQ674" t="n">
        <v>0</v>
      </c>
      <c r="AR674" t="inlineStr">
        <is>
          <t>No</t>
        </is>
      </c>
      <c r="AS674" t="inlineStr">
        <is>
          <t>Yes</t>
        </is>
      </c>
      <c r="AT674">
        <f>HYPERLINK("http://catalog.hathitrust.org/Record/003569906","HathiTrust Record")</f>
        <v/>
      </c>
      <c r="AU674">
        <f>HYPERLINK("https://creighton-primo.hosted.exlibrisgroup.com/primo-explore/search?tab=default_tab&amp;search_scope=EVERYTHING&amp;vid=01CRU&amp;lang=en_US&amp;offset=0&amp;query=any,contains,991000296509702656","Catalog Record")</f>
        <v/>
      </c>
      <c r="AV674">
        <f>HYPERLINK("http://www.worldcat.org/oclc/44040395","WorldCat Record")</f>
        <v/>
      </c>
      <c r="AW674" t="inlineStr">
        <is>
          <t>4051596036:eng</t>
        </is>
      </c>
      <c r="AX674" t="inlineStr">
        <is>
          <t>44040395</t>
        </is>
      </c>
      <c r="AY674" t="inlineStr">
        <is>
          <t>991000296509702656</t>
        </is>
      </c>
      <c r="AZ674" t="inlineStr">
        <is>
          <t>991000296509702656</t>
        </is>
      </c>
      <c r="BA674" t="inlineStr">
        <is>
          <t>2256530540002656</t>
        </is>
      </c>
      <c r="BB674" t="inlineStr">
        <is>
          <t>BOOK</t>
        </is>
      </c>
      <c r="BD674" t="inlineStr">
        <is>
          <t>9781558101487</t>
        </is>
      </c>
      <c r="BE674" t="inlineStr">
        <is>
          <t>30001004520757</t>
        </is>
      </c>
      <c r="BF674" t="inlineStr">
        <is>
          <t>893466175</t>
        </is>
      </c>
    </row>
    <row r="675">
      <c r="A675" t="inlineStr">
        <is>
          <t>No</t>
        </is>
      </c>
      <c r="B675" t="inlineStr">
        <is>
          <t>CUHSL</t>
        </is>
      </c>
      <c r="C675" t="inlineStr">
        <is>
          <t>SHELVES</t>
        </is>
      </c>
      <c r="D675" t="inlineStr">
        <is>
          <t>WY77 A154U 2002</t>
        </is>
      </c>
      <c r="E675" t="inlineStr">
        <is>
          <t>0                      WY 0077000A  154U        2002</t>
        </is>
      </c>
      <c r="F675" t="inlineStr">
        <is>
          <t>Understanding payment for advanced practice nursing services / Sheila Abood, David Keepnews.</t>
        </is>
      </c>
      <c r="G675" t="inlineStr">
        <is>
          <t>V. 2</t>
        </is>
      </c>
      <c r="H675" t="inlineStr">
        <is>
          <t>Yes</t>
        </is>
      </c>
      <c r="I675" t="inlineStr">
        <is>
          <t>1</t>
        </is>
      </c>
      <c r="J675" t="inlineStr">
        <is>
          <t>No</t>
        </is>
      </c>
      <c r="K675" t="inlineStr">
        <is>
          <t>No</t>
        </is>
      </c>
      <c r="L675" t="inlineStr">
        <is>
          <t>0</t>
        </is>
      </c>
      <c r="M675" t="inlineStr">
        <is>
          <t>Abood, Sheila.</t>
        </is>
      </c>
      <c r="N675" t="inlineStr">
        <is>
          <t>Washington, DC : American Nurses Pub., c2000-</t>
        </is>
      </c>
      <c r="O675" t="inlineStr">
        <is>
          <t>2000</t>
        </is>
      </c>
      <c r="Q675" t="inlineStr">
        <is>
          <t>eng</t>
        </is>
      </c>
      <c r="R675" t="inlineStr">
        <is>
          <t>dcu</t>
        </is>
      </c>
      <c r="S675" t="inlineStr">
        <is>
          <t>ANA pub ; no. APNS-20</t>
        </is>
      </c>
      <c r="T675" t="inlineStr">
        <is>
          <t xml:space="preserve">WY </t>
        </is>
      </c>
      <c r="U675" t="n">
        <v>0</v>
      </c>
      <c r="V675" t="n">
        <v>1</v>
      </c>
      <c r="X675" t="inlineStr">
        <is>
          <t>2002-04-17</t>
        </is>
      </c>
      <c r="Y675" t="inlineStr">
        <is>
          <t>2002-09-18</t>
        </is>
      </c>
      <c r="Z675" t="inlineStr">
        <is>
          <t>2002-09-18</t>
        </is>
      </c>
      <c r="AA675" t="n">
        <v>151</v>
      </c>
      <c r="AB675" t="n">
        <v>149</v>
      </c>
      <c r="AC675" t="n">
        <v>152</v>
      </c>
      <c r="AD675" t="n">
        <v>2</v>
      </c>
      <c r="AE675" t="n">
        <v>2</v>
      </c>
      <c r="AF675" t="n">
        <v>12</v>
      </c>
      <c r="AG675" t="n">
        <v>12</v>
      </c>
      <c r="AH675" t="n">
        <v>4</v>
      </c>
      <c r="AI675" t="n">
        <v>4</v>
      </c>
      <c r="AJ675" t="n">
        <v>4</v>
      </c>
      <c r="AK675" t="n">
        <v>4</v>
      </c>
      <c r="AL675" t="n">
        <v>6</v>
      </c>
      <c r="AM675" t="n">
        <v>6</v>
      </c>
      <c r="AN675" t="n">
        <v>0</v>
      </c>
      <c r="AO675" t="n">
        <v>0</v>
      </c>
      <c r="AP675" t="n">
        <v>0</v>
      </c>
      <c r="AQ675" t="n">
        <v>0</v>
      </c>
      <c r="AR675" t="inlineStr">
        <is>
          <t>No</t>
        </is>
      </c>
      <c r="AS675" t="inlineStr">
        <is>
          <t>Yes</t>
        </is>
      </c>
      <c r="AT675">
        <f>HYPERLINK("http://catalog.hathitrust.org/Record/003569906","HathiTrust Record")</f>
        <v/>
      </c>
      <c r="AU675">
        <f>HYPERLINK("https://creighton-primo.hosted.exlibrisgroup.com/primo-explore/search?tab=default_tab&amp;search_scope=EVERYTHING&amp;vid=01CRU&amp;lang=en_US&amp;offset=0&amp;query=any,contains,991000296509702656","Catalog Record")</f>
        <v/>
      </c>
      <c r="AV675">
        <f>HYPERLINK("http://www.worldcat.org/oclc/44040395","WorldCat Record")</f>
        <v/>
      </c>
      <c r="AW675" t="inlineStr">
        <is>
          <t>4051596036:eng</t>
        </is>
      </c>
      <c r="AX675" t="inlineStr">
        <is>
          <t>44040395</t>
        </is>
      </c>
      <c r="AY675" t="inlineStr">
        <is>
          <t>991000296509702656</t>
        </is>
      </c>
      <c r="AZ675" t="inlineStr">
        <is>
          <t>991000296509702656</t>
        </is>
      </c>
      <c r="BA675" t="inlineStr">
        <is>
          <t>2256530540002656</t>
        </is>
      </c>
      <c r="BB675" t="inlineStr">
        <is>
          <t>BOOK</t>
        </is>
      </c>
      <c r="BD675" t="inlineStr">
        <is>
          <t>9781558101487</t>
        </is>
      </c>
      <c r="BE675" t="inlineStr">
        <is>
          <t>30001004433498</t>
        </is>
      </c>
      <c r="BF675" t="inlineStr">
        <is>
          <t>893466176</t>
        </is>
      </c>
    </row>
    <row r="676">
      <c r="A676" t="inlineStr">
        <is>
          <t>No</t>
        </is>
      </c>
      <c r="B676" t="inlineStr">
        <is>
          <t>CUHSL</t>
        </is>
      </c>
      <c r="C676" t="inlineStr">
        <is>
          <t>SHELVES</t>
        </is>
      </c>
      <c r="D676" t="inlineStr">
        <is>
          <t>WY 77 A532 1975</t>
        </is>
      </c>
      <c r="E676" t="inlineStr">
        <is>
          <t>0                      WY 0077000A  532         1975</t>
        </is>
      </c>
      <c r="F676" t="inlineStr">
        <is>
          <t>ANA's economic &amp; general welfare program : the grievance procedure.</t>
        </is>
      </c>
      <c r="H676" t="inlineStr">
        <is>
          <t>No</t>
        </is>
      </c>
      <c r="I676" t="inlineStr">
        <is>
          <t>1</t>
        </is>
      </c>
      <c r="J676" t="inlineStr">
        <is>
          <t>No</t>
        </is>
      </c>
      <c r="K676" t="inlineStr">
        <is>
          <t>No</t>
        </is>
      </c>
      <c r="L676" t="inlineStr">
        <is>
          <t>0</t>
        </is>
      </c>
      <c r="N676" t="inlineStr">
        <is>
          <t>Kansas City, Mo. : ANA, 1975.</t>
        </is>
      </c>
      <c r="O676" t="inlineStr">
        <is>
          <t>1975</t>
        </is>
      </c>
      <c r="Q676" t="inlineStr">
        <is>
          <t>eng</t>
        </is>
      </c>
      <c r="R676" t="inlineStr">
        <is>
          <t>mou</t>
        </is>
      </c>
      <c r="S676" t="inlineStr">
        <is>
          <t>ANA pub ; no. EC-132</t>
        </is>
      </c>
      <c r="T676" t="inlineStr">
        <is>
          <t xml:space="preserve">WY </t>
        </is>
      </c>
      <c r="U676" t="n">
        <v>3</v>
      </c>
      <c r="V676" t="n">
        <v>3</v>
      </c>
      <c r="W676" t="inlineStr">
        <is>
          <t>1990-04-02</t>
        </is>
      </c>
      <c r="X676" t="inlineStr">
        <is>
          <t>1990-04-02</t>
        </is>
      </c>
      <c r="Y676" t="inlineStr">
        <is>
          <t>1987-12-02</t>
        </is>
      </c>
      <c r="Z676" t="inlineStr">
        <is>
          <t>1987-12-02</t>
        </is>
      </c>
      <c r="AA676" t="n">
        <v>15</v>
      </c>
      <c r="AB676" t="n">
        <v>15</v>
      </c>
      <c r="AC676" t="n">
        <v>15</v>
      </c>
      <c r="AD676" t="n">
        <v>1</v>
      </c>
      <c r="AE676" t="n">
        <v>1</v>
      </c>
      <c r="AF676" t="n">
        <v>1</v>
      </c>
      <c r="AG676" t="n">
        <v>1</v>
      </c>
      <c r="AH676" t="n">
        <v>0</v>
      </c>
      <c r="AI676" t="n">
        <v>0</v>
      </c>
      <c r="AJ676" t="n">
        <v>0</v>
      </c>
      <c r="AK676" t="n">
        <v>0</v>
      </c>
      <c r="AL676" t="n">
        <v>1</v>
      </c>
      <c r="AM676" t="n">
        <v>1</v>
      </c>
      <c r="AN676" t="n">
        <v>0</v>
      </c>
      <c r="AO676" t="n">
        <v>0</v>
      </c>
      <c r="AP676" t="n">
        <v>0</v>
      </c>
      <c r="AQ676" t="n">
        <v>0</v>
      </c>
      <c r="AR676" t="inlineStr">
        <is>
          <t>No</t>
        </is>
      </c>
      <c r="AS676" t="inlineStr">
        <is>
          <t>No</t>
        </is>
      </c>
      <c r="AU676">
        <f>HYPERLINK("https://creighton-primo.hosted.exlibrisgroup.com/primo-explore/search?tab=default_tab&amp;search_scope=EVERYTHING&amp;vid=01CRU&amp;lang=en_US&amp;offset=0&amp;query=any,contains,991001521829702656","Catalog Record")</f>
        <v/>
      </c>
      <c r="AV676">
        <f>HYPERLINK("http://www.worldcat.org/oclc/3155217","WorldCat Record")</f>
        <v/>
      </c>
      <c r="AW676" t="inlineStr">
        <is>
          <t>2287843297:eng</t>
        </is>
      </c>
      <c r="AX676" t="inlineStr">
        <is>
          <t>3155217</t>
        </is>
      </c>
      <c r="AY676" t="inlineStr">
        <is>
          <t>991001521829702656</t>
        </is>
      </c>
      <c r="AZ676" t="inlineStr">
        <is>
          <t>991001521829702656</t>
        </is>
      </c>
      <c r="BA676" t="inlineStr">
        <is>
          <t>2261992820002656</t>
        </is>
      </c>
      <c r="BB676" t="inlineStr">
        <is>
          <t>BOOK</t>
        </is>
      </c>
      <c r="BE676" t="inlineStr">
        <is>
          <t>30001000603094</t>
        </is>
      </c>
      <c r="BF676" t="inlineStr">
        <is>
          <t>893287454</t>
        </is>
      </c>
    </row>
    <row r="677">
      <c r="A677" t="inlineStr">
        <is>
          <t>No</t>
        </is>
      </c>
      <c r="B677" t="inlineStr">
        <is>
          <t>CUHSL</t>
        </is>
      </c>
      <c r="C677" t="inlineStr">
        <is>
          <t>SHELVES</t>
        </is>
      </c>
      <c r="D677" t="inlineStr">
        <is>
          <t>WY 77 C624e 1990</t>
        </is>
      </c>
      <c r="E677" t="inlineStr">
        <is>
          <t>0                      WY 0077000C  624e        1990</t>
        </is>
      </c>
      <c r="F677" t="inlineStr">
        <is>
          <t>The economics of nursing / Virginia S. Cleland ; consultant and contributor, Richard C. McKibbin.</t>
        </is>
      </c>
      <c r="H677" t="inlineStr">
        <is>
          <t>No</t>
        </is>
      </c>
      <c r="I677" t="inlineStr">
        <is>
          <t>1</t>
        </is>
      </c>
      <c r="J677" t="inlineStr">
        <is>
          <t>No</t>
        </is>
      </c>
      <c r="K677" t="inlineStr">
        <is>
          <t>No</t>
        </is>
      </c>
      <c r="L677" t="inlineStr">
        <is>
          <t>0</t>
        </is>
      </c>
      <c r="M677" t="inlineStr">
        <is>
          <t>Cleland, Virginia S.</t>
        </is>
      </c>
      <c r="N677" t="inlineStr">
        <is>
          <t>Norwalk, Conn. : Appleton &amp; Lange, c1990.</t>
        </is>
      </c>
      <c r="O677" t="inlineStr">
        <is>
          <t>1990</t>
        </is>
      </c>
      <c r="Q677" t="inlineStr">
        <is>
          <t>eng</t>
        </is>
      </c>
      <c r="R677" t="inlineStr">
        <is>
          <t>ctu</t>
        </is>
      </c>
      <c r="T677" t="inlineStr">
        <is>
          <t xml:space="preserve">WY </t>
        </is>
      </c>
      <c r="U677" t="n">
        <v>3</v>
      </c>
      <c r="V677" t="n">
        <v>3</v>
      </c>
      <c r="W677" t="inlineStr">
        <is>
          <t>1993-04-06</t>
        </is>
      </c>
      <c r="X677" t="inlineStr">
        <is>
          <t>1993-04-06</t>
        </is>
      </c>
      <c r="Y677" t="inlineStr">
        <is>
          <t>1993-03-26</t>
        </is>
      </c>
      <c r="Z677" t="inlineStr">
        <is>
          <t>1993-03-26</t>
        </is>
      </c>
      <c r="AA677" t="n">
        <v>236</v>
      </c>
      <c r="AB677" t="n">
        <v>185</v>
      </c>
      <c r="AC677" t="n">
        <v>193</v>
      </c>
      <c r="AD677" t="n">
        <v>2</v>
      </c>
      <c r="AE677" t="n">
        <v>2</v>
      </c>
      <c r="AF677" t="n">
        <v>11</v>
      </c>
      <c r="AG677" t="n">
        <v>11</v>
      </c>
      <c r="AH677" t="n">
        <v>5</v>
      </c>
      <c r="AI677" t="n">
        <v>5</v>
      </c>
      <c r="AJ677" t="n">
        <v>2</v>
      </c>
      <c r="AK677" t="n">
        <v>2</v>
      </c>
      <c r="AL677" t="n">
        <v>5</v>
      </c>
      <c r="AM677" t="n">
        <v>5</v>
      </c>
      <c r="AN677" t="n">
        <v>1</v>
      </c>
      <c r="AO677" t="n">
        <v>1</v>
      </c>
      <c r="AP677" t="n">
        <v>0</v>
      </c>
      <c r="AQ677" t="n">
        <v>0</v>
      </c>
      <c r="AR677" t="inlineStr">
        <is>
          <t>No</t>
        </is>
      </c>
      <c r="AS677" t="inlineStr">
        <is>
          <t>Yes</t>
        </is>
      </c>
      <c r="AT677">
        <f>HYPERLINK("http://catalog.hathitrust.org/Record/001826523","HathiTrust Record")</f>
        <v/>
      </c>
      <c r="AU677">
        <f>HYPERLINK("https://creighton-primo.hosted.exlibrisgroup.com/primo-explore/search?tab=default_tab&amp;search_scope=EVERYTHING&amp;vid=01CRU&amp;lang=en_US&amp;offset=0&amp;query=any,contains,991001477299702656","Catalog Record")</f>
        <v/>
      </c>
      <c r="AV677">
        <f>HYPERLINK("http://www.worldcat.org/oclc/19981497","WorldCat Record")</f>
        <v/>
      </c>
      <c r="AW677" t="inlineStr">
        <is>
          <t>21658365:eng</t>
        </is>
      </c>
      <c r="AX677" t="inlineStr">
        <is>
          <t>19981497</t>
        </is>
      </c>
      <c r="AY677" t="inlineStr">
        <is>
          <t>991001477299702656</t>
        </is>
      </c>
      <c r="AZ677" t="inlineStr">
        <is>
          <t>991001477299702656</t>
        </is>
      </c>
      <c r="BA677" t="inlineStr">
        <is>
          <t>2261837240002656</t>
        </is>
      </c>
      <c r="BB677" t="inlineStr">
        <is>
          <t>BOOK</t>
        </is>
      </c>
      <c r="BD677" t="inlineStr">
        <is>
          <t>9780838520369</t>
        </is>
      </c>
      <c r="BE677" t="inlineStr">
        <is>
          <t>30001002563619</t>
        </is>
      </c>
      <c r="BF677" t="inlineStr">
        <is>
          <t>893284841</t>
        </is>
      </c>
    </row>
    <row r="678">
      <c r="A678" t="inlineStr">
        <is>
          <t>No</t>
        </is>
      </c>
      <c r="B678" t="inlineStr">
        <is>
          <t>CUHSL</t>
        </is>
      </c>
      <c r="C678" t="inlineStr">
        <is>
          <t>SHELVES</t>
        </is>
      </c>
      <c r="D678" t="inlineStr">
        <is>
          <t>WY 77 C842 1985</t>
        </is>
      </c>
      <c r="E678" t="inlineStr">
        <is>
          <t>0                      WY 0077000C  842         1985</t>
        </is>
      </c>
      <c r="F678" t="inlineStr">
        <is>
          <t>Costing out nursing : pricing our product / Franklin A. Shaffer, editor.</t>
        </is>
      </c>
      <c r="H678" t="inlineStr">
        <is>
          <t>No</t>
        </is>
      </c>
      <c r="I678" t="inlineStr">
        <is>
          <t>1</t>
        </is>
      </c>
      <c r="J678" t="inlineStr">
        <is>
          <t>No</t>
        </is>
      </c>
      <c r="K678" t="inlineStr">
        <is>
          <t>No</t>
        </is>
      </c>
      <c r="L678" t="inlineStr">
        <is>
          <t>0</t>
        </is>
      </c>
      <c r="N678" t="inlineStr">
        <is>
          <t>New York : National League for Nursing, c1985.</t>
        </is>
      </c>
      <c r="O678" t="inlineStr">
        <is>
          <t>1985</t>
        </is>
      </c>
      <c r="Q678" t="inlineStr">
        <is>
          <t>eng</t>
        </is>
      </c>
      <c r="R678" t="inlineStr">
        <is>
          <t>xxu</t>
        </is>
      </c>
      <c r="S678" t="inlineStr">
        <is>
          <t>NLN pub. no. 20-1982</t>
        </is>
      </c>
      <c r="T678" t="inlineStr">
        <is>
          <t xml:space="preserve">WY </t>
        </is>
      </c>
      <c r="U678" t="n">
        <v>6</v>
      </c>
      <c r="V678" t="n">
        <v>6</v>
      </c>
      <c r="W678" t="inlineStr">
        <is>
          <t>1992-04-21</t>
        </is>
      </c>
      <c r="X678" t="inlineStr">
        <is>
          <t>1992-04-21</t>
        </is>
      </c>
      <c r="Y678" t="inlineStr">
        <is>
          <t>1987-11-04</t>
        </is>
      </c>
      <c r="Z678" t="inlineStr">
        <is>
          <t>1987-11-04</t>
        </is>
      </c>
      <c r="AA678" t="n">
        <v>252</v>
      </c>
      <c r="AB678" t="n">
        <v>223</v>
      </c>
      <c r="AC678" t="n">
        <v>230</v>
      </c>
      <c r="AD678" t="n">
        <v>2</v>
      </c>
      <c r="AE678" t="n">
        <v>2</v>
      </c>
      <c r="AF678" t="n">
        <v>10</v>
      </c>
      <c r="AG678" t="n">
        <v>10</v>
      </c>
      <c r="AH678" t="n">
        <v>3</v>
      </c>
      <c r="AI678" t="n">
        <v>3</v>
      </c>
      <c r="AJ678" t="n">
        <v>2</v>
      </c>
      <c r="AK678" t="n">
        <v>2</v>
      </c>
      <c r="AL678" t="n">
        <v>7</v>
      </c>
      <c r="AM678" t="n">
        <v>7</v>
      </c>
      <c r="AN678" t="n">
        <v>0</v>
      </c>
      <c r="AO678" t="n">
        <v>0</v>
      </c>
      <c r="AP678" t="n">
        <v>0</v>
      </c>
      <c r="AQ678" t="n">
        <v>0</v>
      </c>
      <c r="AR678" t="inlineStr">
        <is>
          <t>No</t>
        </is>
      </c>
      <c r="AS678" t="inlineStr">
        <is>
          <t>Yes</t>
        </is>
      </c>
      <c r="AT678">
        <f>HYPERLINK("http://catalog.hathitrust.org/Record/000391548","HathiTrust Record")</f>
        <v/>
      </c>
      <c r="AU678">
        <f>HYPERLINK("https://creighton-primo.hosted.exlibrisgroup.com/primo-explore/search?tab=default_tab&amp;search_scope=EVERYTHING&amp;vid=01CRU&amp;lang=en_US&amp;offset=0&amp;query=any,contains,991001385909702656","Catalog Record")</f>
        <v/>
      </c>
      <c r="AV678">
        <f>HYPERLINK("http://www.worldcat.org/oclc/12709343","WorldCat Record")</f>
        <v/>
      </c>
      <c r="AW678" t="inlineStr">
        <is>
          <t>5380673:eng</t>
        </is>
      </c>
      <c r="AX678" t="inlineStr">
        <is>
          <t>12709343</t>
        </is>
      </c>
      <c r="AY678" t="inlineStr">
        <is>
          <t>991001385909702656</t>
        </is>
      </c>
      <c r="AZ678" t="inlineStr">
        <is>
          <t>991001385909702656</t>
        </is>
      </c>
      <c r="BA678" t="inlineStr">
        <is>
          <t>2264028730002656</t>
        </is>
      </c>
      <c r="BB678" t="inlineStr">
        <is>
          <t>BOOK</t>
        </is>
      </c>
      <c r="BD678" t="inlineStr">
        <is>
          <t>9780887371677</t>
        </is>
      </c>
      <c r="BE678" t="inlineStr">
        <is>
          <t>30001000463713</t>
        </is>
      </c>
      <c r="BF678" t="inlineStr">
        <is>
          <t>893364046</t>
        </is>
      </c>
    </row>
    <row r="679">
      <c r="A679" t="inlineStr">
        <is>
          <t>No</t>
        </is>
      </c>
      <c r="B679" t="inlineStr">
        <is>
          <t>CUHSL</t>
        </is>
      </c>
      <c r="C679" t="inlineStr">
        <is>
          <t>SHELVES</t>
        </is>
      </c>
      <c r="D679" t="inlineStr">
        <is>
          <t>WY 77 D778 1984</t>
        </is>
      </c>
      <c r="E679" t="inlineStr">
        <is>
          <t>0                      WY 0077000D  778         1984</t>
        </is>
      </c>
      <c r="F679" t="inlineStr">
        <is>
          <t>DRGs, changes and challenges / Franklin A. Shaffer, editor.</t>
        </is>
      </c>
      <c r="H679" t="inlineStr">
        <is>
          <t>No</t>
        </is>
      </c>
      <c r="I679" t="inlineStr">
        <is>
          <t>1</t>
        </is>
      </c>
      <c r="J679" t="inlineStr">
        <is>
          <t>No</t>
        </is>
      </c>
      <c r="K679" t="inlineStr">
        <is>
          <t>No</t>
        </is>
      </c>
      <c r="L679" t="inlineStr">
        <is>
          <t>0</t>
        </is>
      </c>
      <c r="N679" t="inlineStr">
        <is>
          <t>New York : National League for Nursing, c1984.</t>
        </is>
      </c>
      <c r="O679" t="inlineStr">
        <is>
          <t>1984</t>
        </is>
      </c>
      <c r="Q679" t="inlineStr">
        <is>
          <t>eng</t>
        </is>
      </c>
      <c r="R679" t="inlineStr">
        <is>
          <t>nyu</t>
        </is>
      </c>
      <c r="S679" t="inlineStr">
        <is>
          <t>NLN pub. no. 20-1959.</t>
        </is>
      </c>
      <c r="T679" t="inlineStr">
        <is>
          <t xml:space="preserve">WY </t>
        </is>
      </c>
      <c r="U679" t="n">
        <v>1</v>
      </c>
      <c r="V679" t="n">
        <v>1</v>
      </c>
      <c r="W679" t="inlineStr">
        <is>
          <t>2003-10-10</t>
        </is>
      </c>
      <c r="X679" t="inlineStr">
        <is>
          <t>2003-10-10</t>
        </is>
      </c>
      <c r="Y679" t="inlineStr">
        <is>
          <t>2000-06-15</t>
        </is>
      </c>
      <c r="Z679" t="inlineStr">
        <is>
          <t>2000-06-15</t>
        </is>
      </c>
      <c r="AA679" t="n">
        <v>274</v>
      </c>
      <c r="AB679" t="n">
        <v>249</v>
      </c>
      <c r="AC679" t="n">
        <v>256</v>
      </c>
      <c r="AD679" t="n">
        <v>1</v>
      </c>
      <c r="AE679" t="n">
        <v>1</v>
      </c>
      <c r="AF679" t="n">
        <v>13</v>
      </c>
      <c r="AG679" t="n">
        <v>13</v>
      </c>
      <c r="AH679" t="n">
        <v>7</v>
      </c>
      <c r="AI679" t="n">
        <v>7</v>
      </c>
      <c r="AJ679" t="n">
        <v>4</v>
      </c>
      <c r="AK679" t="n">
        <v>4</v>
      </c>
      <c r="AL679" t="n">
        <v>8</v>
      </c>
      <c r="AM679" t="n">
        <v>8</v>
      </c>
      <c r="AN679" t="n">
        <v>0</v>
      </c>
      <c r="AO679" t="n">
        <v>0</v>
      </c>
      <c r="AP679" t="n">
        <v>0</v>
      </c>
      <c r="AQ679" t="n">
        <v>0</v>
      </c>
      <c r="AR679" t="inlineStr">
        <is>
          <t>No</t>
        </is>
      </c>
      <c r="AS679" t="inlineStr">
        <is>
          <t>Yes</t>
        </is>
      </c>
      <c r="AT679">
        <f>HYPERLINK("http://catalog.hathitrust.org/Record/002505068","HathiTrust Record")</f>
        <v/>
      </c>
      <c r="AU679">
        <f>HYPERLINK("https://creighton-primo.hosted.exlibrisgroup.com/primo-explore/search?tab=default_tab&amp;search_scope=EVERYTHING&amp;vid=01CRU&amp;lang=en_US&amp;offset=0&amp;query=any,contains,991000193759702656","Catalog Record")</f>
        <v/>
      </c>
      <c r="AV679">
        <f>HYPERLINK("http://www.worldcat.org/oclc/10932630","WorldCat Record")</f>
        <v/>
      </c>
      <c r="AW679" t="inlineStr">
        <is>
          <t>3531825:eng</t>
        </is>
      </c>
      <c r="AX679" t="inlineStr">
        <is>
          <t>10932630</t>
        </is>
      </c>
      <c r="AY679" t="inlineStr">
        <is>
          <t>991000193759702656</t>
        </is>
      </c>
      <c r="AZ679" t="inlineStr">
        <is>
          <t>991000193759702656</t>
        </is>
      </c>
      <c r="BA679" t="inlineStr">
        <is>
          <t>2268323510002656</t>
        </is>
      </c>
      <c r="BB679" t="inlineStr">
        <is>
          <t>BOOK</t>
        </is>
      </c>
      <c r="BD679" t="inlineStr">
        <is>
          <t>9780887370649</t>
        </is>
      </c>
      <c r="BE679" t="inlineStr">
        <is>
          <t>30001003445378</t>
        </is>
      </c>
      <c r="BF679" t="inlineStr">
        <is>
          <t>893542013</t>
        </is>
      </c>
    </row>
    <row r="680">
      <c r="A680" t="inlineStr">
        <is>
          <t>No</t>
        </is>
      </c>
      <c r="B680" t="inlineStr">
        <is>
          <t>CUHSL</t>
        </is>
      </c>
      <c r="C680" t="inlineStr">
        <is>
          <t>SHELVES</t>
        </is>
      </c>
      <c r="D680" t="inlineStr">
        <is>
          <t>WY 77 E19 1982</t>
        </is>
      </c>
      <c r="E680" t="inlineStr">
        <is>
          <t>0                      WY 0077000E  19          1982</t>
        </is>
      </c>
      <c r="F680" t="inlineStr">
        <is>
          <t>Economic &amp; employment issues for registered nurses.</t>
        </is>
      </c>
      <c r="H680" t="inlineStr">
        <is>
          <t>No</t>
        </is>
      </c>
      <c r="I680" t="inlineStr">
        <is>
          <t>1</t>
        </is>
      </c>
      <c r="J680" t="inlineStr">
        <is>
          <t>No</t>
        </is>
      </c>
      <c r="K680" t="inlineStr">
        <is>
          <t>No</t>
        </is>
      </c>
      <c r="L680" t="inlineStr">
        <is>
          <t>0</t>
        </is>
      </c>
      <c r="N680" t="inlineStr">
        <is>
          <t>Kansas City, Mo. : American Nurses' Association, c1982.</t>
        </is>
      </c>
      <c r="O680" t="inlineStr">
        <is>
          <t>1982</t>
        </is>
      </c>
      <c r="Q680" t="inlineStr">
        <is>
          <t>eng</t>
        </is>
      </c>
      <c r="R680" t="inlineStr">
        <is>
          <t>mou</t>
        </is>
      </c>
      <c r="S680" t="inlineStr">
        <is>
          <t>ANA. D-72 21M 9/82</t>
        </is>
      </c>
      <c r="T680" t="inlineStr">
        <is>
          <t xml:space="preserve">WY </t>
        </is>
      </c>
      <c r="U680" t="n">
        <v>4</v>
      </c>
      <c r="V680" t="n">
        <v>4</v>
      </c>
      <c r="W680" t="inlineStr">
        <is>
          <t>1992-04-21</t>
        </is>
      </c>
      <c r="X680" t="inlineStr">
        <is>
          <t>1992-04-21</t>
        </is>
      </c>
      <c r="Y680" t="inlineStr">
        <is>
          <t>1990-09-21</t>
        </is>
      </c>
      <c r="Z680" t="inlineStr">
        <is>
          <t>1990-09-21</t>
        </is>
      </c>
      <c r="AA680" t="n">
        <v>15</v>
      </c>
      <c r="AB680" t="n">
        <v>14</v>
      </c>
      <c r="AC680" t="n">
        <v>14</v>
      </c>
      <c r="AD680" t="n">
        <v>1</v>
      </c>
      <c r="AE680" t="n">
        <v>1</v>
      </c>
      <c r="AF680" t="n">
        <v>1</v>
      </c>
      <c r="AG680" t="n">
        <v>1</v>
      </c>
      <c r="AH680" t="n">
        <v>1</v>
      </c>
      <c r="AI680" t="n">
        <v>1</v>
      </c>
      <c r="AJ680" t="n">
        <v>0</v>
      </c>
      <c r="AK680" t="n">
        <v>0</v>
      </c>
      <c r="AL680" t="n">
        <v>1</v>
      </c>
      <c r="AM680" t="n">
        <v>1</v>
      </c>
      <c r="AN680" t="n">
        <v>0</v>
      </c>
      <c r="AO680" t="n">
        <v>0</v>
      </c>
      <c r="AP680" t="n">
        <v>0</v>
      </c>
      <c r="AQ680" t="n">
        <v>0</v>
      </c>
      <c r="AR680" t="inlineStr">
        <is>
          <t>No</t>
        </is>
      </c>
      <c r="AS680" t="inlineStr">
        <is>
          <t>No</t>
        </is>
      </c>
      <c r="AU680">
        <f>HYPERLINK("https://creighton-primo.hosted.exlibrisgroup.com/primo-explore/search?tab=default_tab&amp;search_scope=EVERYTHING&amp;vid=01CRU&amp;lang=en_US&amp;offset=0&amp;query=any,contains,991001548659702656","Catalog Record")</f>
        <v/>
      </c>
      <c r="AV680">
        <f>HYPERLINK("http://www.worldcat.org/oclc/9054989","WorldCat Record")</f>
        <v/>
      </c>
      <c r="AW680" t="inlineStr">
        <is>
          <t>3148960757:eng</t>
        </is>
      </c>
      <c r="AX680" t="inlineStr">
        <is>
          <t>9054989</t>
        </is>
      </c>
      <c r="AY680" t="inlineStr">
        <is>
          <t>991001548659702656</t>
        </is>
      </c>
      <c r="AZ680" t="inlineStr">
        <is>
          <t>991001548659702656</t>
        </is>
      </c>
      <c r="BA680" t="inlineStr">
        <is>
          <t>2267415900002656</t>
        </is>
      </c>
      <c r="BB680" t="inlineStr">
        <is>
          <t>BOOK</t>
        </is>
      </c>
      <c r="BE680" t="inlineStr">
        <is>
          <t>30001001987082</t>
        </is>
      </c>
      <c r="BF680" t="inlineStr">
        <is>
          <t>893816504</t>
        </is>
      </c>
    </row>
    <row r="681">
      <c r="A681" t="inlineStr">
        <is>
          <t>No</t>
        </is>
      </c>
      <c r="B681" t="inlineStr">
        <is>
          <t>CUHSL</t>
        </is>
      </c>
      <c r="C681" t="inlineStr">
        <is>
          <t>SHELVES</t>
        </is>
      </c>
      <c r="D681" t="inlineStr">
        <is>
          <t>WY 77 F491 1991</t>
        </is>
      </c>
      <c r="E681" t="inlineStr">
        <is>
          <t>0                      WY 0077000F  491         1991</t>
        </is>
      </c>
      <c r="F681" t="inlineStr">
        <is>
          <t>Financial management in critical care nursing / edited by Donna L. Bertram, Judith L. Wilson.</t>
        </is>
      </c>
      <c r="H681" t="inlineStr">
        <is>
          <t>No</t>
        </is>
      </c>
      <c r="I681" t="inlineStr">
        <is>
          <t>1</t>
        </is>
      </c>
      <c r="J681" t="inlineStr">
        <is>
          <t>No</t>
        </is>
      </c>
      <c r="K681" t="inlineStr">
        <is>
          <t>No</t>
        </is>
      </c>
      <c r="L681" t="inlineStr">
        <is>
          <t>0</t>
        </is>
      </c>
      <c r="N681" t="inlineStr">
        <is>
          <t>Baltimore : Williams &amp; Wilkins, c1991.</t>
        </is>
      </c>
      <c r="O681" t="inlineStr">
        <is>
          <t>1991</t>
        </is>
      </c>
      <c r="Q681" t="inlineStr">
        <is>
          <t>eng</t>
        </is>
      </c>
      <c r="R681" t="inlineStr">
        <is>
          <t>mdu</t>
        </is>
      </c>
      <c r="S681" t="inlineStr">
        <is>
          <t>AACN management series</t>
        </is>
      </c>
      <c r="T681" t="inlineStr">
        <is>
          <t xml:space="preserve">WY </t>
        </is>
      </c>
      <c r="U681" t="n">
        <v>3</v>
      </c>
      <c r="V681" t="n">
        <v>3</v>
      </c>
      <c r="W681" t="inlineStr">
        <is>
          <t>1993-02-24</t>
        </is>
      </c>
      <c r="X681" t="inlineStr">
        <is>
          <t>1993-02-24</t>
        </is>
      </c>
      <c r="Y681" t="inlineStr">
        <is>
          <t>1993-02-22</t>
        </is>
      </c>
      <c r="Z681" t="inlineStr">
        <is>
          <t>1993-02-22</t>
        </is>
      </c>
      <c r="AA681" t="n">
        <v>81</v>
      </c>
      <c r="AB681" t="n">
        <v>73</v>
      </c>
      <c r="AC681" t="n">
        <v>76</v>
      </c>
      <c r="AD681" t="n">
        <v>1</v>
      </c>
      <c r="AE681" t="n">
        <v>1</v>
      </c>
      <c r="AF681" t="n">
        <v>4</v>
      </c>
      <c r="AG681" t="n">
        <v>4</v>
      </c>
      <c r="AH681" t="n">
        <v>2</v>
      </c>
      <c r="AI681" t="n">
        <v>2</v>
      </c>
      <c r="AJ681" t="n">
        <v>0</v>
      </c>
      <c r="AK681" t="n">
        <v>0</v>
      </c>
      <c r="AL681" t="n">
        <v>3</v>
      </c>
      <c r="AM681" t="n">
        <v>3</v>
      </c>
      <c r="AN681" t="n">
        <v>0</v>
      </c>
      <c r="AO681" t="n">
        <v>0</v>
      </c>
      <c r="AP681" t="n">
        <v>0</v>
      </c>
      <c r="AQ681" t="n">
        <v>0</v>
      </c>
      <c r="AR681" t="inlineStr">
        <is>
          <t>No</t>
        </is>
      </c>
      <c r="AS681" t="inlineStr">
        <is>
          <t>Yes</t>
        </is>
      </c>
      <c r="AT681">
        <f>HYPERLINK("http://catalog.hathitrust.org/Record/002549633","HathiTrust Record")</f>
        <v/>
      </c>
      <c r="AU681">
        <f>HYPERLINK("https://creighton-primo.hosted.exlibrisgroup.com/primo-explore/search?tab=default_tab&amp;search_scope=EVERYTHING&amp;vid=01CRU&amp;lang=en_US&amp;offset=0&amp;query=any,contains,991001430009702656","Catalog Record")</f>
        <v/>
      </c>
      <c r="AV681">
        <f>HYPERLINK("http://www.worldcat.org/oclc/23219859","WorldCat Record")</f>
        <v/>
      </c>
      <c r="AW681" t="inlineStr">
        <is>
          <t>428178241:eng</t>
        </is>
      </c>
      <c r="AX681" t="inlineStr">
        <is>
          <t>23219859</t>
        </is>
      </c>
      <c r="AY681" t="inlineStr">
        <is>
          <t>991001430009702656</t>
        </is>
      </c>
      <c r="AZ681" t="inlineStr">
        <is>
          <t>991001430009702656</t>
        </is>
      </c>
      <c r="BA681" t="inlineStr">
        <is>
          <t>2258734980002656</t>
        </is>
      </c>
      <c r="BB681" t="inlineStr">
        <is>
          <t>BOOK</t>
        </is>
      </c>
      <c r="BD681" t="inlineStr">
        <is>
          <t>9780683006162</t>
        </is>
      </c>
      <c r="BE681" t="inlineStr">
        <is>
          <t>30001002528661</t>
        </is>
      </c>
      <c r="BF681" t="inlineStr">
        <is>
          <t>893274147</t>
        </is>
      </c>
    </row>
    <row r="682">
      <c r="A682" t="inlineStr">
        <is>
          <t>No</t>
        </is>
      </c>
      <c r="B682" t="inlineStr">
        <is>
          <t>CUHSL</t>
        </is>
      </c>
      <c r="C682" t="inlineStr">
        <is>
          <t>SHELVES</t>
        </is>
      </c>
      <c r="D682" t="inlineStr">
        <is>
          <t>WY 77 F583e 1989</t>
        </is>
      </c>
      <c r="E682" t="inlineStr">
        <is>
          <t>0                      WY 0077000F  583e        1989</t>
        </is>
      </c>
      <c r="F682" t="inlineStr">
        <is>
          <t>Earn what you're worth : a nurse's guide to better compensation / Lyndia Flanagan.</t>
        </is>
      </c>
      <c r="H682" t="inlineStr">
        <is>
          <t>No</t>
        </is>
      </c>
      <c r="I682" t="inlineStr">
        <is>
          <t>1</t>
        </is>
      </c>
      <c r="J682" t="inlineStr">
        <is>
          <t>No</t>
        </is>
      </c>
      <c r="K682" t="inlineStr">
        <is>
          <t>No</t>
        </is>
      </c>
      <c r="L682" t="inlineStr">
        <is>
          <t>0</t>
        </is>
      </c>
      <c r="M682" t="inlineStr">
        <is>
          <t>Flanagan, Lyndia.</t>
        </is>
      </c>
      <c r="N682" t="inlineStr">
        <is>
          <t>Kansas City, Mo. (2420 Pershing Rd., Kansas City 64108) : American Nurses' Association, c1989.</t>
        </is>
      </c>
      <c r="O682" t="inlineStr">
        <is>
          <t>1989</t>
        </is>
      </c>
      <c r="Q682" t="inlineStr">
        <is>
          <t>eng</t>
        </is>
      </c>
      <c r="R682" t="inlineStr">
        <is>
          <t>xxu</t>
        </is>
      </c>
      <c r="S682" t="inlineStr">
        <is>
          <t>ANA pub ; no. EC-147</t>
        </is>
      </c>
      <c r="T682" t="inlineStr">
        <is>
          <t xml:space="preserve">WY </t>
        </is>
      </c>
      <c r="U682" t="n">
        <v>6</v>
      </c>
      <c r="V682" t="n">
        <v>6</v>
      </c>
      <c r="W682" t="inlineStr">
        <is>
          <t>1997-07-06</t>
        </is>
      </c>
      <c r="X682" t="inlineStr">
        <is>
          <t>1997-07-06</t>
        </is>
      </c>
      <c r="Y682" t="inlineStr">
        <is>
          <t>1989-06-29</t>
        </is>
      </c>
      <c r="Z682" t="inlineStr">
        <is>
          <t>1989-06-29</t>
        </is>
      </c>
      <c r="AA682" t="n">
        <v>106</v>
      </c>
      <c r="AB682" t="n">
        <v>100</v>
      </c>
      <c r="AC682" t="n">
        <v>111</v>
      </c>
      <c r="AD682" t="n">
        <v>2</v>
      </c>
      <c r="AE682" t="n">
        <v>2</v>
      </c>
      <c r="AF682" t="n">
        <v>5</v>
      </c>
      <c r="AG682" t="n">
        <v>5</v>
      </c>
      <c r="AH682" t="n">
        <v>2</v>
      </c>
      <c r="AI682" t="n">
        <v>2</v>
      </c>
      <c r="AJ682" t="n">
        <v>0</v>
      </c>
      <c r="AK682" t="n">
        <v>0</v>
      </c>
      <c r="AL682" t="n">
        <v>4</v>
      </c>
      <c r="AM682" t="n">
        <v>4</v>
      </c>
      <c r="AN682" t="n">
        <v>0</v>
      </c>
      <c r="AO682" t="n">
        <v>0</v>
      </c>
      <c r="AP682" t="n">
        <v>0</v>
      </c>
      <c r="AQ682" t="n">
        <v>0</v>
      </c>
      <c r="AR682" t="inlineStr">
        <is>
          <t>No</t>
        </is>
      </c>
      <c r="AS682" t="inlineStr">
        <is>
          <t>Yes</t>
        </is>
      </c>
      <c r="AT682">
        <f>HYPERLINK("http://catalog.hathitrust.org/Record/002237770","HathiTrust Record")</f>
        <v/>
      </c>
      <c r="AU682">
        <f>HYPERLINK("https://creighton-primo.hosted.exlibrisgroup.com/primo-explore/search?tab=default_tab&amp;search_scope=EVERYTHING&amp;vid=01CRU&amp;lang=en_US&amp;offset=0&amp;query=any,contains,991001309249702656","Catalog Record")</f>
        <v/>
      </c>
      <c r="AV682">
        <f>HYPERLINK("http://www.worldcat.org/oclc/19220457","WorldCat Record")</f>
        <v/>
      </c>
      <c r="AW682" t="inlineStr">
        <is>
          <t>21391282:eng</t>
        </is>
      </c>
      <c r="AX682" t="inlineStr">
        <is>
          <t>19220457</t>
        </is>
      </c>
      <c r="AY682" t="inlineStr">
        <is>
          <t>991001309249702656</t>
        </is>
      </c>
      <c r="AZ682" t="inlineStr">
        <is>
          <t>991001309249702656</t>
        </is>
      </c>
      <c r="BA682" t="inlineStr">
        <is>
          <t>2265592950002656</t>
        </is>
      </c>
      <c r="BB682" t="inlineStr">
        <is>
          <t>BOOK</t>
        </is>
      </c>
      <c r="BE682" t="inlineStr">
        <is>
          <t>30001001750324</t>
        </is>
      </c>
      <c r="BF682" t="inlineStr">
        <is>
          <t>893541243</t>
        </is>
      </c>
    </row>
    <row r="683">
      <c r="A683" t="inlineStr">
        <is>
          <t>No</t>
        </is>
      </c>
      <c r="B683" t="inlineStr">
        <is>
          <t>CUHSL</t>
        </is>
      </c>
      <c r="C683" t="inlineStr">
        <is>
          <t>SHELVES</t>
        </is>
      </c>
      <c r="D683" t="inlineStr">
        <is>
          <t>WY 77 H699n 1988</t>
        </is>
      </c>
      <c r="E683" t="inlineStr">
        <is>
          <t>0                      WY 0077000H  699n        1988</t>
        </is>
      </c>
      <c r="F683" t="inlineStr">
        <is>
          <t>Nursing productivity assessment and costing out nursing services / Frances Hoffman.</t>
        </is>
      </c>
      <c r="H683" t="inlineStr">
        <is>
          <t>No</t>
        </is>
      </c>
      <c r="I683" t="inlineStr">
        <is>
          <t>1</t>
        </is>
      </c>
      <c r="J683" t="inlineStr">
        <is>
          <t>No</t>
        </is>
      </c>
      <c r="K683" t="inlineStr">
        <is>
          <t>No</t>
        </is>
      </c>
      <c r="L683" t="inlineStr">
        <is>
          <t>0</t>
        </is>
      </c>
      <c r="M683" t="inlineStr">
        <is>
          <t>Hoffman, Frances M.</t>
        </is>
      </c>
      <c r="N683" t="inlineStr">
        <is>
          <t>Philadelphia : Lippincott, c1988.</t>
        </is>
      </c>
      <c r="O683" t="inlineStr">
        <is>
          <t>1988</t>
        </is>
      </c>
      <c r="Q683" t="inlineStr">
        <is>
          <t>eng</t>
        </is>
      </c>
      <c r="R683" t="inlineStr">
        <is>
          <t>xxu</t>
        </is>
      </c>
      <c r="S683" t="inlineStr">
        <is>
          <t>Lippincott's nursing management series</t>
        </is>
      </c>
      <c r="T683" t="inlineStr">
        <is>
          <t xml:space="preserve">WY </t>
        </is>
      </c>
      <c r="U683" t="n">
        <v>6</v>
      </c>
      <c r="V683" t="n">
        <v>6</v>
      </c>
      <c r="W683" t="inlineStr">
        <is>
          <t>1991-07-11</t>
        </is>
      </c>
      <c r="X683" t="inlineStr">
        <is>
          <t>1991-07-11</t>
        </is>
      </c>
      <c r="Y683" t="inlineStr">
        <is>
          <t>1988-07-08</t>
        </is>
      </c>
      <c r="Z683" t="inlineStr">
        <is>
          <t>1988-07-08</t>
        </is>
      </c>
      <c r="AA683" t="n">
        <v>197</v>
      </c>
      <c r="AB683" t="n">
        <v>155</v>
      </c>
      <c r="AC683" t="n">
        <v>162</v>
      </c>
      <c r="AD683" t="n">
        <v>1</v>
      </c>
      <c r="AE683" t="n">
        <v>1</v>
      </c>
      <c r="AF683" t="n">
        <v>6</v>
      </c>
      <c r="AG683" t="n">
        <v>6</v>
      </c>
      <c r="AH683" t="n">
        <v>2</v>
      </c>
      <c r="AI683" t="n">
        <v>2</v>
      </c>
      <c r="AJ683" t="n">
        <v>1</v>
      </c>
      <c r="AK683" t="n">
        <v>1</v>
      </c>
      <c r="AL683" t="n">
        <v>4</v>
      </c>
      <c r="AM683" t="n">
        <v>4</v>
      </c>
      <c r="AN683" t="n">
        <v>0</v>
      </c>
      <c r="AO683" t="n">
        <v>0</v>
      </c>
      <c r="AP683" t="n">
        <v>0</v>
      </c>
      <c r="AQ683" t="n">
        <v>0</v>
      </c>
      <c r="AR683" t="inlineStr">
        <is>
          <t>No</t>
        </is>
      </c>
      <c r="AS683" t="inlineStr">
        <is>
          <t>Yes</t>
        </is>
      </c>
      <c r="AT683">
        <f>HYPERLINK("http://catalog.hathitrust.org/Record/000901764","HathiTrust Record")</f>
        <v/>
      </c>
      <c r="AU683">
        <f>HYPERLINK("https://creighton-primo.hosted.exlibrisgroup.com/primo-explore/search?tab=default_tab&amp;search_scope=EVERYTHING&amp;vid=01CRU&amp;lang=en_US&amp;offset=0&amp;query=any,contains,991001416749702656","Catalog Record")</f>
        <v/>
      </c>
      <c r="AV683">
        <f>HYPERLINK("http://www.worldcat.org/oclc/16683966","WorldCat Record")</f>
        <v/>
      </c>
      <c r="AW683" t="inlineStr">
        <is>
          <t>12653110:eng</t>
        </is>
      </c>
      <c r="AX683" t="inlineStr">
        <is>
          <t>16683966</t>
        </is>
      </c>
      <c r="AY683" t="inlineStr">
        <is>
          <t>991001416749702656</t>
        </is>
      </c>
      <c r="AZ683" t="inlineStr">
        <is>
          <t>991001416749702656</t>
        </is>
      </c>
      <c r="BA683" t="inlineStr">
        <is>
          <t>2261062720002656</t>
        </is>
      </c>
      <c r="BB683" t="inlineStr">
        <is>
          <t>BOOK</t>
        </is>
      </c>
      <c r="BD683" t="inlineStr">
        <is>
          <t>9780397546473</t>
        </is>
      </c>
      <c r="BE683" t="inlineStr">
        <is>
          <t>30001001181009</t>
        </is>
      </c>
      <c r="BF683" t="inlineStr">
        <is>
          <t>893287409</t>
        </is>
      </c>
    </row>
    <row r="684">
      <c r="A684" t="inlineStr">
        <is>
          <t>No</t>
        </is>
      </c>
      <c r="B684" t="inlineStr">
        <is>
          <t>CUHSL</t>
        </is>
      </c>
      <c r="C684" t="inlineStr">
        <is>
          <t>SHELVES</t>
        </is>
      </c>
      <c r="D684" t="inlineStr">
        <is>
          <t>WY 77 I34 1980</t>
        </is>
      </c>
      <c r="E684" t="inlineStr">
        <is>
          <t>0                      WY 0077000I  34          1980</t>
        </is>
      </c>
      <c r="F684" t="inlineStr">
        <is>
          <t>The Impact of changing resources on health policy.</t>
        </is>
      </c>
      <c r="H684" t="inlineStr">
        <is>
          <t>No</t>
        </is>
      </c>
      <c r="I684" t="inlineStr">
        <is>
          <t>1</t>
        </is>
      </c>
      <c r="J684" t="inlineStr">
        <is>
          <t>No</t>
        </is>
      </c>
      <c r="K684" t="inlineStr">
        <is>
          <t>No</t>
        </is>
      </c>
      <c r="L684" t="inlineStr">
        <is>
          <t>0</t>
        </is>
      </c>
      <c r="N684" t="inlineStr">
        <is>
          <t>Kansas City, Mo. : American Academy of Nursing, c1981.</t>
        </is>
      </c>
      <c r="O684" t="inlineStr">
        <is>
          <t>1981</t>
        </is>
      </c>
      <c r="Q684" t="inlineStr">
        <is>
          <t>eng</t>
        </is>
      </c>
      <c r="R684" t="inlineStr">
        <is>
          <t>xxu</t>
        </is>
      </c>
      <c r="T684" t="inlineStr">
        <is>
          <t xml:space="preserve">WY </t>
        </is>
      </c>
      <c r="U684" t="n">
        <v>2</v>
      </c>
      <c r="V684" t="n">
        <v>2</v>
      </c>
      <c r="W684" t="inlineStr">
        <is>
          <t>1991-07-11</t>
        </is>
      </c>
      <c r="X684" t="inlineStr">
        <is>
          <t>1991-07-11</t>
        </is>
      </c>
      <c r="Y684" t="inlineStr">
        <is>
          <t>1987-12-28</t>
        </is>
      </c>
      <c r="Z684" t="inlineStr">
        <is>
          <t>1987-12-28</t>
        </is>
      </c>
      <c r="AA684" t="n">
        <v>112</v>
      </c>
      <c r="AB684" t="n">
        <v>102</v>
      </c>
      <c r="AC684" t="n">
        <v>104</v>
      </c>
      <c r="AD684" t="n">
        <v>1</v>
      </c>
      <c r="AE684" t="n">
        <v>1</v>
      </c>
      <c r="AF684" t="n">
        <v>6</v>
      </c>
      <c r="AG684" t="n">
        <v>6</v>
      </c>
      <c r="AH684" t="n">
        <v>1</v>
      </c>
      <c r="AI684" t="n">
        <v>1</v>
      </c>
      <c r="AJ684" t="n">
        <v>2</v>
      </c>
      <c r="AK684" t="n">
        <v>2</v>
      </c>
      <c r="AL684" t="n">
        <v>3</v>
      </c>
      <c r="AM684" t="n">
        <v>3</v>
      </c>
      <c r="AN684" t="n">
        <v>0</v>
      </c>
      <c r="AO684" t="n">
        <v>0</v>
      </c>
      <c r="AP684" t="n">
        <v>0</v>
      </c>
      <c r="AQ684" t="n">
        <v>0</v>
      </c>
      <c r="AR684" t="inlineStr">
        <is>
          <t>No</t>
        </is>
      </c>
      <c r="AS684" t="inlineStr">
        <is>
          <t>Yes</t>
        </is>
      </c>
      <c r="AT684">
        <f>HYPERLINK("http://catalog.hathitrust.org/Record/000105194","HathiTrust Record")</f>
        <v/>
      </c>
      <c r="AU684">
        <f>HYPERLINK("https://creighton-primo.hosted.exlibrisgroup.com/primo-explore/search?tab=default_tab&amp;search_scope=EVERYTHING&amp;vid=01CRU&amp;lang=en_US&amp;offset=0&amp;query=any,contains,991001132009702656","Catalog Record")</f>
        <v/>
      </c>
      <c r="AV684">
        <f>HYPERLINK("http://www.worldcat.org/oclc/7923769","WorldCat Record")</f>
        <v/>
      </c>
      <c r="AW684" t="inlineStr">
        <is>
          <t>30274517:eng</t>
        </is>
      </c>
      <c r="AX684" t="inlineStr">
        <is>
          <t>7923769</t>
        </is>
      </c>
      <c r="AY684" t="inlineStr">
        <is>
          <t>991001132009702656</t>
        </is>
      </c>
      <c r="AZ684" t="inlineStr">
        <is>
          <t>991001132009702656</t>
        </is>
      </c>
      <c r="BA684" t="inlineStr">
        <is>
          <t>2272778730002656</t>
        </is>
      </c>
      <c r="BB684" t="inlineStr">
        <is>
          <t>BOOK</t>
        </is>
      </c>
      <c r="BE684" t="inlineStr">
        <is>
          <t>30001000285371</t>
        </is>
      </c>
      <c r="BF684" t="inlineStr">
        <is>
          <t>893450895</t>
        </is>
      </c>
    </row>
    <row r="685">
      <c r="A685" t="inlineStr">
        <is>
          <t>No</t>
        </is>
      </c>
      <c r="B685" t="inlineStr">
        <is>
          <t>CUHSL</t>
        </is>
      </c>
      <c r="C685" t="inlineStr">
        <is>
          <t>SHELVES</t>
        </is>
      </c>
      <c r="D685" t="inlineStr">
        <is>
          <t>WY 77 L657u 1979</t>
        </is>
      </c>
      <c r="E685" t="inlineStr">
        <is>
          <t>0                      WY 0077000L  657u        1979</t>
        </is>
      </c>
      <c r="F685" t="inlineStr">
        <is>
          <t>Use of patient statistics for program planning / Goldie Levenson.</t>
        </is>
      </c>
      <c r="H685" t="inlineStr">
        <is>
          <t>No</t>
        </is>
      </c>
      <c r="I685" t="inlineStr">
        <is>
          <t>1</t>
        </is>
      </c>
      <c r="J685" t="inlineStr">
        <is>
          <t>No</t>
        </is>
      </c>
      <c r="K685" t="inlineStr">
        <is>
          <t>No</t>
        </is>
      </c>
      <c r="L685" t="inlineStr">
        <is>
          <t>0</t>
        </is>
      </c>
      <c r="M685" t="inlineStr">
        <is>
          <t>Levenson, Goldie.</t>
        </is>
      </c>
      <c r="N685" t="inlineStr">
        <is>
          <t>New York : National League for Nursing, c1979.</t>
        </is>
      </c>
      <c r="O685" t="inlineStr">
        <is>
          <t>1979</t>
        </is>
      </c>
      <c r="Q685" t="inlineStr">
        <is>
          <t>eng</t>
        </is>
      </c>
      <c r="R685" t="inlineStr">
        <is>
          <t>nyu</t>
        </is>
      </c>
      <c r="S685" t="inlineStr">
        <is>
          <t>NLN pub. no. 21-1794</t>
        </is>
      </c>
      <c r="T685" t="inlineStr">
        <is>
          <t xml:space="preserve">WY </t>
        </is>
      </c>
      <c r="U685" t="n">
        <v>2</v>
      </c>
      <c r="V685" t="n">
        <v>2</v>
      </c>
      <c r="W685" t="inlineStr">
        <is>
          <t>1990-08-13</t>
        </is>
      </c>
      <c r="X685" t="inlineStr">
        <is>
          <t>1990-08-13</t>
        </is>
      </c>
      <c r="Y685" t="inlineStr">
        <is>
          <t>1987-11-04</t>
        </is>
      </c>
      <c r="Z685" t="inlineStr">
        <is>
          <t>1987-11-04</t>
        </is>
      </c>
      <c r="AA685" t="n">
        <v>88</v>
      </c>
      <c r="AB685" t="n">
        <v>77</v>
      </c>
      <c r="AC685" t="n">
        <v>79</v>
      </c>
      <c r="AD685" t="n">
        <v>1</v>
      </c>
      <c r="AE685" t="n">
        <v>1</v>
      </c>
      <c r="AF685" t="n">
        <v>2</v>
      </c>
      <c r="AG685" t="n">
        <v>2</v>
      </c>
      <c r="AH685" t="n">
        <v>0</v>
      </c>
      <c r="AI685" t="n">
        <v>0</v>
      </c>
      <c r="AJ685" t="n">
        <v>1</v>
      </c>
      <c r="AK685" t="n">
        <v>1</v>
      </c>
      <c r="AL685" t="n">
        <v>2</v>
      </c>
      <c r="AM685" t="n">
        <v>2</v>
      </c>
      <c r="AN685" t="n">
        <v>0</v>
      </c>
      <c r="AO685" t="n">
        <v>0</v>
      </c>
      <c r="AP685" t="n">
        <v>0</v>
      </c>
      <c r="AQ685" t="n">
        <v>0</v>
      </c>
      <c r="AR685" t="inlineStr">
        <is>
          <t>No</t>
        </is>
      </c>
      <c r="AS685" t="inlineStr">
        <is>
          <t>Yes</t>
        </is>
      </c>
      <c r="AT685">
        <f>HYPERLINK("http://catalog.hathitrust.org/Record/000759757","HathiTrust Record")</f>
        <v/>
      </c>
      <c r="AU685">
        <f>HYPERLINK("https://creighton-primo.hosted.exlibrisgroup.com/primo-explore/search?tab=default_tab&amp;search_scope=EVERYTHING&amp;vid=01CRU&amp;lang=en_US&amp;offset=0&amp;query=any,contains,991001387129702656","Catalog Record")</f>
        <v/>
      </c>
      <c r="AV685">
        <f>HYPERLINK("http://www.worldcat.org/oclc/5670883","WorldCat Record")</f>
        <v/>
      </c>
      <c r="AW685" t="inlineStr">
        <is>
          <t>18743524:eng</t>
        </is>
      </c>
      <c r="AX685" t="inlineStr">
        <is>
          <t>5670883</t>
        </is>
      </c>
      <c r="AY685" t="inlineStr">
        <is>
          <t>991001387129702656</t>
        </is>
      </c>
      <c r="AZ685" t="inlineStr">
        <is>
          <t>991001387129702656</t>
        </is>
      </c>
      <c r="BA685" t="inlineStr">
        <is>
          <t>2259474220002656</t>
        </is>
      </c>
      <c r="BB685" t="inlineStr">
        <is>
          <t>BOOK</t>
        </is>
      </c>
      <c r="BE685" t="inlineStr">
        <is>
          <t>30001000463986</t>
        </is>
      </c>
      <c r="BF685" t="inlineStr">
        <is>
          <t>893541317</t>
        </is>
      </c>
    </row>
    <row r="686">
      <c r="A686" t="inlineStr">
        <is>
          <t>No</t>
        </is>
      </c>
      <c r="B686" t="inlineStr">
        <is>
          <t>CUHSL</t>
        </is>
      </c>
      <c r="C686" t="inlineStr">
        <is>
          <t>SHELVES</t>
        </is>
      </c>
      <c r="D686" t="inlineStr">
        <is>
          <t>WY 77 M319w 1979</t>
        </is>
      </c>
      <c r="E686" t="inlineStr">
        <is>
          <t>0                      WY 0077000M  319w        1979</t>
        </is>
      </c>
      <c r="F686" t="inlineStr">
        <is>
          <t>What you don't know can hurt you! : the implications of hospital cost containment for nursing / Sue Marciniak.</t>
        </is>
      </c>
      <c r="H686" t="inlineStr">
        <is>
          <t>No</t>
        </is>
      </c>
      <c r="I686" t="inlineStr">
        <is>
          <t>1</t>
        </is>
      </c>
      <c r="J686" t="inlineStr">
        <is>
          <t>No</t>
        </is>
      </c>
      <c r="K686" t="inlineStr">
        <is>
          <t>No</t>
        </is>
      </c>
      <c r="L686" t="inlineStr">
        <is>
          <t>0</t>
        </is>
      </c>
      <c r="M686" t="inlineStr">
        <is>
          <t>Marciniak, Sue.</t>
        </is>
      </c>
      <c r="N686" t="inlineStr">
        <is>
          <t>New York : National League for Nursing, c1979.</t>
        </is>
      </c>
      <c r="O686" t="inlineStr">
        <is>
          <t>1979</t>
        </is>
      </c>
      <c r="Q686" t="inlineStr">
        <is>
          <t>eng</t>
        </is>
      </c>
      <c r="R686" t="inlineStr">
        <is>
          <t>nyu</t>
        </is>
      </c>
      <c r="S686" t="inlineStr">
        <is>
          <t>NLN pub. no. 41-1769</t>
        </is>
      </c>
      <c r="T686" t="inlineStr">
        <is>
          <t xml:space="preserve">WY </t>
        </is>
      </c>
      <c r="U686" t="n">
        <v>2</v>
      </c>
      <c r="V686" t="n">
        <v>2</v>
      </c>
      <c r="W686" t="inlineStr">
        <is>
          <t>1990-06-25</t>
        </is>
      </c>
      <c r="X686" t="inlineStr">
        <is>
          <t>1990-06-25</t>
        </is>
      </c>
      <c r="Y686" t="inlineStr">
        <is>
          <t>1987-11-12</t>
        </is>
      </c>
      <c r="Z686" t="inlineStr">
        <is>
          <t>1987-11-12</t>
        </is>
      </c>
      <c r="AA686" t="n">
        <v>71</v>
      </c>
      <c r="AB686" t="n">
        <v>63</v>
      </c>
      <c r="AC686" t="n">
        <v>63</v>
      </c>
      <c r="AD686" t="n">
        <v>2</v>
      </c>
      <c r="AE686" t="n">
        <v>2</v>
      </c>
      <c r="AF686" t="n">
        <v>4</v>
      </c>
      <c r="AG686" t="n">
        <v>4</v>
      </c>
      <c r="AH686" t="n">
        <v>1</v>
      </c>
      <c r="AI686" t="n">
        <v>1</v>
      </c>
      <c r="AJ686" t="n">
        <v>0</v>
      </c>
      <c r="AK686" t="n">
        <v>0</v>
      </c>
      <c r="AL686" t="n">
        <v>2</v>
      </c>
      <c r="AM686" t="n">
        <v>2</v>
      </c>
      <c r="AN686" t="n">
        <v>1</v>
      </c>
      <c r="AO686" t="n">
        <v>1</v>
      </c>
      <c r="AP686" t="n">
        <v>0</v>
      </c>
      <c r="AQ686" t="n">
        <v>0</v>
      </c>
      <c r="AR686" t="inlineStr">
        <is>
          <t>No</t>
        </is>
      </c>
      <c r="AS686" t="inlineStr">
        <is>
          <t>No</t>
        </is>
      </c>
      <c r="AU686">
        <f>HYPERLINK("https://creighton-primo.hosted.exlibrisgroup.com/primo-explore/search?tab=default_tab&amp;search_scope=EVERYTHING&amp;vid=01CRU&amp;lang=en_US&amp;offset=0&amp;query=any,contains,991001389949702656","Catalog Record")</f>
        <v/>
      </c>
      <c r="AV686">
        <f>HYPERLINK("http://www.worldcat.org/oclc/5089318","WorldCat Record")</f>
        <v/>
      </c>
      <c r="AW686" t="inlineStr">
        <is>
          <t>2916794505:eng</t>
        </is>
      </c>
      <c r="AX686" t="inlineStr">
        <is>
          <t>5089318</t>
        </is>
      </c>
      <c r="AY686" t="inlineStr">
        <is>
          <t>991001389949702656</t>
        </is>
      </c>
      <c r="AZ686" t="inlineStr">
        <is>
          <t>991001389949702656</t>
        </is>
      </c>
      <c r="BA686" t="inlineStr">
        <is>
          <t>2261452810002656</t>
        </is>
      </c>
      <c r="BB686" t="inlineStr">
        <is>
          <t>BOOK</t>
        </is>
      </c>
      <c r="BE686" t="inlineStr">
        <is>
          <t>30001000464802</t>
        </is>
      </c>
      <c r="BF686" t="inlineStr">
        <is>
          <t>893168156</t>
        </is>
      </c>
    </row>
    <row r="687">
      <c r="A687" t="inlineStr">
        <is>
          <t>No</t>
        </is>
      </c>
      <c r="B687" t="inlineStr">
        <is>
          <t>CUHSL</t>
        </is>
      </c>
      <c r="C687" t="inlineStr">
        <is>
          <t>SHELVES</t>
        </is>
      </c>
      <c r="D687" t="inlineStr">
        <is>
          <t>WY 77 M936m 1986</t>
        </is>
      </c>
      <c r="E687" t="inlineStr">
        <is>
          <t>0                      WY 0077000M  936m        1986</t>
        </is>
      </c>
      <c r="F687" t="inlineStr">
        <is>
          <t>Managing health care costs, quality, and technology : product line strategies for nursing / Mychelle M. Mowry, Ralph A. Korpman.</t>
        </is>
      </c>
      <c r="H687" t="inlineStr">
        <is>
          <t>No</t>
        </is>
      </c>
      <c r="I687" t="inlineStr">
        <is>
          <t>1</t>
        </is>
      </c>
      <c r="J687" t="inlineStr">
        <is>
          <t>No</t>
        </is>
      </c>
      <c r="K687" t="inlineStr">
        <is>
          <t>No</t>
        </is>
      </c>
      <c r="L687" t="inlineStr">
        <is>
          <t>0</t>
        </is>
      </c>
      <c r="M687" t="inlineStr">
        <is>
          <t>Mowry, Mychelle M.</t>
        </is>
      </c>
      <c r="N687" t="inlineStr">
        <is>
          <t>Rockville, Md. : Aspen, c1986.</t>
        </is>
      </c>
      <c r="O687" t="inlineStr">
        <is>
          <t>1986</t>
        </is>
      </c>
      <c r="Q687" t="inlineStr">
        <is>
          <t>eng</t>
        </is>
      </c>
      <c r="R687" t="inlineStr">
        <is>
          <t>xxu</t>
        </is>
      </c>
      <c r="T687" t="inlineStr">
        <is>
          <t xml:space="preserve">WY </t>
        </is>
      </c>
      <c r="U687" t="n">
        <v>8</v>
      </c>
      <c r="V687" t="n">
        <v>8</v>
      </c>
      <c r="W687" t="inlineStr">
        <is>
          <t>2002-02-20</t>
        </is>
      </c>
      <c r="X687" t="inlineStr">
        <is>
          <t>2002-02-20</t>
        </is>
      </c>
      <c r="Y687" t="inlineStr">
        <is>
          <t>1987-12-28</t>
        </is>
      </c>
      <c r="Z687" t="inlineStr">
        <is>
          <t>1987-12-28</t>
        </is>
      </c>
      <c r="AA687" t="n">
        <v>155</v>
      </c>
      <c r="AB687" t="n">
        <v>142</v>
      </c>
      <c r="AC687" t="n">
        <v>144</v>
      </c>
      <c r="AD687" t="n">
        <v>1</v>
      </c>
      <c r="AE687" t="n">
        <v>1</v>
      </c>
      <c r="AF687" t="n">
        <v>6</v>
      </c>
      <c r="AG687" t="n">
        <v>6</v>
      </c>
      <c r="AH687" t="n">
        <v>0</v>
      </c>
      <c r="AI687" t="n">
        <v>0</v>
      </c>
      <c r="AJ687" t="n">
        <v>2</v>
      </c>
      <c r="AK687" t="n">
        <v>2</v>
      </c>
      <c r="AL687" t="n">
        <v>3</v>
      </c>
      <c r="AM687" t="n">
        <v>3</v>
      </c>
      <c r="AN687" t="n">
        <v>0</v>
      </c>
      <c r="AO687" t="n">
        <v>0</v>
      </c>
      <c r="AP687" t="n">
        <v>1</v>
      </c>
      <c r="AQ687" t="n">
        <v>1</v>
      </c>
      <c r="AR687" t="inlineStr">
        <is>
          <t>No</t>
        </is>
      </c>
      <c r="AS687" t="inlineStr">
        <is>
          <t>Yes</t>
        </is>
      </c>
      <c r="AT687">
        <f>HYPERLINK("http://catalog.hathitrust.org/Record/000588269","HathiTrust Record")</f>
        <v/>
      </c>
      <c r="AU687">
        <f>HYPERLINK("https://creighton-primo.hosted.exlibrisgroup.com/primo-explore/search?tab=default_tab&amp;search_scope=EVERYTHING&amp;vid=01CRU&amp;lang=en_US&amp;offset=0&amp;query=any,contains,991001413959702656","Catalog Record")</f>
        <v/>
      </c>
      <c r="AV687">
        <f>HYPERLINK("http://www.worldcat.org/oclc/13156898","WorldCat Record")</f>
        <v/>
      </c>
      <c r="AW687" t="inlineStr">
        <is>
          <t>5546744:eng</t>
        </is>
      </c>
      <c r="AX687" t="inlineStr">
        <is>
          <t>13156898</t>
        </is>
      </c>
      <c r="AY687" t="inlineStr">
        <is>
          <t>991001413959702656</t>
        </is>
      </c>
      <c r="AZ687" t="inlineStr">
        <is>
          <t>991001413959702656</t>
        </is>
      </c>
      <c r="BA687" t="inlineStr">
        <is>
          <t>2256551650002656</t>
        </is>
      </c>
      <c r="BB687" t="inlineStr">
        <is>
          <t>BOOK</t>
        </is>
      </c>
      <c r="BD687" t="inlineStr">
        <is>
          <t>9780871892959</t>
        </is>
      </c>
      <c r="BE687" t="inlineStr">
        <is>
          <t>30001000506552</t>
        </is>
      </c>
      <c r="BF687" t="inlineStr">
        <is>
          <t>893727550</t>
        </is>
      </c>
    </row>
    <row r="688">
      <c r="A688" t="inlineStr">
        <is>
          <t>No</t>
        </is>
      </c>
      <c r="B688" t="inlineStr">
        <is>
          <t>CUHSL</t>
        </is>
      </c>
      <c r="C688" t="inlineStr">
        <is>
          <t>SHELVES</t>
        </is>
      </c>
      <c r="D688" t="inlineStr">
        <is>
          <t>WY 77 N9375 2000</t>
        </is>
      </c>
      <c r="E688" t="inlineStr">
        <is>
          <t>0                      WY 0077000N  9375        2000</t>
        </is>
      </c>
      <c r="F688" t="inlineStr">
        <is>
          <t>MedLearn's nurse practitioners' guide to evaluation &amp; management coding.</t>
        </is>
      </c>
      <c r="H688" t="inlineStr">
        <is>
          <t>No</t>
        </is>
      </c>
      <c r="I688" t="inlineStr">
        <is>
          <t>1</t>
        </is>
      </c>
      <c r="J688" t="inlineStr">
        <is>
          <t>No</t>
        </is>
      </c>
      <c r="K688" t="inlineStr">
        <is>
          <t>No</t>
        </is>
      </c>
      <c r="L688" t="inlineStr">
        <is>
          <t>0</t>
        </is>
      </c>
      <c r="N688" t="inlineStr">
        <is>
          <t>St. Paul, MN : Medical Learning, Inc., c2000.</t>
        </is>
      </c>
      <c r="O688" t="inlineStr">
        <is>
          <t>2000</t>
        </is>
      </c>
      <c r="P688" t="inlineStr">
        <is>
          <t>Rev. ed.</t>
        </is>
      </c>
      <c r="Q688" t="inlineStr">
        <is>
          <t>eng</t>
        </is>
      </c>
      <c r="R688" t="inlineStr">
        <is>
          <t>mnu</t>
        </is>
      </c>
      <c r="T688" t="inlineStr">
        <is>
          <t xml:space="preserve">WY </t>
        </is>
      </c>
      <c r="U688" t="n">
        <v>2</v>
      </c>
      <c r="V688" t="n">
        <v>2</v>
      </c>
      <c r="W688" t="inlineStr">
        <is>
          <t>2004-10-12</t>
        </is>
      </c>
      <c r="X688" t="inlineStr">
        <is>
          <t>2004-10-12</t>
        </is>
      </c>
      <c r="Y688" t="inlineStr">
        <is>
          <t>2000-04-18</t>
        </is>
      </c>
      <c r="Z688" t="inlineStr">
        <is>
          <t>2000-04-18</t>
        </is>
      </c>
      <c r="AA688" t="n">
        <v>3</v>
      </c>
      <c r="AB688" t="n">
        <v>3</v>
      </c>
      <c r="AC688" t="n">
        <v>3</v>
      </c>
      <c r="AD688" t="n">
        <v>1</v>
      </c>
      <c r="AE688" t="n">
        <v>1</v>
      </c>
      <c r="AF688" t="n">
        <v>0</v>
      </c>
      <c r="AG688" t="n">
        <v>0</v>
      </c>
      <c r="AH688" t="n">
        <v>0</v>
      </c>
      <c r="AI688" t="n">
        <v>0</v>
      </c>
      <c r="AJ688" t="n">
        <v>0</v>
      </c>
      <c r="AK688" t="n">
        <v>0</v>
      </c>
      <c r="AL688" t="n">
        <v>0</v>
      </c>
      <c r="AM688" t="n">
        <v>0</v>
      </c>
      <c r="AN688" t="n">
        <v>0</v>
      </c>
      <c r="AO688" t="n">
        <v>0</v>
      </c>
      <c r="AP688" t="n">
        <v>0</v>
      </c>
      <c r="AQ688" t="n">
        <v>0</v>
      </c>
      <c r="AR688" t="inlineStr">
        <is>
          <t>No</t>
        </is>
      </c>
      <c r="AS688" t="inlineStr">
        <is>
          <t>No</t>
        </is>
      </c>
      <c r="AU688">
        <f>HYPERLINK("https://creighton-primo.hosted.exlibrisgroup.com/primo-explore/search?tab=default_tab&amp;search_scope=EVERYTHING&amp;vid=01CRU&amp;lang=en_US&amp;offset=0&amp;query=any,contains,991000501009702656","Catalog Record")</f>
        <v/>
      </c>
      <c r="AV688">
        <f>HYPERLINK("http://www.worldcat.org/oclc/40759976","WorldCat Record")</f>
        <v/>
      </c>
      <c r="AW688" t="inlineStr">
        <is>
          <t>3858094616:eng</t>
        </is>
      </c>
      <c r="AX688" t="inlineStr">
        <is>
          <t>40759976</t>
        </is>
      </c>
      <c r="AY688" t="inlineStr">
        <is>
          <t>991000501009702656</t>
        </is>
      </c>
      <c r="AZ688" t="inlineStr">
        <is>
          <t>991000501009702656</t>
        </is>
      </c>
      <c r="BA688" t="inlineStr">
        <is>
          <t>2262036140002656</t>
        </is>
      </c>
      <c r="BB688" t="inlineStr">
        <is>
          <t>BOOK</t>
        </is>
      </c>
      <c r="BD688" t="inlineStr">
        <is>
          <t>9781889115122</t>
        </is>
      </c>
      <c r="BE688" t="inlineStr">
        <is>
          <t>30001003883966</t>
        </is>
      </c>
      <c r="BF688" t="inlineStr">
        <is>
          <t>893285675</t>
        </is>
      </c>
    </row>
    <row r="689">
      <c r="A689" t="inlineStr">
        <is>
          <t>No</t>
        </is>
      </c>
      <c r="B689" t="inlineStr">
        <is>
          <t>CUHSL</t>
        </is>
      </c>
      <c r="C689" t="inlineStr">
        <is>
          <t>SHELVES</t>
        </is>
      </c>
      <c r="D689" t="inlineStr">
        <is>
          <t>WY 77 P467 1985</t>
        </is>
      </c>
      <c r="E689" t="inlineStr">
        <is>
          <t>0                      WY 0077000P  467         1985</t>
        </is>
      </c>
      <c r="F689" t="inlineStr">
        <is>
          <t>Perspectives on prospective payment : challenges and opportunities for nurses / edited by Marjorie Beyers.</t>
        </is>
      </c>
      <c r="H689" t="inlineStr">
        <is>
          <t>No</t>
        </is>
      </c>
      <c r="I689" t="inlineStr">
        <is>
          <t>1</t>
        </is>
      </c>
      <c r="J689" t="inlineStr">
        <is>
          <t>No</t>
        </is>
      </c>
      <c r="K689" t="inlineStr">
        <is>
          <t>No</t>
        </is>
      </c>
      <c r="L689" t="inlineStr">
        <is>
          <t>0</t>
        </is>
      </c>
      <c r="N689" t="inlineStr">
        <is>
          <t>Rockville, Md. : Aspen Systems Corp., c1985.</t>
        </is>
      </c>
      <c r="O689" t="inlineStr">
        <is>
          <t>1985</t>
        </is>
      </c>
      <c r="Q689" t="inlineStr">
        <is>
          <t>eng</t>
        </is>
      </c>
      <c r="R689" t="inlineStr">
        <is>
          <t>xxu</t>
        </is>
      </c>
      <c r="T689" t="inlineStr">
        <is>
          <t xml:space="preserve">WY </t>
        </is>
      </c>
      <c r="U689" t="n">
        <v>7</v>
      </c>
      <c r="V689" t="n">
        <v>7</v>
      </c>
      <c r="W689" t="inlineStr">
        <is>
          <t>1991-07-21</t>
        </is>
      </c>
      <c r="X689" t="inlineStr">
        <is>
          <t>1991-07-21</t>
        </is>
      </c>
      <c r="Y689" t="inlineStr">
        <is>
          <t>1987-12-28</t>
        </is>
      </c>
      <c r="Z689" t="inlineStr">
        <is>
          <t>1987-12-28</t>
        </is>
      </c>
      <c r="AA689" t="n">
        <v>162</v>
      </c>
      <c r="AB689" t="n">
        <v>155</v>
      </c>
      <c r="AC689" t="n">
        <v>155</v>
      </c>
      <c r="AD689" t="n">
        <v>1</v>
      </c>
      <c r="AE689" t="n">
        <v>1</v>
      </c>
      <c r="AF689" t="n">
        <v>5</v>
      </c>
      <c r="AG689" t="n">
        <v>5</v>
      </c>
      <c r="AH689" t="n">
        <v>1</v>
      </c>
      <c r="AI689" t="n">
        <v>1</v>
      </c>
      <c r="AJ689" t="n">
        <v>1</v>
      </c>
      <c r="AK689" t="n">
        <v>1</v>
      </c>
      <c r="AL689" t="n">
        <v>5</v>
      </c>
      <c r="AM689" t="n">
        <v>5</v>
      </c>
      <c r="AN689" t="n">
        <v>0</v>
      </c>
      <c r="AO689" t="n">
        <v>0</v>
      </c>
      <c r="AP689" t="n">
        <v>0</v>
      </c>
      <c r="AQ689" t="n">
        <v>0</v>
      </c>
      <c r="AR689" t="inlineStr">
        <is>
          <t>No</t>
        </is>
      </c>
      <c r="AS689" t="inlineStr">
        <is>
          <t>No</t>
        </is>
      </c>
      <c r="AU689">
        <f>HYPERLINK("https://creighton-primo.hosted.exlibrisgroup.com/primo-explore/search?tab=default_tab&amp;search_scope=EVERYTHING&amp;vid=01CRU&amp;lang=en_US&amp;offset=0&amp;query=any,contains,991001413919702656","Catalog Record")</f>
        <v/>
      </c>
      <c r="AV689">
        <f>HYPERLINK("http://www.worldcat.org/oclc/11622228","WorldCat Record")</f>
        <v/>
      </c>
      <c r="AW689" t="inlineStr">
        <is>
          <t>2525387659:eng</t>
        </is>
      </c>
      <c r="AX689" t="inlineStr">
        <is>
          <t>11622228</t>
        </is>
      </c>
      <c r="AY689" t="inlineStr">
        <is>
          <t>991001413919702656</t>
        </is>
      </c>
      <c r="AZ689" t="inlineStr">
        <is>
          <t>991001413919702656</t>
        </is>
      </c>
      <c r="BA689" t="inlineStr">
        <is>
          <t>2258296920002656</t>
        </is>
      </c>
      <c r="BB689" t="inlineStr">
        <is>
          <t>BOOK</t>
        </is>
      </c>
      <c r="BD689" t="inlineStr">
        <is>
          <t>9780871890955</t>
        </is>
      </c>
      <c r="BE689" t="inlineStr">
        <is>
          <t>30001000506545</t>
        </is>
      </c>
      <c r="BF689" t="inlineStr">
        <is>
          <t>893638298</t>
        </is>
      </c>
    </row>
    <row r="690">
      <c r="A690" t="inlineStr">
        <is>
          <t>No</t>
        </is>
      </c>
      <c r="B690" t="inlineStr">
        <is>
          <t>CUHSL</t>
        </is>
      </c>
      <c r="C690" t="inlineStr">
        <is>
          <t>SHELVES</t>
        </is>
      </c>
      <c r="D690" t="inlineStr">
        <is>
          <t>WY 77 P847n 1987</t>
        </is>
      </c>
      <c r="E690" t="inlineStr">
        <is>
          <t>0                      WY 0077000P  847n        1987</t>
        </is>
      </c>
      <c r="F690" t="inlineStr">
        <is>
          <t>Nursing finance : budgeting strategies for a new age / by Tim Porter-O'Grady.</t>
        </is>
      </c>
      <c r="H690" t="inlineStr">
        <is>
          <t>No</t>
        </is>
      </c>
      <c r="I690" t="inlineStr">
        <is>
          <t>1</t>
        </is>
      </c>
      <c r="J690" t="inlineStr">
        <is>
          <t>No</t>
        </is>
      </c>
      <c r="K690" t="inlineStr">
        <is>
          <t>No</t>
        </is>
      </c>
      <c r="L690" t="inlineStr">
        <is>
          <t>0</t>
        </is>
      </c>
      <c r="M690" t="inlineStr">
        <is>
          <t>Porter-O'Grady, Timothy.</t>
        </is>
      </c>
      <c r="N690" t="inlineStr">
        <is>
          <t>Rockville, Md. : Aspen Publishers, c1987.</t>
        </is>
      </c>
      <c r="O690" t="inlineStr">
        <is>
          <t>1987</t>
        </is>
      </c>
      <c r="Q690" t="inlineStr">
        <is>
          <t>eng</t>
        </is>
      </c>
      <c r="R690" t="inlineStr">
        <is>
          <t>xxu</t>
        </is>
      </c>
      <c r="T690" t="inlineStr">
        <is>
          <t xml:space="preserve">WY </t>
        </is>
      </c>
      <c r="U690" t="n">
        <v>3</v>
      </c>
      <c r="V690" t="n">
        <v>3</v>
      </c>
      <c r="W690" t="inlineStr">
        <is>
          <t>1991-07-21</t>
        </is>
      </c>
      <c r="X690" t="inlineStr">
        <is>
          <t>1991-07-21</t>
        </is>
      </c>
      <c r="Y690" t="inlineStr">
        <is>
          <t>1988-03-22</t>
        </is>
      </c>
      <c r="Z690" t="inlineStr">
        <is>
          <t>1988-03-22</t>
        </is>
      </c>
      <c r="AA690" t="n">
        <v>215</v>
      </c>
      <c r="AB690" t="n">
        <v>202</v>
      </c>
      <c r="AC690" t="n">
        <v>209</v>
      </c>
      <c r="AD690" t="n">
        <v>2</v>
      </c>
      <c r="AE690" t="n">
        <v>2</v>
      </c>
      <c r="AF690" t="n">
        <v>8</v>
      </c>
      <c r="AG690" t="n">
        <v>8</v>
      </c>
      <c r="AH690" t="n">
        <v>3</v>
      </c>
      <c r="AI690" t="n">
        <v>3</v>
      </c>
      <c r="AJ690" t="n">
        <v>2</v>
      </c>
      <c r="AK690" t="n">
        <v>2</v>
      </c>
      <c r="AL690" t="n">
        <v>4</v>
      </c>
      <c r="AM690" t="n">
        <v>4</v>
      </c>
      <c r="AN690" t="n">
        <v>0</v>
      </c>
      <c r="AO690" t="n">
        <v>0</v>
      </c>
      <c r="AP690" t="n">
        <v>0</v>
      </c>
      <c r="AQ690" t="n">
        <v>0</v>
      </c>
      <c r="AR690" t="inlineStr">
        <is>
          <t>No</t>
        </is>
      </c>
      <c r="AS690" t="inlineStr">
        <is>
          <t>Yes</t>
        </is>
      </c>
      <c r="AT690">
        <f>HYPERLINK("http://catalog.hathitrust.org/Record/000854841","HathiTrust Record")</f>
        <v/>
      </c>
      <c r="AU690">
        <f>HYPERLINK("https://creighton-primo.hosted.exlibrisgroup.com/primo-explore/search?tab=default_tab&amp;search_scope=EVERYTHING&amp;vid=01CRU&amp;lang=en_US&amp;offset=0&amp;query=any,contains,991001177139702656","Catalog Record")</f>
        <v/>
      </c>
      <c r="AV690">
        <f>HYPERLINK("http://www.worldcat.org/oclc/16085049","WorldCat Record")</f>
        <v/>
      </c>
      <c r="AW690" t="inlineStr">
        <is>
          <t>440836972:eng</t>
        </is>
      </c>
      <c r="AX690" t="inlineStr">
        <is>
          <t>16085049</t>
        </is>
      </c>
      <c r="AY690" t="inlineStr">
        <is>
          <t>991001177139702656</t>
        </is>
      </c>
      <c r="AZ690" t="inlineStr">
        <is>
          <t>991001177139702656</t>
        </is>
      </c>
      <c r="BA690" t="inlineStr">
        <is>
          <t>2263274490002656</t>
        </is>
      </c>
      <c r="BB690" t="inlineStr">
        <is>
          <t>BOOK</t>
        </is>
      </c>
      <c r="BD690" t="inlineStr">
        <is>
          <t>9780871898562</t>
        </is>
      </c>
      <c r="BE690" t="inlineStr">
        <is>
          <t>30001000976185</t>
        </is>
      </c>
      <c r="BF690" t="inlineStr">
        <is>
          <t>893369175</t>
        </is>
      </c>
    </row>
    <row r="691">
      <c r="A691" t="inlineStr">
        <is>
          <t>No</t>
        </is>
      </c>
      <c r="B691" t="inlineStr">
        <is>
          <t>CUHSL</t>
        </is>
      </c>
      <c r="C691" t="inlineStr">
        <is>
          <t>SHELVES</t>
        </is>
      </c>
      <c r="D691" t="inlineStr">
        <is>
          <t>WY 85 A512g 1980</t>
        </is>
      </c>
      <c r="E691" t="inlineStr">
        <is>
          <t>0                      WY 0085000A  512g        1980</t>
        </is>
      </c>
      <c r="F691" t="inlineStr">
        <is>
          <t>Guidelines for implementing the Code for nurses / [developed by the Committee on Ethics, American Nurses' Association].</t>
        </is>
      </c>
      <c r="H691" t="inlineStr">
        <is>
          <t>No</t>
        </is>
      </c>
      <c r="I691" t="inlineStr">
        <is>
          <t>1</t>
        </is>
      </c>
      <c r="J691" t="inlineStr">
        <is>
          <t>No</t>
        </is>
      </c>
      <c r="K691" t="inlineStr">
        <is>
          <t>No</t>
        </is>
      </c>
      <c r="L691" t="inlineStr">
        <is>
          <t>0</t>
        </is>
      </c>
      <c r="M691" t="inlineStr">
        <is>
          <t>American Nurses Association. Committee on Ethics.</t>
        </is>
      </c>
      <c r="N691" t="inlineStr">
        <is>
          <t>Kansas City. Mo. : The Association, c1980.</t>
        </is>
      </c>
      <c r="O691" t="inlineStr">
        <is>
          <t>1980</t>
        </is>
      </c>
      <c r="Q691" t="inlineStr">
        <is>
          <t>eng</t>
        </is>
      </c>
      <c r="R691" t="inlineStr">
        <is>
          <t>xxu</t>
        </is>
      </c>
      <c r="S691" t="inlineStr">
        <is>
          <t>ANA. G-146</t>
        </is>
      </c>
      <c r="T691" t="inlineStr">
        <is>
          <t xml:space="preserve">WY </t>
        </is>
      </c>
      <c r="U691" t="n">
        <v>2</v>
      </c>
      <c r="V691" t="n">
        <v>2</v>
      </c>
      <c r="W691" t="inlineStr">
        <is>
          <t>1993-11-08</t>
        </is>
      </c>
      <c r="X691" t="inlineStr">
        <is>
          <t>1993-11-08</t>
        </is>
      </c>
      <c r="Y691" t="inlineStr">
        <is>
          <t>1987-12-29</t>
        </is>
      </c>
      <c r="Z691" t="inlineStr">
        <is>
          <t>1987-12-29</t>
        </is>
      </c>
      <c r="AA691" t="n">
        <v>84</v>
      </c>
      <c r="AB691" t="n">
        <v>79</v>
      </c>
      <c r="AC691" t="n">
        <v>82</v>
      </c>
      <c r="AD691" t="n">
        <v>1</v>
      </c>
      <c r="AE691" t="n">
        <v>1</v>
      </c>
      <c r="AF691" t="n">
        <v>4</v>
      </c>
      <c r="AG691" t="n">
        <v>4</v>
      </c>
      <c r="AH691" t="n">
        <v>1</v>
      </c>
      <c r="AI691" t="n">
        <v>1</v>
      </c>
      <c r="AJ691" t="n">
        <v>1</v>
      </c>
      <c r="AK691" t="n">
        <v>1</v>
      </c>
      <c r="AL691" t="n">
        <v>3</v>
      </c>
      <c r="AM691" t="n">
        <v>3</v>
      </c>
      <c r="AN691" t="n">
        <v>0</v>
      </c>
      <c r="AO691" t="n">
        <v>0</v>
      </c>
      <c r="AP691" t="n">
        <v>0</v>
      </c>
      <c r="AQ691" t="n">
        <v>0</v>
      </c>
      <c r="AR691" t="inlineStr">
        <is>
          <t>No</t>
        </is>
      </c>
      <c r="AS691" t="inlineStr">
        <is>
          <t>Yes</t>
        </is>
      </c>
      <c r="AT691">
        <f>HYPERLINK("http://catalog.hathitrust.org/Record/000223645","HathiTrust Record")</f>
        <v/>
      </c>
      <c r="AU691">
        <f>HYPERLINK("https://creighton-primo.hosted.exlibrisgroup.com/primo-explore/search?tab=default_tab&amp;search_scope=EVERYTHING&amp;vid=01CRU&amp;lang=en_US&amp;offset=0&amp;query=any,contains,991001132159702656","Catalog Record")</f>
        <v/>
      </c>
      <c r="AV691">
        <f>HYPERLINK("http://www.worldcat.org/oclc/7975970","WorldCat Record")</f>
        <v/>
      </c>
      <c r="AW691" t="inlineStr">
        <is>
          <t>30313691:eng</t>
        </is>
      </c>
      <c r="AX691" t="inlineStr">
        <is>
          <t>7975970</t>
        </is>
      </c>
      <c r="AY691" t="inlineStr">
        <is>
          <t>991001132159702656</t>
        </is>
      </c>
      <c r="AZ691" t="inlineStr">
        <is>
          <t>991001132159702656</t>
        </is>
      </c>
      <c r="BA691" t="inlineStr">
        <is>
          <t>2255897600002656</t>
        </is>
      </c>
      <c r="BB691" t="inlineStr">
        <is>
          <t>BOOK</t>
        </is>
      </c>
      <c r="BE691" t="inlineStr">
        <is>
          <t>30001000285405</t>
        </is>
      </c>
      <c r="BF691" t="inlineStr">
        <is>
          <t>893632748</t>
        </is>
      </c>
    </row>
    <row r="692">
      <c r="A692" t="inlineStr">
        <is>
          <t>No</t>
        </is>
      </c>
      <c r="B692" t="inlineStr">
        <is>
          <t>CUHSL</t>
        </is>
      </c>
      <c r="C692" t="inlineStr">
        <is>
          <t>SHELVES</t>
        </is>
      </c>
      <c r="D692" t="inlineStr">
        <is>
          <t>WY 85 B214n 1990</t>
        </is>
      </c>
      <c r="E692" t="inlineStr">
        <is>
          <t>0                      WY 0085000B  214n        1990</t>
        </is>
      </c>
      <c r="F692" t="inlineStr">
        <is>
          <t>Nursing ethics through the life span / Elsie L. Bandman, Bertram Bandman.</t>
        </is>
      </c>
      <c r="H692" t="inlineStr">
        <is>
          <t>No</t>
        </is>
      </c>
      <c r="I692" t="inlineStr">
        <is>
          <t>1</t>
        </is>
      </c>
      <c r="J692" t="inlineStr">
        <is>
          <t>No</t>
        </is>
      </c>
      <c r="K692" t="inlineStr">
        <is>
          <t>Yes</t>
        </is>
      </c>
      <c r="L692" t="inlineStr">
        <is>
          <t>0</t>
        </is>
      </c>
      <c r="M692" t="inlineStr">
        <is>
          <t>Bandman, Elsie L.</t>
        </is>
      </c>
      <c r="N692" t="inlineStr">
        <is>
          <t>Norwalk, Conn. : Appleton &amp; Lange, c1990.</t>
        </is>
      </c>
      <c r="O692" t="inlineStr">
        <is>
          <t>1990</t>
        </is>
      </c>
      <c r="P692" t="inlineStr">
        <is>
          <t>2nd ed.</t>
        </is>
      </c>
      <c r="Q692" t="inlineStr">
        <is>
          <t>eng</t>
        </is>
      </c>
      <c r="R692" t="inlineStr">
        <is>
          <t>xxu</t>
        </is>
      </c>
      <c r="T692" t="inlineStr">
        <is>
          <t xml:space="preserve">WY </t>
        </is>
      </c>
      <c r="U692" t="n">
        <v>17</v>
      </c>
      <c r="V692" t="n">
        <v>17</v>
      </c>
      <c r="W692" t="inlineStr">
        <is>
          <t>2000-04-11</t>
        </is>
      </c>
      <c r="X692" t="inlineStr">
        <is>
          <t>2000-04-11</t>
        </is>
      </c>
      <c r="Y692" t="inlineStr">
        <is>
          <t>1990-07-11</t>
        </is>
      </c>
      <c r="Z692" t="inlineStr">
        <is>
          <t>1990-07-11</t>
        </is>
      </c>
      <c r="AA692" t="n">
        <v>439</v>
      </c>
      <c r="AB692" t="n">
        <v>328</v>
      </c>
      <c r="AC692" t="n">
        <v>847</v>
      </c>
      <c r="AD692" t="n">
        <v>2</v>
      </c>
      <c r="AE692" t="n">
        <v>4</v>
      </c>
      <c r="AF692" t="n">
        <v>10</v>
      </c>
      <c r="AG692" t="n">
        <v>31</v>
      </c>
      <c r="AH692" t="n">
        <v>5</v>
      </c>
      <c r="AI692" t="n">
        <v>13</v>
      </c>
      <c r="AJ692" t="n">
        <v>2</v>
      </c>
      <c r="AK692" t="n">
        <v>6</v>
      </c>
      <c r="AL692" t="n">
        <v>5</v>
      </c>
      <c r="AM692" t="n">
        <v>16</v>
      </c>
      <c r="AN692" t="n">
        <v>1</v>
      </c>
      <c r="AO692" t="n">
        <v>3</v>
      </c>
      <c r="AP692" t="n">
        <v>0</v>
      </c>
      <c r="AQ692" t="n">
        <v>0</v>
      </c>
      <c r="AR692" t="inlineStr">
        <is>
          <t>No</t>
        </is>
      </c>
      <c r="AS692" t="inlineStr">
        <is>
          <t>Yes</t>
        </is>
      </c>
      <c r="AT692">
        <f>HYPERLINK("http://catalog.hathitrust.org/Record/001827640","HathiTrust Record")</f>
        <v/>
      </c>
      <c r="AU692">
        <f>HYPERLINK("https://creighton-primo.hosted.exlibrisgroup.com/primo-explore/search?tab=default_tab&amp;search_scope=EVERYTHING&amp;vid=01CRU&amp;lang=en_US&amp;offset=0&amp;query=any,contains,991001451899702656","Catalog Record")</f>
        <v/>
      </c>
      <c r="AV692">
        <f>HYPERLINK("http://www.worldcat.org/oclc/19455594","WorldCat Record")</f>
        <v/>
      </c>
      <c r="AW692" t="inlineStr">
        <is>
          <t>408451:eng</t>
        </is>
      </c>
      <c r="AX692" t="inlineStr">
        <is>
          <t>19455594</t>
        </is>
      </c>
      <c r="AY692" t="inlineStr">
        <is>
          <t>991001451899702656</t>
        </is>
      </c>
      <c r="AZ692" t="inlineStr">
        <is>
          <t>991001451899702656</t>
        </is>
      </c>
      <c r="BA692" t="inlineStr">
        <is>
          <t>2255072220002656</t>
        </is>
      </c>
      <c r="BB692" t="inlineStr">
        <is>
          <t>BOOK</t>
        </is>
      </c>
      <c r="BD692" t="inlineStr">
        <is>
          <t>9780838570524</t>
        </is>
      </c>
      <c r="BE692" t="inlineStr">
        <is>
          <t>30001001883356</t>
        </is>
      </c>
      <c r="BF692" t="inlineStr">
        <is>
          <t>893162021</t>
        </is>
      </c>
    </row>
    <row r="693">
      <c r="A693" t="inlineStr">
        <is>
          <t>No</t>
        </is>
      </c>
      <c r="B693" t="inlineStr">
        <is>
          <t>CUHSL</t>
        </is>
      </c>
      <c r="C693" t="inlineStr">
        <is>
          <t>SHELVES</t>
        </is>
      </c>
      <c r="D693" t="inlineStr">
        <is>
          <t>WY85 B214n 2002</t>
        </is>
      </c>
      <c r="E693" t="inlineStr">
        <is>
          <t>0                      WY 0085000B  214n        2002</t>
        </is>
      </c>
      <c r="F693" t="inlineStr">
        <is>
          <t>Nursing ethics through the life span / Elsie L. Bandman, Bertram Bandman.</t>
        </is>
      </c>
      <c r="H693" t="inlineStr">
        <is>
          <t>No</t>
        </is>
      </c>
      <c r="I693" t="inlineStr">
        <is>
          <t>1</t>
        </is>
      </c>
      <c r="J693" t="inlineStr">
        <is>
          <t>No</t>
        </is>
      </c>
      <c r="K693" t="inlineStr">
        <is>
          <t>Yes</t>
        </is>
      </c>
      <c r="L693" t="inlineStr">
        <is>
          <t>0</t>
        </is>
      </c>
      <c r="M693" t="inlineStr">
        <is>
          <t>Bandman, Elsie L.</t>
        </is>
      </c>
      <c r="N693" t="inlineStr">
        <is>
          <t>Upper Saddle River, N.J. : Prentice Hall, 2002.</t>
        </is>
      </c>
      <c r="O693" t="inlineStr">
        <is>
          <t>2002</t>
        </is>
      </c>
      <c r="P693" t="inlineStr">
        <is>
          <t>4th ed.</t>
        </is>
      </c>
      <c r="Q693" t="inlineStr">
        <is>
          <t>eng</t>
        </is>
      </c>
      <c r="R693" t="inlineStr">
        <is>
          <t>nju</t>
        </is>
      </c>
      <c r="T693" t="inlineStr">
        <is>
          <t xml:space="preserve">WY </t>
        </is>
      </c>
      <c r="U693" t="n">
        <v>7</v>
      </c>
      <c r="V693" t="n">
        <v>7</v>
      </c>
      <c r="W693" t="inlineStr">
        <is>
          <t>2004-04-15</t>
        </is>
      </c>
      <c r="X693" t="inlineStr">
        <is>
          <t>2004-04-15</t>
        </is>
      </c>
      <c r="Y693" t="inlineStr">
        <is>
          <t>2001-12-10</t>
        </is>
      </c>
      <c r="Z693" t="inlineStr">
        <is>
          <t>2001-12-10</t>
        </is>
      </c>
      <c r="AA693" t="n">
        <v>632</v>
      </c>
      <c r="AB693" t="n">
        <v>497</v>
      </c>
      <c r="AC693" t="n">
        <v>847</v>
      </c>
      <c r="AD693" t="n">
        <v>3</v>
      </c>
      <c r="AE693" t="n">
        <v>4</v>
      </c>
      <c r="AF693" t="n">
        <v>22</v>
      </c>
      <c r="AG693" t="n">
        <v>31</v>
      </c>
      <c r="AH693" t="n">
        <v>10</v>
      </c>
      <c r="AI693" t="n">
        <v>13</v>
      </c>
      <c r="AJ693" t="n">
        <v>2</v>
      </c>
      <c r="AK693" t="n">
        <v>6</v>
      </c>
      <c r="AL693" t="n">
        <v>12</v>
      </c>
      <c r="AM693" t="n">
        <v>16</v>
      </c>
      <c r="AN693" t="n">
        <v>2</v>
      </c>
      <c r="AO693" t="n">
        <v>3</v>
      </c>
      <c r="AP693" t="n">
        <v>0</v>
      </c>
      <c r="AQ693" t="n">
        <v>0</v>
      </c>
      <c r="AR693" t="inlineStr">
        <is>
          <t>No</t>
        </is>
      </c>
      <c r="AS693" t="inlineStr">
        <is>
          <t>Yes</t>
        </is>
      </c>
      <c r="AT693">
        <f>HYPERLINK("http://catalog.hathitrust.org/Record/004174145","HathiTrust Record")</f>
        <v/>
      </c>
      <c r="AU693">
        <f>HYPERLINK("https://creighton-primo.hosted.exlibrisgroup.com/primo-explore/search?tab=default_tab&amp;search_scope=EVERYTHING&amp;vid=01CRU&amp;lang=en_US&amp;offset=0&amp;query=any,contains,991000295099702656","Catalog Record")</f>
        <v/>
      </c>
      <c r="AV693">
        <f>HYPERLINK("http://www.worldcat.org/oclc/45500356","WorldCat Record")</f>
        <v/>
      </c>
      <c r="AW693" t="inlineStr">
        <is>
          <t>408451:eng</t>
        </is>
      </c>
      <c r="AX693" t="inlineStr">
        <is>
          <t>45500356</t>
        </is>
      </c>
      <c r="AY693" t="inlineStr">
        <is>
          <t>991000295099702656</t>
        </is>
      </c>
      <c r="AZ693" t="inlineStr">
        <is>
          <t>991000295099702656</t>
        </is>
      </c>
      <c r="BA693" t="inlineStr">
        <is>
          <t>2272706880002656</t>
        </is>
      </c>
      <c r="BB693" t="inlineStr">
        <is>
          <t>BOOK</t>
        </is>
      </c>
      <c r="BE693" t="inlineStr">
        <is>
          <t>30001004560654</t>
        </is>
      </c>
      <c r="BF693" t="inlineStr">
        <is>
          <t>893456511</t>
        </is>
      </c>
    </row>
    <row r="694">
      <c r="A694" t="inlineStr">
        <is>
          <t>No</t>
        </is>
      </c>
      <c r="B694" t="inlineStr">
        <is>
          <t>CUHSL</t>
        </is>
      </c>
      <c r="C694" t="inlineStr">
        <is>
          <t>SHELVES</t>
        </is>
      </c>
      <c r="D694" t="inlineStr">
        <is>
          <t>WY 85 B468e 1992</t>
        </is>
      </c>
      <c r="E694" t="inlineStr">
        <is>
          <t>0                      WY 0085000B  468e        1992</t>
        </is>
      </c>
      <c r="F694" t="inlineStr">
        <is>
          <t>Ethics in nursing / Martin Benjamin, Joy Curtis.</t>
        </is>
      </c>
      <c r="H694" t="inlineStr">
        <is>
          <t>No</t>
        </is>
      </c>
      <c r="I694" t="inlineStr">
        <is>
          <t>1</t>
        </is>
      </c>
      <c r="J694" t="inlineStr">
        <is>
          <t>No</t>
        </is>
      </c>
      <c r="K694" t="inlineStr">
        <is>
          <t>Yes</t>
        </is>
      </c>
      <c r="L694" t="inlineStr">
        <is>
          <t>1</t>
        </is>
      </c>
      <c r="M694" t="inlineStr">
        <is>
          <t>Benjamin, Martin.</t>
        </is>
      </c>
      <c r="N694" t="inlineStr">
        <is>
          <t>New York : Oxford University Press, c1992.</t>
        </is>
      </c>
      <c r="O694" t="inlineStr">
        <is>
          <t>1992</t>
        </is>
      </c>
      <c r="P694" t="inlineStr">
        <is>
          <t>3rd ed.</t>
        </is>
      </c>
      <c r="Q694" t="inlineStr">
        <is>
          <t>eng</t>
        </is>
      </c>
      <c r="R694" t="inlineStr">
        <is>
          <t>nyu</t>
        </is>
      </c>
      <c r="T694" t="inlineStr">
        <is>
          <t xml:space="preserve">WY </t>
        </is>
      </c>
      <c r="U694" t="n">
        <v>16</v>
      </c>
      <c r="V694" t="n">
        <v>16</v>
      </c>
      <c r="W694" t="inlineStr">
        <is>
          <t>2005-08-11</t>
        </is>
      </c>
      <c r="X694" t="inlineStr">
        <is>
          <t>2005-08-11</t>
        </is>
      </c>
      <c r="Y694" t="inlineStr">
        <is>
          <t>1992-02-18</t>
        </is>
      </c>
      <c r="Z694" t="inlineStr">
        <is>
          <t>1992-02-18</t>
        </is>
      </c>
      <c r="AA694" t="n">
        <v>593</v>
      </c>
      <c r="AB694" t="n">
        <v>448</v>
      </c>
      <c r="AC694" t="n">
        <v>1656</v>
      </c>
      <c r="AD694" t="n">
        <v>1</v>
      </c>
      <c r="AE694" t="n">
        <v>17</v>
      </c>
      <c r="AF694" t="n">
        <v>17</v>
      </c>
      <c r="AG694" t="n">
        <v>69</v>
      </c>
      <c r="AH694" t="n">
        <v>7</v>
      </c>
      <c r="AI694" t="n">
        <v>25</v>
      </c>
      <c r="AJ694" t="n">
        <v>3</v>
      </c>
      <c r="AK694" t="n">
        <v>12</v>
      </c>
      <c r="AL694" t="n">
        <v>10</v>
      </c>
      <c r="AM694" t="n">
        <v>25</v>
      </c>
      <c r="AN694" t="n">
        <v>0</v>
      </c>
      <c r="AO694" t="n">
        <v>14</v>
      </c>
      <c r="AP694" t="n">
        <v>1</v>
      </c>
      <c r="AQ694" t="n">
        <v>6</v>
      </c>
      <c r="AR694" t="inlineStr">
        <is>
          <t>No</t>
        </is>
      </c>
      <c r="AS694" t="inlineStr">
        <is>
          <t>No</t>
        </is>
      </c>
      <c r="AU694">
        <f>HYPERLINK("https://creighton-primo.hosted.exlibrisgroup.com/primo-explore/search?tab=default_tab&amp;search_scope=EVERYTHING&amp;vid=01CRU&amp;lang=en_US&amp;offset=0&amp;query=any,contains,991001033059702656","Catalog Record")</f>
        <v/>
      </c>
      <c r="AV694">
        <f>HYPERLINK("http://www.worldcat.org/oclc/23687643","WorldCat Record")</f>
        <v/>
      </c>
      <c r="AW694" t="inlineStr">
        <is>
          <t>5672113:eng</t>
        </is>
      </c>
      <c r="AX694" t="inlineStr">
        <is>
          <t>23687643</t>
        </is>
      </c>
      <c r="AY694" t="inlineStr">
        <is>
          <t>991001033059702656</t>
        </is>
      </c>
      <c r="AZ694" t="inlineStr">
        <is>
          <t>991001033059702656</t>
        </is>
      </c>
      <c r="BA694" t="inlineStr">
        <is>
          <t>2268014670002656</t>
        </is>
      </c>
      <c r="BB694" t="inlineStr">
        <is>
          <t>BOOK</t>
        </is>
      </c>
      <c r="BD694" t="inlineStr">
        <is>
          <t>9780195067477</t>
        </is>
      </c>
      <c r="BE694" t="inlineStr">
        <is>
          <t>30001002244194</t>
        </is>
      </c>
      <c r="BF694" t="inlineStr">
        <is>
          <t>893450793</t>
        </is>
      </c>
    </row>
    <row r="695">
      <c r="A695" t="inlineStr">
        <is>
          <t>No</t>
        </is>
      </c>
      <c r="B695" t="inlineStr">
        <is>
          <t>CUHSL</t>
        </is>
      </c>
      <c r="C695" t="inlineStr">
        <is>
          <t>SHELVES</t>
        </is>
      </c>
      <c r="D695" t="inlineStr">
        <is>
          <t>WY 85 B613n 2000</t>
        </is>
      </c>
      <c r="E695" t="inlineStr">
        <is>
          <t>0                      WY 0085000B  613n        2000</t>
        </is>
      </c>
      <c r="F695" t="inlineStr">
        <is>
          <t>Nursing ethics : holistic caring practice / Anne H. Bishop, John R. Scudder, Jr.</t>
        </is>
      </c>
      <c r="H695" t="inlineStr">
        <is>
          <t>No</t>
        </is>
      </c>
      <c r="I695" t="inlineStr">
        <is>
          <t>1</t>
        </is>
      </c>
      <c r="J695" t="inlineStr">
        <is>
          <t>No</t>
        </is>
      </c>
      <c r="K695" t="inlineStr">
        <is>
          <t>No</t>
        </is>
      </c>
      <c r="L695" t="inlineStr">
        <is>
          <t>0</t>
        </is>
      </c>
      <c r="M695" t="inlineStr">
        <is>
          <t>Bishop, Anne H., 1935-</t>
        </is>
      </c>
      <c r="N695" t="inlineStr">
        <is>
          <t>Sudbury, Mass. : Jones and Bartlett, c2000.</t>
        </is>
      </c>
      <c r="O695" t="inlineStr">
        <is>
          <t>2000</t>
        </is>
      </c>
      <c r="P695" t="inlineStr">
        <is>
          <t>2nd ed.</t>
        </is>
      </c>
      <c r="Q695" t="inlineStr">
        <is>
          <t>eng</t>
        </is>
      </c>
      <c r="R695" t="inlineStr">
        <is>
          <t>mau</t>
        </is>
      </c>
      <c r="S695" t="inlineStr">
        <is>
          <t>NLN Pub. No. 14-4267</t>
        </is>
      </c>
      <c r="T695" t="inlineStr">
        <is>
          <t xml:space="preserve">WY </t>
        </is>
      </c>
      <c r="U695" t="n">
        <v>4</v>
      </c>
      <c r="V695" t="n">
        <v>4</v>
      </c>
      <c r="W695" t="inlineStr">
        <is>
          <t>2007-04-13</t>
        </is>
      </c>
      <c r="X695" t="inlineStr">
        <is>
          <t>2007-04-13</t>
        </is>
      </c>
      <c r="Y695" t="inlineStr">
        <is>
          <t>2001-12-16</t>
        </is>
      </c>
      <c r="Z695" t="inlineStr">
        <is>
          <t>2001-12-16</t>
        </is>
      </c>
      <c r="AA695" t="n">
        <v>421</v>
      </c>
      <c r="AB695" t="n">
        <v>353</v>
      </c>
      <c r="AC695" t="n">
        <v>356</v>
      </c>
      <c r="AD695" t="n">
        <v>3</v>
      </c>
      <c r="AE695" t="n">
        <v>3</v>
      </c>
      <c r="AF695" t="n">
        <v>20</v>
      </c>
      <c r="AG695" t="n">
        <v>20</v>
      </c>
      <c r="AH695" t="n">
        <v>9</v>
      </c>
      <c r="AI695" t="n">
        <v>9</v>
      </c>
      <c r="AJ695" t="n">
        <v>5</v>
      </c>
      <c r="AK695" t="n">
        <v>5</v>
      </c>
      <c r="AL695" t="n">
        <v>9</v>
      </c>
      <c r="AM695" t="n">
        <v>9</v>
      </c>
      <c r="AN695" t="n">
        <v>1</v>
      </c>
      <c r="AO695" t="n">
        <v>1</v>
      </c>
      <c r="AP695" t="n">
        <v>0</v>
      </c>
      <c r="AQ695" t="n">
        <v>0</v>
      </c>
      <c r="AR695" t="inlineStr">
        <is>
          <t>No</t>
        </is>
      </c>
      <c r="AS695" t="inlineStr">
        <is>
          <t>Yes</t>
        </is>
      </c>
      <c r="AT695">
        <f>HYPERLINK("http://catalog.hathitrust.org/Record/003541470","HathiTrust Record")</f>
        <v/>
      </c>
      <c r="AU695">
        <f>HYPERLINK("https://creighton-primo.hosted.exlibrisgroup.com/primo-explore/search?tab=default_tab&amp;search_scope=EVERYTHING&amp;vid=01CRU&amp;lang=en_US&amp;offset=0&amp;query=any,contains,991000296039702656","Catalog Record")</f>
        <v/>
      </c>
      <c r="AV695">
        <f>HYPERLINK("http://www.worldcat.org/oclc/43801020","WorldCat Record")</f>
        <v/>
      </c>
      <c r="AW695" t="inlineStr">
        <is>
          <t>44784948:eng</t>
        </is>
      </c>
      <c r="AX695" t="inlineStr">
        <is>
          <t>43801020</t>
        </is>
      </c>
      <c r="AY695" t="inlineStr">
        <is>
          <t>991000296039702656</t>
        </is>
      </c>
      <c r="AZ695" t="inlineStr">
        <is>
          <t>991000296039702656</t>
        </is>
      </c>
      <c r="BA695" t="inlineStr">
        <is>
          <t>2257438420002656</t>
        </is>
      </c>
      <c r="BB695" t="inlineStr">
        <is>
          <t>BOOK</t>
        </is>
      </c>
      <c r="BD695" t="inlineStr">
        <is>
          <t>9780763714260</t>
        </is>
      </c>
      <c r="BE695" t="inlineStr">
        <is>
          <t>30001004470508</t>
        </is>
      </c>
      <c r="BF695" t="inlineStr">
        <is>
          <t>893629018</t>
        </is>
      </c>
    </row>
    <row r="696">
      <c r="A696" t="inlineStr">
        <is>
          <t>No</t>
        </is>
      </c>
      <c r="B696" t="inlineStr">
        <is>
          <t>CUHSL</t>
        </is>
      </c>
      <c r="C696" t="inlineStr">
        <is>
          <t>SHELVES</t>
        </is>
      </c>
      <c r="D696" t="inlineStr">
        <is>
          <t>WY 85 B959e 1998</t>
        </is>
      </c>
      <c r="E696" t="inlineStr">
        <is>
          <t>0                      WY 0085000B  959e        1998</t>
        </is>
      </c>
      <c r="F696" t="inlineStr">
        <is>
          <t>Ethics &amp; issues in contemporary nursing / Margaret A. Burkhardt, Alvita K. Nathaniel.</t>
        </is>
      </c>
      <c r="H696" t="inlineStr">
        <is>
          <t>No</t>
        </is>
      </c>
      <c r="I696" t="inlineStr">
        <is>
          <t>1</t>
        </is>
      </c>
      <c r="J696" t="inlineStr">
        <is>
          <t>No</t>
        </is>
      </c>
      <c r="K696" t="inlineStr">
        <is>
          <t>Yes</t>
        </is>
      </c>
      <c r="L696" t="inlineStr">
        <is>
          <t>0</t>
        </is>
      </c>
      <c r="M696" t="inlineStr">
        <is>
          <t>Burkhardt, Margaret A.</t>
        </is>
      </c>
      <c r="N696" t="inlineStr">
        <is>
          <t>Albany, N.Y. : Delmar, c1998.</t>
        </is>
      </c>
      <c r="O696" t="inlineStr">
        <is>
          <t>1998</t>
        </is>
      </c>
      <c r="Q696" t="inlineStr">
        <is>
          <t>eng</t>
        </is>
      </c>
      <c r="R696" t="inlineStr">
        <is>
          <t>nyu</t>
        </is>
      </c>
      <c r="T696" t="inlineStr">
        <is>
          <t xml:space="preserve">WY </t>
        </is>
      </c>
      <c r="U696" t="n">
        <v>11</v>
      </c>
      <c r="V696" t="n">
        <v>11</v>
      </c>
      <c r="W696" t="inlineStr">
        <is>
          <t>2004-02-03</t>
        </is>
      </c>
      <c r="X696" t="inlineStr">
        <is>
          <t>2004-02-03</t>
        </is>
      </c>
      <c r="Y696" t="inlineStr">
        <is>
          <t>1999-09-24</t>
        </is>
      </c>
      <c r="Z696" t="inlineStr">
        <is>
          <t>1999-09-24</t>
        </is>
      </c>
      <c r="AA696" t="n">
        <v>246</v>
      </c>
      <c r="AB696" t="n">
        <v>187</v>
      </c>
      <c r="AC696" t="n">
        <v>990</v>
      </c>
      <c r="AD696" t="n">
        <v>2</v>
      </c>
      <c r="AE696" t="n">
        <v>4</v>
      </c>
      <c r="AF696" t="n">
        <v>7</v>
      </c>
      <c r="AG696" t="n">
        <v>29</v>
      </c>
      <c r="AH696" t="n">
        <v>3</v>
      </c>
      <c r="AI696" t="n">
        <v>11</v>
      </c>
      <c r="AJ696" t="n">
        <v>1</v>
      </c>
      <c r="AK696" t="n">
        <v>5</v>
      </c>
      <c r="AL696" t="n">
        <v>4</v>
      </c>
      <c r="AM696" t="n">
        <v>15</v>
      </c>
      <c r="AN696" t="n">
        <v>1</v>
      </c>
      <c r="AO696" t="n">
        <v>3</v>
      </c>
      <c r="AP696" t="n">
        <v>0</v>
      </c>
      <c r="AQ696" t="n">
        <v>0</v>
      </c>
      <c r="AR696" t="inlineStr">
        <is>
          <t>No</t>
        </is>
      </c>
      <c r="AS696" t="inlineStr">
        <is>
          <t>No</t>
        </is>
      </c>
      <c r="AU696">
        <f>HYPERLINK("https://creighton-primo.hosted.exlibrisgroup.com/primo-explore/search?tab=default_tab&amp;search_scope=EVERYTHING&amp;vid=01CRU&amp;lang=en_US&amp;offset=0&amp;query=any,contains,991000596099702656","Catalog Record")</f>
        <v/>
      </c>
      <c r="AV696">
        <f>HYPERLINK("http://www.worldcat.org/oclc/37696623","WorldCat Record")</f>
        <v/>
      </c>
      <c r="AW696" t="inlineStr">
        <is>
          <t>9530435:eng</t>
        </is>
      </c>
      <c r="AX696" t="inlineStr">
        <is>
          <t>37696623</t>
        </is>
      </c>
      <c r="AY696" t="inlineStr">
        <is>
          <t>991000596099702656</t>
        </is>
      </c>
      <c r="AZ696" t="inlineStr">
        <is>
          <t>991000596099702656</t>
        </is>
      </c>
      <c r="BA696" t="inlineStr">
        <is>
          <t>2270374600002656</t>
        </is>
      </c>
      <c r="BB696" t="inlineStr">
        <is>
          <t>BOOK</t>
        </is>
      </c>
      <c r="BD696" t="inlineStr">
        <is>
          <t>9780827377028</t>
        </is>
      </c>
      <c r="BE696" t="inlineStr">
        <is>
          <t>30001004015105</t>
        </is>
      </c>
      <c r="BF696" t="inlineStr">
        <is>
          <t>893647490</t>
        </is>
      </c>
    </row>
    <row r="697">
      <c r="A697" t="inlineStr">
        <is>
          <t>No</t>
        </is>
      </c>
      <c r="B697" t="inlineStr">
        <is>
          <t>CUHSL</t>
        </is>
      </c>
      <c r="C697" t="inlineStr">
        <is>
          <t>SHELVES</t>
        </is>
      </c>
      <c r="D697" t="inlineStr">
        <is>
          <t>WY 85 C456 1981</t>
        </is>
      </c>
      <c r="E697" t="inlineStr">
        <is>
          <t>0                      WY 0085000C  456         1981</t>
        </is>
      </c>
      <c r="F697" t="inlineStr">
        <is>
          <t>Changing conceptions of health care : public policy &amp; ethical issues for nurses / Marie E. Cowart, Rodney F. Allen, [editors].</t>
        </is>
      </c>
      <c r="H697" t="inlineStr">
        <is>
          <t>No</t>
        </is>
      </c>
      <c r="I697" t="inlineStr">
        <is>
          <t>1</t>
        </is>
      </c>
      <c r="J697" t="inlineStr">
        <is>
          <t>No</t>
        </is>
      </c>
      <c r="K697" t="inlineStr">
        <is>
          <t>No</t>
        </is>
      </c>
      <c r="L697" t="inlineStr">
        <is>
          <t>0</t>
        </is>
      </c>
      <c r="N697" t="inlineStr">
        <is>
          <t>Thorofare, N.J. : C.B. Slack, c1981.</t>
        </is>
      </c>
      <c r="O697" t="inlineStr">
        <is>
          <t>1981</t>
        </is>
      </c>
      <c r="Q697" t="inlineStr">
        <is>
          <t>eng</t>
        </is>
      </c>
      <c r="R697" t="inlineStr">
        <is>
          <t>xxu</t>
        </is>
      </c>
      <c r="T697" t="inlineStr">
        <is>
          <t xml:space="preserve">WY </t>
        </is>
      </c>
      <c r="U697" t="n">
        <v>4</v>
      </c>
      <c r="V697" t="n">
        <v>4</v>
      </c>
      <c r="W697" t="inlineStr">
        <is>
          <t>1992-03-20</t>
        </is>
      </c>
      <c r="X697" t="inlineStr">
        <is>
          <t>1992-03-20</t>
        </is>
      </c>
      <c r="Y697" t="inlineStr">
        <is>
          <t>1987-12-29</t>
        </is>
      </c>
      <c r="Z697" t="inlineStr">
        <is>
          <t>1987-12-29</t>
        </is>
      </c>
      <c r="AA697" t="n">
        <v>144</v>
      </c>
      <c r="AB697" t="n">
        <v>127</v>
      </c>
      <c r="AC697" t="n">
        <v>128</v>
      </c>
      <c r="AD697" t="n">
        <v>2</v>
      </c>
      <c r="AE697" t="n">
        <v>2</v>
      </c>
      <c r="AF697" t="n">
        <v>7</v>
      </c>
      <c r="AG697" t="n">
        <v>7</v>
      </c>
      <c r="AH697" t="n">
        <v>1</v>
      </c>
      <c r="AI697" t="n">
        <v>1</v>
      </c>
      <c r="AJ697" t="n">
        <v>2</v>
      </c>
      <c r="AK697" t="n">
        <v>2</v>
      </c>
      <c r="AL697" t="n">
        <v>6</v>
      </c>
      <c r="AM697" t="n">
        <v>6</v>
      </c>
      <c r="AN697" t="n">
        <v>1</v>
      </c>
      <c r="AO697" t="n">
        <v>1</v>
      </c>
      <c r="AP697" t="n">
        <v>0</v>
      </c>
      <c r="AQ697" t="n">
        <v>0</v>
      </c>
      <c r="AR697" t="inlineStr">
        <is>
          <t>No</t>
        </is>
      </c>
      <c r="AS697" t="inlineStr">
        <is>
          <t>Yes</t>
        </is>
      </c>
      <c r="AT697">
        <f>HYPERLINK("http://catalog.hathitrust.org/Record/008466386","HathiTrust Record")</f>
        <v/>
      </c>
      <c r="AU697">
        <f>HYPERLINK("https://creighton-primo.hosted.exlibrisgroup.com/primo-explore/search?tab=default_tab&amp;search_scope=EVERYTHING&amp;vid=01CRU&amp;lang=en_US&amp;offset=0&amp;query=any,contains,991001133129702656","Catalog Record")</f>
        <v/>
      </c>
      <c r="AV697">
        <f>HYPERLINK("http://www.worldcat.org/oclc/8473614","WorldCat Record")</f>
        <v/>
      </c>
      <c r="AW697" t="inlineStr">
        <is>
          <t>558423:eng</t>
        </is>
      </c>
      <c r="AX697" t="inlineStr">
        <is>
          <t>8473614</t>
        </is>
      </c>
      <c r="AY697" t="inlineStr">
        <is>
          <t>991001133129702656</t>
        </is>
      </c>
      <c r="AZ697" t="inlineStr">
        <is>
          <t>991001133129702656</t>
        </is>
      </c>
      <c r="BA697" t="inlineStr">
        <is>
          <t>2262692960002656</t>
        </is>
      </c>
      <c r="BB697" t="inlineStr">
        <is>
          <t>BOOK</t>
        </is>
      </c>
      <c r="BD697" t="inlineStr">
        <is>
          <t>9780913590812</t>
        </is>
      </c>
      <c r="BE697" t="inlineStr">
        <is>
          <t>30001000285736</t>
        </is>
      </c>
      <c r="BF697" t="inlineStr">
        <is>
          <t>893820937</t>
        </is>
      </c>
    </row>
    <row r="698">
      <c r="A698" t="inlineStr">
        <is>
          <t>No</t>
        </is>
      </c>
      <c r="B698" t="inlineStr">
        <is>
          <t>CUHSL</t>
        </is>
      </c>
      <c r="C698" t="inlineStr">
        <is>
          <t>SHELVES</t>
        </is>
      </c>
      <c r="D698" t="inlineStr">
        <is>
          <t>WY 85 C978n 1982</t>
        </is>
      </c>
      <c r="E698" t="inlineStr">
        <is>
          <t>0                      WY 0085000C  978n        1982</t>
        </is>
      </c>
      <c r="F698" t="inlineStr">
        <is>
          <t>Nursing ethics--theories and pragmatics / Leah Curtin, M. Josephine Flaherty.</t>
        </is>
      </c>
      <c r="H698" t="inlineStr">
        <is>
          <t>No</t>
        </is>
      </c>
      <c r="I698" t="inlineStr">
        <is>
          <t>1</t>
        </is>
      </c>
      <c r="J698" t="inlineStr">
        <is>
          <t>No</t>
        </is>
      </c>
      <c r="K698" t="inlineStr">
        <is>
          <t>No</t>
        </is>
      </c>
      <c r="L698" t="inlineStr">
        <is>
          <t>0</t>
        </is>
      </c>
      <c r="M698" t="inlineStr">
        <is>
          <t>Curtin, Leah.</t>
        </is>
      </c>
      <c r="N698" t="inlineStr">
        <is>
          <t>Bowie, Md. : Brady, c1982.</t>
        </is>
      </c>
      <c r="O698" t="inlineStr">
        <is>
          <t>1982</t>
        </is>
      </c>
      <c r="Q698" t="inlineStr">
        <is>
          <t>eng</t>
        </is>
      </c>
      <c r="R698" t="inlineStr">
        <is>
          <t>xxu</t>
        </is>
      </c>
      <c r="T698" t="inlineStr">
        <is>
          <t xml:space="preserve">WY </t>
        </is>
      </c>
      <c r="U698" t="n">
        <v>8</v>
      </c>
      <c r="V698" t="n">
        <v>8</v>
      </c>
      <c r="W698" t="inlineStr">
        <is>
          <t>2007-04-13</t>
        </is>
      </c>
      <c r="X698" t="inlineStr">
        <is>
          <t>2007-04-13</t>
        </is>
      </c>
      <c r="Y698" t="inlineStr">
        <is>
          <t>1987-12-29</t>
        </is>
      </c>
      <c r="Z698" t="inlineStr">
        <is>
          <t>1987-12-29</t>
        </is>
      </c>
      <c r="AA698" t="n">
        <v>461</v>
      </c>
      <c r="AB698" t="n">
        <v>358</v>
      </c>
      <c r="AC698" t="n">
        <v>361</v>
      </c>
      <c r="AD698" t="n">
        <v>5</v>
      </c>
      <c r="AE698" t="n">
        <v>5</v>
      </c>
      <c r="AF698" t="n">
        <v>17</v>
      </c>
      <c r="AG698" t="n">
        <v>17</v>
      </c>
      <c r="AH698" t="n">
        <v>10</v>
      </c>
      <c r="AI698" t="n">
        <v>10</v>
      </c>
      <c r="AJ698" t="n">
        <v>3</v>
      </c>
      <c r="AK698" t="n">
        <v>3</v>
      </c>
      <c r="AL698" t="n">
        <v>6</v>
      </c>
      <c r="AM698" t="n">
        <v>6</v>
      </c>
      <c r="AN698" t="n">
        <v>3</v>
      </c>
      <c r="AO698" t="n">
        <v>3</v>
      </c>
      <c r="AP698" t="n">
        <v>0</v>
      </c>
      <c r="AQ698" t="n">
        <v>0</v>
      </c>
      <c r="AR698" t="inlineStr">
        <is>
          <t>No</t>
        </is>
      </c>
      <c r="AS698" t="inlineStr">
        <is>
          <t>Yes</t>
        </is>
      </c>
      <c r="AT698">
        <f>HYPERLINK("http://catalog.hathitrust.org/Record/000192547","HathiTrust Record")</f>
        <v/>
      </c>
      <c r="AU698">
        <f>HYPERLINK("https://creighton-primo.hosted.exlibrisgroup.com/primo-explore/search?tab=default_tab&amp;search_scope=EVERYTHING&amp;vid=01CRU&amp;lang=en_US&amp;offset=0&amp;query=any,contains,991001132309702656","Catalog Record")</f>
        <v/>
      </c>
      <c r="AV698">
        <f>HYPERLINK("http://www.worldcat.org/oclc/7978009","WorldCat Record")</f>
        <v/>
      </c>
      <c r="AW698" t="inlineStr">
        <is>
          <t>180125554:eng</t>
        </is>
      </c>
      <c r="AX698" t="inlineStr">
        <is>
          <t>7978009</t>
        </is>
      </c>
      <c r="AY698" t="inlineStr">
        <is>
          <t>991001132309702656</t>
        </is>
      </c>
      <c r="AZ698" t="inlineStr">
        <is>
          <t>991001132309702656</t>
        </is>
      </c>
      <c r="BA698" t="inlineStr">
        <is>
          <t>2271055190002656</t>
        </is>
      </c>
      <c r="BB698" t="inlineStr">
        <is>
          <t>BOOK</t>
        </is>
      </c>
      <c r="BD698" t="inlineStr">
        <is>
          <t>9780893030513</t>
        </is>
      </c>
      <c r="BE698" t="inlineStr">
        <is>
          <t>30001000285462</t>
        </is>
      </c>
      <c r="BF698" t="inlineStr">
        <is>
          <t>893727273</t>
        </is>
      </c>
    </row>
    <row r="699">
      <c r="A699" t="inlineStr">
        <is>
          <t>No</t>
        </is>
      </c>
      <c r="B699" t="inlineStr">
        <is>
          <t>CUHSL</t>
        </is>
      </c>
      <c r="C699" t="inlineStr">
        <is>
          <t>SHELVES</t>
        </is>
      </c>
      <c r="D699" t="inlineStr">
        <is>
          <t>WY 85 D261e 1978</t>
        </is>
      </c>
      <c r="E699" t="inlineStr">
        <is>
          <t>0                      WY 0085000D  261e        1978</t>
        </is>
      </c>
      <c r="F699" t="inlineStr">
        <is>
          <t>Ethical dilemmas and nursing practice / Anne J. Davis, Mila A. Aroskar.</t>
        </is>
      </c>
      <c r="H699" t="inlineStr">
        <is>
          <t>No</t>
        </is>
      </c>
      <c r="I699" t="inlineStr">
        <is>
          <t>1</t>
        </is>
      </c>
      <c r="J699" t="inlineStr">
        <is>
          <t>No</t>
        </is>
      </c>
      <c r="K699" t="inlineStr">
        <is>
          <t>Yes</t>
        </is>
      </c>
      <c r="L699" t="inlineStr">
        <is>
          <t>0</t>
        </is>
      </c>
      <c r="M699" t="inlineStr">
        <is>
          <t>Davis, Anne J., 1931-</t>
        </is>
      </c>
      <c r="N699" t="inlineStr">
        <is>
          <t>-- New York : Appleton-Century-Crofts, c1978.</t>
        </is>
      </c>
      <c r="O699" t="inlineStr">
        <is>
          <t>1978</t>
        </is>
      </c>
      <c r="Q699" t="inlineStr">
        <is>
          <t>eng</t>
        </is>
      </c>
      <c r="R699" t="inlineStr">
        <is>
          <t>nyu</t>
        </is>
      </c>
      <c r="T699" t="inlineStr">
        <is>
          <t xml:space="preserve">WY </t>
        </is>
      </c>
      <c r="U699" t="n">
        <v>9</v>
      </c>
      <c r="V699" t="n">
        <v>9</v>
      </c>
      <c r="W699" t="inlineStr">
        <is>
          <t>1994-03-31</t>
        </is>
      </c>
      <c r="X699" t="inlineStr">
        <is>
          <t>1994-03-31</t>
        </is>
      </c>
      <c r="Y699" t="inlineStr">
        <is>
          <t>1987-12-29</t>
        </is>
      </c>
      <c r="Z699" t="inlineStr">
        <is>
          <t>1987-12-29</t>
        </is>
      </c>
      <c r="AA699" t="n">
        <v>331</v>
      </c>
      <c r="AB699" t="n">
        <v>265</v>
      </c>
      <c r="AC699" t="n">
        <v>978</v>
      </c>
      <c r="AD699" t="n">
        <v>2</v>
      </c>
      <c r="AE699" t="n">
        <v>6</v>
      </c>
      <c r="AF699" t="n">
        <v>14</v>
      </c>
      <c r="AG699" t="n">
        <v>38</v>
      </c>
      <c r="AH699" t="n">
        <v>7</v>
      </c>
      <c r="AI699" t="n">
        <v>17</v>
      </c>
      <c r="AJ699" t="n">
        <v>3</v>
      </c>
      <c r="AK699" t="n">
        <v>6</v>
      </c>
      <c r="AL699" t="n">
        <v>6</v>
      </c>
      <c r="AM699" t="n">
        <v>14</v>
      </c>
      <c r="AN699" t="n">
        <v>0</v>
      </c>
      <c r="AO699" t="n">
        <v>4</v>
      </c>
      <c r="AP699" t="n">
        <v>0</v>
      </c>
      <c r="AQ699" t="n">
        <v>2</v>
      </c>
      <c r="AR699" t="inlineStr">
        <is>
          <t>No</t>
        </is>
      </c>
      <c r="AS699" t="inlineStr">
        <is>
          <t>Yes</t>
        </is>
      </c>
      <c r="AT699">
        <f>HYPERLINK("http://catalog.hathitrust.org/Record/000174304","HathiTrust Record")</f>
        <v/>
      </c>
      <c r="AU699">
        <f>HYPERLINK("https://creighton-primo.hosted.exlibrisgroup.com/primo-explore/search?tab=default_tab&amp;search_scope=EVERYTHING&amp;vid=01CRU&amp;lang=en_US&amp;offset=0&amp;query=any,contains,991001132439702656","Catalog Record")</f>
        <v/>
      </c>
      <c r="AV699">
        <f>HYPERLINK("http://www.worldcat.org/oclc/3917728","WorldCat Record")</f>
        <v/>
      </c>
      <c r="AW699" t="inlineStr">
        <is>
          <t>13284500:eng</t>
        </is>
      </c>
      <c r="AX699" t="inlineStr">
        <is>
          <t>3917728</t>
        </is>
      </c>
      <c r="AY699" t="inlineStr">
        <is>
          <t>991001132439702656</t>
        </is>
      </c>
      <c r="AZ699" t="inlineStr">
        <is>
          <t>991001132439702656</t>
        </is>
      </c>
      <c r="BA699" t="inlineStr">
        <is>
          <t>2262322180002656</t>
        </is>
      </c>
      <c r="BB699" t="inlineStr">
        <is>
          <t>BOOK</t>
        </is>
      </c>
      <c r="BD699" t="inlineStr">
        <is>
          <t>9780838522738</t>
        </is>
      </c>
      <c r="BE699" t="inlineStr">
        <is>
          <t>30001000285470</t>
        </is>
      </c>
      <c r="BF699" t="inlineStr">
        <is>
          <t>893168035</t>
        </is>
      </c>
    </row>
    <row r="700">
      <c r="A700" t="inlineStr">
        <is>
          <t>No</t>
        </is>
      </c>
      <c r="B700" t="inlineStr">
        <is>
          <t>CUHSL</t>
        </is>
      </c>
      <c r="C700" t="inlineStr">
        <is>
          <t>SHELVES</t>
        </is>
      </c>
      <c r="D700" t="inlineStr">
        <is>
          <t>WY 85 D261e 1991</t>
        </is>
      </c>
      <c r="E700" t="inlineStr">
        <is>
          <t>0                      WY 0085000D  261e        1991</t>
        </is>
      </c>
      <c r="F700" t="inlineStr">
        <is>
          <t>Ethical dilemmas and nursing practice / Anne J. Davis, Mila A. Aroskar.</t>
        </is>
      </c>
      <c r="H700" t="inlineStr">
        <is>
          <t>No</t>
        </is>
      </c>
      <c r="I700" t="inlineStr">
        <is>
          <t>1</t>
        </is>
      </c>
      <c r="J700" t="inlineStr">
        <is>
          <t>No</t>
        </is>
      </c>
      <c r="K700" t="inlineStr">
        <is>
          <t>Yes</t>
        </is>
      </c>
      <c r="L700" t="inlineStr">
        <is>
          <t>0</t>
        </is>
      </c>
      <c r="M700" t="inlineStr">
        <is>
          <t>Davis, Anne J., 1931-</t>
        </is>
      </c>
      <c r="N700" t="inlineStr">
        <is>
          <t>Norwalk, Conn. : Appleton &amp; Lange, c1991.</t>
        </is>
      </c>
      <c r="O700" t="inlineStr">
        <is>
          <t>1991</t>
        </is>
      </c>
      <c r="P700" t="inlineStr">
        <is>
          <t>3rd ed.</t>
        </is>
      </c>
      <c r="Q700" t="inlineStr">
        <is>
          <t>eng</t>
        </is>
      </c>
      <c r="R700" t="inlineStr">
        <is>
          <t>ctu</t>
        </is>
      </c>
      <c r="T700" t="inlineStr">
        <is>
          <t xml:space="preserve">WY </t>
        </is>
      </c>
      <c r="U700" t="n">
        <v>8</v>
      </c>
      <c r="V700" t="n">
        <v>8</v>
      </c>
      <c r="W700" t="inlineStr">
        <is>
          <t>2007-04-13</t>
        </is>
      </c>
      <c r="X700" t="inlineStr">
        <is>
          <t>2007-04-13</t>
        </is>
      </c>
      <c r="Y700" t="inlineStr">
        <is>
          <t>1991-12-18</t>
        </is>
      </c>
      <c r="Z700" t="inlineStr">
        <is>
          <t>1991-12-18</t>
        </is>
      </c>
      <c r="AA700" t="n">
        <v>358</v>
      </c>
      <c r="AB700" t="n">
        <v>258</v>
      </c>
      <c r="AC700" t="n">
        <v>978</v>
      </c>
      <c r="AD700" t="n">
        <v>3</v>
      </c>
      <c r="AE700" t="n">
        <v>6</v>
      </c>
      <c r="AF700" t="n">
        <v>7</v>
      </c>
      <c r="AG700" t="n">
        <v>38</v>
      </c>
      <c r="AH700" t="n">
        <v>2</v>
      </c>
      <c r="AI700" t="n">
        <v>17</v>
      </c>
      <c r="AJ700" t="n">
        <v>1</v>
      </c>
      <c r="AK700" t="n">
        <v>6</v>
      </c>
      <c r="AL700" t="n">
        <v>4</v>
      </c>
      <c r="AM700" t="n">
        <v>14</v>
      </c>
      <c r="AN700" t="n">
        <v>1</v>
      </c>
      <c r="AO700" t="n">
        <v>4</v>
      </c>
      <c r="AP700" t="n">
        <v>0</v>
      </c>
      <c r="AQ700" t="n">
        <v>2</v>
      </c>
      <c r="AR700" t="inlineStr">
        <is>
          <t>No</t>
        </is>
      </c>
      <c r="AS700" t="inlineStr">
        <is>
          <t>Yes</t>
        </is>
      </c>
      <c r="AT700">
        <f>HYPERLINK("http://catalog.hathitrust.org/Record/002450368","HathiTrust Record")</f>
        <v/>
      </c>
      <c r="AU700">
        <f>HYPERLINK("https://creighton-primo.hosted.exlibrisgroup.com/primo-explore/search?tab=default_tab&amp;search_scope=EVERYTHING&amp;vid=01CRU&amp;lang=en_US&amp;offset=0&amp;query=any,contains,991001028779702656","Catalog Record")</f>
        <v/>
      </c>
      <c r="AV700">
        <f>HYPERLINK("http://www.worldcat.org/oclc/22764768","WorldCat Record")</f>
        <v/>
      </c>
      <c r="AW700" t="inlineStr">
        <is>
          <t>13284500:eng</t>
        </is>
      </c>
      <c r="AX700" t="inlineStr">
        <is>
          <t>22764768</t>
        </is>
      </c>
      <c r="AY700" t="inlineStr">
        <is>
          <t>991001028779702656</t>
        </is>
      </c>
      <c r="AZ700" t="inlineStr">
        <is>
          <t>991001028779702656</t>
        </is>
      </c>
      <c r="BA700" t="inlineStr">
        <is>
          <t>2261751510002656</t>
        </is>
      </c>
      <c r="BB700" t="inlineStr">
        <is>
          <t>BOOK</t>
        </is>
      </c>
      <c r="BD700" t="inlineStr">
        <is>
          <t>9780838522752</t>
        </is>
      </c>
      <c r="BE700" t="inlineStr">
        <is>
          <t>30001002243220</t>
        </is>
      </c>
      <c r="BF700" t="inlineStr">
        <is>
          <t>893826392</t>
        </is>
      </c>
    </row>
    <row r="701">
      <c r="A701" t="inlineStr">
        <is>
          <t>No</t>
        </is>
      </c>
      <c r="B701" t="inlineStr">
        <is>
          <t>CUHSL</t>
        </is>
      </c>
      <c r="C701" t="inlineStr">
        <is>
          <t>SHELVES</t>
        </is>
      </c>
      <c r="D701" t="inlineStr">
        <is>
          <t>WY 85 D732e 1990</t>
        </is>
      </c>
      <c r="E701" t="inlineStr">
        <is>
          <t>0                      WY 0085000D  732e        1990</t>
        </is>
      </c>
      <c r="F701" t="inlineStr">
        <is>
          <t>Ethical dilemmas in perioperative nursing / Charles J. Dougherty, Barba J. Edwards, Amy M. Haddad.</t>
        </is>
      </c>
      <c r="H701" t="inlineStr">
        <is>
          <t>No</t>
        </is>
      </c>
      <c r="I701" t="inlineStr">
        <is>
          <t>1</t>
        </is>
      </c>
      <c r="J701" t="inlineStr">
        <is>
          <t>No</t>
        </is>
      </c>
      <c r="K701" t="inlineStr">
        <is>
          <t>No</t>
        </is>
      </c>
      <c r="L701" t="inlineStr">
        <is>
          <t>0</t>
        </is>
      </c>
      <c r="M701" t="inlineStr">
        <is>
          <t>Dougherty, Charles J., 1949-</t>
        </is>
      </c>
      <c r="N701" t="inlineStr">
        <is>
          <t>Denver, Colo. : Association of Operating Room Nurses, c1990.</t>
        </is>
      </c>
      <c r="O701" t="inlineStr">
        <is>
          <t>1990</t>
        </is>
      </c>
      <c r="Q701" t="inlineStr">
        <is>
          <t>eng</t>
        </is>
      </c>
      <c r="R701" t="inlineStr">
        <is>
          <t>cou</t>
        </is>
      </c>
      <c r="T701" t="inlineStr">
        <is>
          <t xml:space="preserve">WY </t>
        </is>
      </c>
      <c r="U701" t="n">
        <v>14</v>
      </c>
      <c r="V701" t="n">
        <v>14</v>
      </c>
      <c r="W701" t="inlineStr">
        <is>
          <t>2000-09-06</t>
        </is>
      </c>
      <c r="X701" t="inlineStr">
        <is>
          <t>2000-09-06</t>
        </is>
      </c>
      <c r="Y701" t="inlineStr">
        <is>
          <t>1990-10-10</t>
        </is>
      </c>
      <c r="Z701" t="inlineStr">
        <is>
          <t>1990-10-10</t>
        </is>
      </c>
      <c r="AA701" t="n">
        <v>20</v>
      </c>
      <c r="AB701" t="n">
        <v>18</v>
      </c>
      <c r="AC701" t="n">
        <v>18</v>
      </c>
      <c r="AD701" t="n">
        <v>1</v>
      </c>
      <c r="AE701" t="n">
        <v>1</v>
      </c>
      <c r="AF701" t="n">
        <v>1</v>
      </c>
      <c r="AG701" t="n">
        <v>1</v>
      </c>
      <c r="AH701" t="n">
        <v>0</v>
      </c>
      <c r="AI701" t="n">
        <v>0</v>
      </c>
      <c r="AJ701" t="n">
        <v>1</v>
      </c>
      <c r="AK701" t="n">
        <v>1</v>
      </c>
      <c r="AL701" t="n">
        <v>1</v>
      </c>
      <c r="AM701" t="n">
        <v>1</v>
      </c>
      <c r="AN701" t="n">
        <v>0</v>
      </c>
      <c r="AO701" t="n">
        <v>0</v>
      </c>
      <c r="AP701" t="n">
        <v>0</v>
      </c>
      <c r="AQ701" t="n">
        <v>0</v>
      </c>
      <c r="AR701" t="inlineStr">
        <is>
          <t>No</t>
        </is>
      </c>
      <c r="AS701" t="inlineStr">
        <is>
          <t>No</t>
        </is>
      </c>
      <c r="AU701">
        <f>HYPERLINK("https://creighton-primo.hosted.exlibrisgroup.com/primo-explore/search?tab=default_tab&amp;search_scope=EVERYTHING&amp;vid=01CRU&amp;lang=en_US&amp;offset=0&amp;query=any,contains,991001549679702656","Catalog Record")</f>
        <v/>
      </c>
      <c r="AV701">
        <f>HYPERLINK("http://www.worldcat.org/oclc/22255702","WorldCat Record")</f>
        <v/>
      </c>
      <c r="AW701" t="inlineStr">
        <is>
          <t>988115:eng</t>
        </is>
      </c>
      <c r="AX701" t="inlineStr">
        <is>
          <t>22255702</t>
        </is>
      </c>
      <c r="AY701" t="inlineStr">
        <is>
          <t>991001549679702656</t>
        </is>
      </c>
      <c r="AZ701" t="inlineStr">
        <is>
          <t>991001549679702656</t>
        </is>
      </c>
      <c r="BA701" t="inlineStr">
        <is>
          <t>2271791600002656</t>
        </is>
      </c>
      <c r="BB701" t="inlineStr">
        <is>
          <t>BOOK</t>
        </is>
      </c>
      <c r="BD701" t="inlineStr">
        <is>
          <t>9780939583676</t>
        </is>
      </c>
      <c r="BE701" t="inlineStr">
        <is>
          <t>30001002060772</t>
        </is>
      </c>
      <c r="BF701" t="inlineStr">
        <is>
          <t>893741246</t>
        </is>
      </c>
    </row>
    <row r="702">
      <c r="A702" t="inlineStr">
        <is>
          <t>No</t>
        </is>
      </c>
      <c r="B702" t="inlineStr">
        <is>
          <t>CUHSL</t>
        </is>
      </c>
      <c r="C702" t="inlineStr">
        <is>
          <t>SHELVES</t>
        </is>
      </c>
      <c r="D702" t="inlineStr">
        <is>
          <t>WY 85 E842 1985</t>
        </is>
      </c>
      <c r="E702" t="inlineStr">
        <is>
          <t>0                      WY 0085000E  842         1985</t>
        </is>
      </c>
      <c r="F702" t="inlineStr">
        <is>
          <t>Ethical dilemmas confronting nurses.</t>
        </is>
      </c>
      <c r="H702" t="inlineStr">
        <is>
          <t>No</t>
        </is>
      </c>
      <c r="I702" t="inlineStr">
        <is>
          <t>1</t>
        </is>
      </c>
      <c r="J702" t="inlineStr">
        <is>
          <t>No</t>
        </is>
      </c>
      <c r="K702" t="inlineStr">
        <is>
          <t>No</t>
        </is>
      </c>
      <c r="L702" t="inlineStr">
        <is>
          <t>0</t>
        </is>
      </c>
      <c r="N702" t="inlineStr">
        <is>
          <t>Kansas City, Mo. : American Nurses' Association, Committee on Ethics, c1985.</t>
        </is>
      </c>
      <c r="O702" t="inlineStr">
        <is>
          <t>1985</t>
        </is>
      </c>
      <c r="Q702" t="inlineStr">
        <is>
          <t>eng</t>
        </is>
      </c>
      <c r="R702" t="inlineStr">
        <is>
          <t>mou</t>
        </is>
      </c>
      <c r="S702" t="inlineStr">
        <is>
          <t>ANA pub ; no. G-165</t>
        </is>
      </c>
      <c r="T702" t="inlineStr">
        <is>
          <t xml:space="preserve">WY </t>
        </is>
      </c>
      <c r="U702" t="n">
        <v>6</v>
      </c>
      <c r="V702" t="n">
        <v>6</v>
      </c>
      <c r="W702" t="inlineStr">
        <is>
          <t>1992-03-04</t>
        </is>
      </c>
      <c r="X702" t="inlineStr">
        <is>
          <t>1992-03-04</t>
        </is>
      </c>
      <c r="Y702" t="inlineStr">
        <is>
          <t>1987-12-02</t>
        </is>
      </c>
      <c r="Z702" t="inlineStr">
        <is>
          <t>1987-12-02</t>
        </is>
      </c>
      <c r="AA702" t="n">
        <v>125</v>
      </c>
      <c r="AB702" t="n">
        <v>114</v>
      </c>
      <c r="AC702" t="n">
        <v>125</v>
      </c>
      <c r="AD702" t="n">
        <v>2</v>
      </c>
      <c r="AE702" t="n">
        <v>2</v>
      </c>
      <c r="AF702" t="n">
        <v>8</v>
      </c>
      <c r="AG702" t="n">
        <v>8</v>
      </c>
      <c r="AH702" t="n">
        <v>4</v>
      </c>
      <c r="AI702" t="n">
        <v>4</v>
      </c>
      <c r="AJ702" t="n">
        <v>1</v>
      </c>
      <c r="AK702" t="n">
        <v>1</v>
      </c>
      <c r="AL702" t="n">
        <v>5</v>
      </c>
      <c r="AM702" t="n">
        <v>5</v>
      </c>
      <c r="AN702" t="n">
        <v>0</v>
      </c>
      <c r="AO702" t="n">
        <v>0</v>
      </c>
      <c r="AP702" t="n">
        <v>0</v>
      </c>
      <c r="AQ702" t="n">
        <v>0</v>
      </c>
      <c r="AR702" t="inlineStr">
        <is>
          <t>No</t>
        </is>
      </c>
      <c r="AS702" t="inlineStr">
        <is>
          <t>Yes</t>
        </is>
      </c>
      <c r="AT702">
        <f>HYPERLINK("http://catalog.hathitrust.org/Record/000468417","HathiTrust Record")</f>
        <v/>
      </c>
      <c r="AU702">
        <f>HYPERLINK("https://creighton-primo.hosted.exlibrisgroup.com/primo-explore/search?tab=default_tab&amp;search_scope=EVERYTHING&amp;vid=01CRU&amp;lang=en_US&amp;offset=0&amp;query=any,contains,991001521309702656","Catalog Record")</f>
        <v/>
      </c>
      <c r="AV702">
        <f>HYPERLINK("http://www.worldcat.org/oclc/13580814","WorldCat Record")</f>
        <v/>
      </c>
      <c r="AW702" t="inlineStr">
        <is>
          <t>7486934:eng</t>
        </is>
      </c>
      <c r="AX702" t="inlineStr">
        <is>
          <t>13580814</t>
        </is>
      </c>
      <c r="AY702" t="inlineStr">
        <is>
          <t>991001521309702656</t>
        </is>
      </c>
      <c r="AZ702" t="inlineStr">
        <is>
          <t>991001521309702656</t>
        </is>
      </c>
      <c r="BA702" t="inlineStr">
        <is>
          <t>2257640060002656</t>
        </is>
      </c>
      <c r="BB702" t="inlineStr">
        <is>
          <t>BOOK</t>
        </is>
      </c>
      <c r="BE702" t="inlineStr">
        <is>
          <t>30001000602781</t>
        </is>
      </c>
      <c r="BF702" t="inlineStr">
        <is>
          <t>893455884</t>
        </is>
      </c>
    </row>
    <row r="703">
      <c r="A703" t="inlineStr">
        <is>
          <t>No</t>
        </is>
      </c>
      <c r="B703" t="inlineStr">
        <is>
          <t>CUHSL</t>
        </is>
      </c>
      <c r="C703" t="inlineStr">
        <is>
          <t>SHELVES</t>
        </is>
      </c>
      <c r="D703" t="inlineStr">
        <is>
          <t>WY 85 E848 1988</t>
        </is>
      </c>
      <c r="E703" t="inlineStr">
        <is>
          <t>0                      WY 0085000E  848         1988</t>
        </is>
      </c>
      <c r="F703" t="inlineStr">
        <is>
          <t>Ethics in nursing : position statements and guidelines / American Nurses's Association.</t>
        </is>
      </c>
      <c r="H703" t="inlineStr">
        <is>
          <t>No</t>
        </is>
      </c>
      <c r="I703" t="inlineStr">
        <is>
          <t>1</t>
        </is>
      </c>
      <c r="J703" t="inlineStr">
        <is>
          <t>No</t>
        </is>
      </c>
      <c r="K703" t="inlineStr">
        <is>
          <t>No</t>
        </is>
      </c>
      <c r="L703" t="inlineStr">
        <is>
          <t>0</t>
        </is>
      </c>
      <c r="N703" t="inlineStr">
        <is>
          <t>Kansas City, Mo. : The Association, c1988.</t>
        </is>
      </c>
      <c r="O703" t="inlineStr">
        <is>
          <t>1988</t>
        </is>
      </c>
      <c r="Q703" t="inlineStr">
        <is>
          <t>eng</t>
        </is>
      </c>
      <c r="R703" t="inlineStr">
        <is>
          <t>mou</t>
        </is>
      </c>
      <c r="S703" t="inlineStr">
        <is>
          <t>American Nurses' Association: "G-175 2M 6/88"</t>
        </is>
      </c>
      <c r="T703" t="inlineStr">
        <is>
          <t xml:space="preserve">WY </t>
        </is>
      </c>
      <c r="U703" t="n">
        <v>5</v>
      </c>
      <c r="V703" t="n">
        <v>5</v>
      </c>
      <c r="W703" t="inlineStr">
        <is>
          <t>1994-11-08</t>
        </is>
      </c>
      <c r="X703" t="inlineStr">
        <is>
          <t>1994-11-08</t>
        </is>
      </c>
      <c r="Y703" t="inlineStr">
        <is>
          <t>1988-09-20</t>
        </is>
      </c>
      <c r="Z703" t="inlineStr">
        <is>
          <t>1988-09-20</t>
        </is>
      </c>
      <c r="AA703" t="n">
        <v>156</v>
      </c>
      <c r="AB703" t="n">
        <v>142</v>
      </c>
      <c r="AC703" t="n">
        <v>152</v>
      </c>
      <c r="AD703" t="n">
        <v>1</v>
      </c>
      <c r="AE703" t="n">
        <v>1</v>
      </c>
      <c r="AF703" t="n">
        <v>6</v>
      </c>
      <c r="AG703" t="n">
        <v>6</v>
      </c>
      <c r="AH703" t="n">
        <v>2</v>
      </c>
      <c r="AI703" t="n">
        <v>2</v>
      </c>
      <c r="AJ703" t="n">
        <v>0</v>
      </c>
      <c r="AK703" t="n">
        <v>0</v>
      </c>
      <c r="AL703" t="n">
        <v>4</v>
      </c>
      <c r="AM703" t="n">
        <v>4</v>
      </c>
      <c r="AN703" t="n">
        <v>0</v>
      </c>
      <c r="AO703" t="n">
        <v>0</v>
      </c>
      <c r="AP703" t="n">
        <v>0</v>
      </c>
      <c r="AQ703" t="n">
        <v>0</v>
      </c>
      <c r="AR703" t="inlineStr">
        <is>
          <t>No</t>
        </is>
      </c>
      <c r="AS703" t="inlineStr">
        <is>
          <t>Yes</t>
        </is>
      </c>
      <c r="AT703">
        <f>HYPERLINK("http://catalog.hathitrust.org/Record/000951835","HathiTrust Record")</f>
        <v/>
      </c>
      <c r="AU703">
        <f>HYPERLINK("https://creighton-primo.hosted.exlibrisgroup.com/primo-explore/search?tab=default_tab&amp;search_scope=EVERYTHING&amp;vid=01CRU&amp;lang=en_US&amp;offset=0&amp;query=any,contains,991000760039702656","Catalog Record")</f>
        <v/>
      </c>
      <c r="AV703">
        <f>HYPERLINK("http://www.worldcat.org/oclc/20631731","WorldCat Record")</f>
        <v/>
      </c>
      <c r="AW703" t="inlineStr">
        <is>
          <t>22512243:eng</t>
        </is>
      </c>
      <c r="AX703" t="inlineStr">
        <is>
          <t>20631731</t>
        </is>
      </c>
      <c r="AY703" t="inlineStr">
        <is>
          <t>991000760039702656</t>
        </is>
      </c>
      <c r="AZ703" t="inlineStr">
        <is>
          <t>991000760039702656</t>
        </is>
      </c>
      <c r="BA703" t="inlineStr">
        <is>
          <t>2272200180002656</t>
        </is>
      </c>
      <c r="BB703" t="inlineStr">
        <is>
          <t>BOOK</t>
        </is>
      </c>
      <c r="BE703" t="inlineStr">
        <is>
          <t>30001001392093</t>
        </is>
      </c>
      <c r="BF703" t="inlineStr">
        <is>
          <t>893267368</t>
        </is>
      </c>
    </row>
    <row r="704">
      <c r="A704" t="inlineStr">
        <is>
          <t>No</t>
        </is>
      </c>
      <c r="B704" t="inlineStr">
        <is>
          <t>CUHSL</t>
        </is>
      </c>
      <c r="C704" t="inlineStr">
        <is>
          <t>SHELVES</t>
        </is>
      </c>
      <c r="D704" t="inlineStr">
        <is>
          <t>WY 85 E86 1992</t>
        </is>
      </c>
      <c r="E704" t="inlineStr">
        <is>
          <t>0                      WY 0085000E  86          1992</t>
        </is>
      </c>
      <c r="F704" t="inlineStr">
        <is>
          <t>Ethical dilemmas in contemporary nursing practice / edited by Gladys B. White.</t>
        </is>
      </c>
      <c r="H704" t="inlineStr">
        <is>
          <t>No</t>
        </is>
      </c>
      <c r="I704" t="inlineStr">
        <is>
          <t>1</t>
        </is>
      </c>
      <c r="J704" t="inlineStr">
        <is>
          <t>No</t>
        </is>
      </c>
      <c r="K704" t="inlineStr">
        <is>
          <t>No</t>
        </is>
      </c>
      <c r="L704" t="inlineStr">
        <is>
          <t>0</t>
        </is>
      </c>
      <c r="N704" t="inlineStr">
        <is>
          <t>Washington, D.C. : American Nurses Pub., c1992.</t>
        </is>
      </c>
      <c r="O704" t="inlineStr">
        <is>
          <t>1992</t>
        </is>
      </c>
      <c r="Q704" t="inlineStr">
        <is>
          <t>eng</t>
        </is>
      </c>
      <c r="R704" t="inlineStr">
        <is>
          <t>dcu</t>
        </is>
      </c>
      <c r="S704" t="inlineStr">
        <is>
          <t>ANA NP-81 6M</t>
        </is>
      </c>
      <c r="T704" t="inlineStr">
        <is>
          <t xml:space="preserve">WY </t>
        </is>
      </c>
      <c r="U704" t="n">
        <v>4</v>
      </c>
      <c r="V704" t="n">
        <v>4</v>
      </c>
      <c r="W704" t="inlineStr">
        <is>
          <t>2007-04-16</t>
        </is>
      </c>
      <c r="X704" t="inlineStr">
        <is>
          <t>2007-04-16</t>
        </is>
      </c>
      <c r="Y704" t="inlineStr">
        <is>
          <t>2000-06-15</t>
        </is>
      </c>
      <c r="Z704" t="inlineStr">
        <is>
          <t>2000-06-15</t>
        </is>
      </c>
      <c r="AA704" t="n">
        <v>305</v>
      </c>
      <c r="AB704" t="n">
        <v>286</v>
      </c>
      <c r="AC704" t="n">
        <v>293</v>
      </c>
      <c r="AD704" t="n">
        <v>4</v>
      </c>
      <c r="AE704" t="n">
        <v>4</v>
      </c>
      <c r="AF704" t="n">
        <v>19</v>
      </c>
      <c r="AG704" t="n">
        <v>19</v>
      </c>
      <c r="AH704" t="n">
        <v>9</v>
      </c>
      <c r="AI704" t="n">
        <v>9</v>
      </c>
      <c r="AJ704" t="n">
        <v>4</v>
      </c>
      <c r="AK704" t="n">
        <v>4</v>
      </c>
      <c r="AL704" t="n">
        <v>8</v>
      </c>
      <c r="AM704" t="n">
        <v>8</v>
      </c>
      <c r="AN704" t="n">
        <v>2</v>
      </c>
      <c r="AO704" t="n">
        <v>2</v>
      </c>
      <c r="AP704" t="n">
        <v>0</v>
      </c>
      <c r="AQ704" t="n">
        <v>0</v>
      </c>
      <c r="AR704" t="inlineStr">
        <is>
          <t>No</t>
        </is>
      </c>
      <c r="AS704" t="inlineStr">
        <is>
          <t>Yes</t>
        </is>
      </c>
      <c r="AT704">
        <f>HYPERLINK("http://catalog.hathitrust.org/Record/002622607","HathiTrust Record")</f>
        <v/>
      </c>
      <c r="AU704">
        <f>HYPERLINK("https://creighton-primo.hosted.exlibrisgroup.com/primo-explore/search?tab=default_tab&amp;search_scope=EVERYTHING&amp;vid=01CRU&amp;lang=en_US&amp;offset=0&amp;query=any,contains,991000238459702656","Catalog Record")</f>
        <v/>
      </c>
      <c r="AV704">
        <f>HYPERLINK("http://www.worldcat.org/oclc/27438074","WorldCat Record")</f>
        <v/>
      </c>
      <c r="AW704" t="inlineStr">
        <is>
          <t>998677:eng</t>
        </is>
      </c>
      <c r="AX704" t="inlineStr">
        <is>
          <t>27438074</t>
        </is>
      </c>
      <c r="AY704" t="inlineStr">
        <is>
          <t>991000238459702656</t>
        </is>
      </c>
      <c r="AZ704" t="inlineStr">
        <is>
          <t>991000238459702656</t>
        </is>
      </c>
      <c r="BA704" t="inlineStr">
        <is>
          <t>2257367280002656</t>
        </is>
      </c>
      <c r="BB704" t="inlineStr">
        <is>
          <t>BOOK</t>
        </is>
      </c>
      <c r="BD704" t="inlineStr">
        <is>
          <t>9781558100749</t>
        </is>
      </c>
      <c r="BE704" t="inlineStr">
        <is>
          <t>30001002539072</t>
        </is>
      </c>
      <c r="BF704" t="inlineStr">
        <is>
          <t>893821933</t>
        </is>
      </c>
    </row>
    <row r="705">
      <c r="A705" t="inlineStr">
        <is>
          <t>No</t>
        </is>
      </c>
      <c r="B705" t="inlineStr">
        <is>
          <t>CUHSL</t>
        </is>
      </c>
      <c r="C705" t="inlineStr">
        <is>
          <t>SHELVES</t>
        </is>
      </c>
      <c r="D705" t="inlineStr">
        <is>
          <t>WY 85 F931e 1981</t>
        </is>
      </c>
      <c r="E705" t="inlineStr">
        <is>
          <t>0                      WY 0085000F  931e        1981</t>
        </is>
      </c>
      <c r="F705" t="inlineStr">
        <is>
          <t>Ethical issues in health care / Margot Joan Fromer.</t>
        </is>
      </c>
      <c r="H705" t="inlineStr">
        <is>
          <t>No</t>
        </is>
      </c>
      <c r="I705" t="inlineStr">
        <is>
          <t>1</t>
        </is>
      </c>
      <c r="J705" t="inlineStr">
        <is>
          <t>No</t>
        </is>
      </c>
      <c r="K705" t="inlineStr">
        <is>
          <t>No</t>
        </is>
      </c>
      <c r="L705" t="inlineStr">
        <is>
          <t>0</t>
        </is>
      </c>
      <c r="M705" t="inlineStr">
        <is>
          <t>Fromer, Margot Joan, 1939-</t>
        </is>
      </c>
      <c r="N705" t="inlineStr">
        <is>
          <t>St. Louis : Mosby, c1981.</t>
        </is>
      </c>
      <c r="O705" t="inlineStr">
        <is>
          <t>1981</t>
        </is>
      </c>
      <c r="Q705" t="inlineStr">
        <is>
          <t>eng</t>
        </is>
      </c>
      <c r="R705" t="inlineStr">
        <is>
          <t>xxu</t>
        </is>
      </c>
      <c r="T705" t="inlineStr">
        <is>
          <t xml:space="preserve">WY </t>
        </is>
      </c>
      <c r="U705" t="n">
        <v>2</v>
      </c>
      <c r="V705" t="n">
        <v>2</v>
      </c>
      <c r="W705" t="inlineStr">
        <is>
          <t>2002-04-04</t>
        </is>
      </c>
      <c r="X705" t="inlineStr">
        <is>
          <t>2002-04-04</t>
        </is>
      </c>
      <c r="Y705" t="inlineStr">
        <is>
          <t>1987-10-22</t>
        </is>
      </c>
      <c r="Z705" t="inlineStr">
        <is>
          <t>1987-10-22</t>
        </is>
      </c>
      <c r="AA705" t="n">
        <v>407</v>
      </c>
      <c r="AB705" t="n">
        <v>332</v>
      </c>
      <c r="AC705" t="n">
        <v>339</v>
      </c>
      <c r="AD705" t="n">
        <v>3</v>
      </c>
      <c r="AE705" t="n">
        <v>3</v>
      </c>
      <c r="AF705" t="n">
        <v>19</v>
      </c>
      <c r="AG705" t="n">
        <v>19</v>
      </c>
      <c r="AH705" t="n">
        <v>8</v>
      </c>
      <c r="AI705" t="n">
        <v>8</v>
      </c>
      <c r="AJ705" t="n">
        <v>4</v>
      </c>
      <c r="AK705" t="n">
        <v>4</v>
      </c>
      <c r="AL705" t="n">
        <v>9</v>
      </c>
      <c r="AM705" t="n">
        <v>9</v>
      </c>
      <c r="AN705" t="n">
        <v>2</v>
      </c>
      <c r="AO705" t="n">
        <v>2</v>
      </c>
      <c r="AP705" t="n">
        <v>0</v>
      </c>
      <c r="AQ705" t="n">
        <v>0</v>
      </c>
      <c r="AR705" t="inlineStr">
        <is>
          <t>No</t>
        </is>
      </c>
      <c r="AS705" t="inlineStr">
        <is>
          <t>Yes</t>
        </is>
      </c>
      <c r="AT705">
        <f>HYPERLINK("http://catalog.hathitrust.org/Record/000137937","HathiTrust Record")</f>
        <v/>
      </c>
      <c r="AU705">
        <f>HYPERLINK("https://creighton-primo.hosted.exlibrisgroup.com/primo-explore/search?tab=default_tab&amp;search_scope=EVERYTHING&amp;vid=01CRU&amp;lang=en_US&amp;offset=0&amp;query=any,contains,991000738799702656","Catalog Record")</f>
        <v/>
      </c>
      <c r="AV705">
        <f>HYPERLINK("http://www.worldcat.org/oclc/6864155","WorldCat Record")</f>
        <v/>
      </c>
      <c r="AW705" t="inlineStr">
        <is>
          <t>12895532:eng</t>
        </is>
      </c>
      <c r="AX705" t="inlineStr">
        <is>
          <t>6864155</t>
        </is>
      </c>
      <c r="AY705" t="inlineStr">
        <is>
          <t>991000738799702656</t>
        </is>
      </c>
      <c r="AZ705" t="inlineStr">
        <is>
          <t>991000738799702656</t>
        </is>
      </c>
      <c r="BA705" t="inlineStr">
        <is>
          <t>2269458240002656</t>
        </is>
      </c>
      <c r="BB705" t="inlineStr">
        <is>
          <t>BOOK</t>
        </is>
      </c>
      <c r="BD705" t="inlineStr">
        <is>
          <t>9780801617287</t>
        </is>
      </c>
      <c r="BE705" t="inlineStr">
        <is>
          <t>30001000042723</t>
        </is>
      </c>
      <c r="BF705" t="inlineStr">
        <is>
          <t>893120096</t>
        </is>
      </c>
    </row>
    <row r="706">
      <c r="A706" t="inlineStr">
        <is>
          <t>No</t>
        </is>
      </c>
      <c r="B706" t="inlineStr">
        <is>
          <t>CUHSL</t>
        </is>
      </c>
      <c r="C706" t="inlineStr">
        <is>
          <t>SHELVES</t>
        </is>
      </c>
      <c r="D706" t="inlineStr">
        <is>
          <t>WY 85 G543e 1930</t>
        </is>
      </c>
      <c r="E706" t="inlineStr">
        <is>
          <t>0                      WY 0085000G  543e        1930</t>
        </is>
      </c>
      <c r="F706" t="inlineStr">
        <is>
          <t>Ethics : talks to nurses / by Mary E. Gladwin.</t>
        </is>
      </c>
      <c r="H706" t="inlineStr">
        <is>
          <t>No</t>
        </is>
      </c>
      <c r="I706" t="inlineStr">
        <is>
          <t>1</t>
        </is>
      </c>
      <c r="J706" t="inlineStr">
        <is>
          <t>No</t>
        </is>
      </c>
      <c r="K706" t="inlineStr">
        <is>
          <t>No</t>
        </is>
      </c>
      <c r="L706" t="inlineStr">
        <is>
          <t>0</t>
        </is>
      </c>
      <c r="M706" t="inlineStr">
        <is>
          <t>Gladwin, Mary E. (Mary Elizabeth), 1861-1939.</t>
        </is>
      </c>
      <c r="N706" t="inlineStr">
        <is>
          <t>Philadelphia and London : W.B. Saunders Co., c1930.</t>
        </is>
      </c>
      <c r="O706" t="inlineStr">
        <is>
          <t>1930</t>
        </is>
      </c>
      <c r="Q706" t="inlineStr">
        <is>
          <t>eng</t>
        </is>
      </c>
      <c r="R706" t="inlineStr">
        <is>
          <t xml:space="preserve">xx </t>
        </is>
      </c>
      <c r="T706" t="inlineStr">
        <is>
          <t xml:space="preserve">WY </t>
        </is>
      </c>
      <c r="U706" t="n">
        <v>4</v>
      </c>
      <c r="V706" t="n">
        <v>4</v>
      </c>
      <c r="W706" t="inlineStr">
        <is>
          <t>2004-04-15</t>
        </is>
      </c>
      <c r="X706" t="inlineStr">
        <is>
          <t>2004-04-15</t>
        </is>
      </c>
      <c r="Y706" t="inlineStr">
        <is>
          <t>1990-05-23</t>
        </is>
      </c>
      <c r="Z706" t="inlineStr">
        <is>
          <t>1990-05-23</t>
        </is>
      </c>
      <c r="AA706" t="n">
        <v>47</v>
      </c>
      <c r="AB706" t="n">
        <v>44</v>
      </c>
      <c r="AC706" t="n">
        <v>46</v>
      </c>
      <c r="AD706" t="n">
        <v>1</v>
      </c>
      <c r="AE706" t="n">
        <v>1</v>
      </c>
      <c r="AF706" t="n">
        <v>1</v>
      </c>
      <c r="AG706" t="n">
        <v>1</v>
      </c>
      <c r="AH706" t="n">
        <v>0</v>
      </c>
      <c r="AI706" t="n">
        <v>0</v>
      </c>
      <c r="AJ706" t="n">
        <v>1</v>
      </c>
      <c r="AK706" t="n">
        <v>1</v>
      </c>
      <c r="AL706" t="n">
        <v>1</v>
      </c>
      <c r="AM706" t="n">
        <v>1</v>
      </c>
      <c r="AN706" t="n">
        <v>0</v>
      </c>
      <c r="AO706" t="n">
        <v>0</v>
      </c>
      <c r="AP706" t="n">
        <v>0</v>
      </c>
      <c r="AQ706" t="n">
        <v>0</v>
      </c>
      <c r="AR706" t="inlineStr">
        <is>
          <t>No</t>
        </is>
      </c>
      <c r="AS706" t="inlineStr">
        <is>
          <t>Yes</t>
        </is>
      </c>
      <c r="AT706">
        <f>HYPERLINK("http://catalog.hathitrust.org/Record/001575512","HathiTrust Record")</f>
        <v/>
      </c>
      <c r="AU706">
        <f>HYPERLINK("https://creighton-primo.hosted.exlibrisgroup.com/primo-explore/search?tab=default_tab&amp;search_scope=EVERYTHING&amp;vid=01CRU&amp;lang=en_US&amp;offset=0&amp;query=any,contains,991001448229702656","Catalog Record")</f>
        <v/>
      </c>
      <c r="AV706">
        <f>HYPERLINK("http://www.worldcat.org/oclc/14724126","WorldCat Record")</f>
        <v/>
      </c>
      <c r="AW706" t="inlineStr">
        <is>
          <t>3768579399:eng</t>
        </is>
      </c>
      <c r="AX706" t="inlineStr">
        <is>
          <t>14724126</t>
        </is>
      </c>
      <c r="AY706" t="inlineStr">
        <is>
          <t>991001448229702656</t>
        </is>
      </c>
      <c r="AZ706" t="inlineStr">
        <is>
          <t>991001448229702656</t>
        </is>
      </c>
      <c r="BA706" t="inlineStr">
        <is>
          <t>2267058650002656</t>
        </is>
      </c>
      <c r="BB706" t="inlineStr">
        <is>
          <t>BOOK</t>
        </is>
      </c>
      <c r="BE706" t="inlineStr">
        <is>
          <t>30001001881814</t>
        </is>
      </c>
      <c r="BF706" t="inlineStr">
        <is>
          <t>893736599</t>
        </is>
      </c>
    </row>
    <row r="707">
      <c r="A707" t="inlineStr">
        <is>
          <t>No</t>
        </is>
      </c>
      <c r="B707" t="inlineStr">
        <is>
          <t>CUHSL</t>
        </is>
      </c>
      <c r="C707" t="inlineStr">
        <is>
          <t>SHELVES</t>
        </is>
      </c>
      <c r="D707" t="inlineStr">
        <is>
          <t>WY 85 G625s 1973</t>
        </is>
      </c>
      <c r="E707" t="inlineStr">
        <is>
          <t>0                      WY 0085000G  625s        1973</t>
        </is>
      </c>
      <c r="F707" t="inlineStr">
        <is>
          <t>The Social and ethical significance of nursing / a series of addresses / by Annie Warburton Goodrich.</t>
        </is>
      </c>
      <c r="H707" t="inlineStr">
        <is>
          <t>No</t>
        </is>
      </c>
      <c r="I707" t="inlineStr">
        <is>
          <t>1</t>
        </is>
      </c>
      <c r="J707" t="inlineStr">
        <is>
          <t>No</t>
        </is>
      </c>
      <c r="K707" t="inlineStr">
        <is>
          <t>No</t>
        </is>
      </c>
      <c r="L707" t="inlineStr">
        <is>
          <t>0</t>
        </is>
      </c>
      <c r="M707" t="inlineStr">
        <is>
          <t>Goodrich, Annie Warburton, 1866-</t>
        </is>
      </c>
      <c r="N707" t="inlineStr">
        <is>
          <t>-- [New Haven, Conn.] : Yale University School of Nursing, 1973.</t>
        </is>
      </c>
      <c r="O707" t="inlineStr">
        <is>
          <t>1973</t>
        </is>
      </c>
      <c r="Q707" t="inlineStr">
        <is>
          <t>eng</t>
        </is>
      </c>
      <c r="R707" t="inlineStr">
        <is>
          <t>|||</t>
        </is>
      </c>
      <c r="T707" t="inlineStr">
        <is>
          <t xml:space="preserve">WY </t>
        </is>
      </c>
      <c r="U707" t="n">
        <v>1</v>
      </c>
      <c r="V707" t="n">
        <v>1</v>
      </c>
      <c r="W707" t="inlineStr">
        <is>
          <t>2009-02-05</t>
        </is>
      </c>
      <c r="X707" t="inlineStr">
        <is>
          <t>2009-02-05</t>
        </is>
      </c>
      <c r="Y707" t="inlineStr">
        <is>
          <t>1987-12-29</t>
        </is>
      </c>
      <c r="Z707" t="inlineStr">
        <is>
          <t>1987-12-29</t>
        </is>
      </c>
      <c r="AA707" t="n">
        <v>53</v>
      </c>
      <c r="AB707" t="n">
        <v>49</v>
      </c>
      <c r="AC707" t="n">
        <v>186</v>
      </c>
      <c r="AD707" t="n">
        <v>1</v>
      </c>
      <c r="AE707" t="n">
        <v>5</v>
      </c>
      <c r="AF707" t="n">
        <v>3</v>
      </c>
      <c r="AG707" t="n">
        <v>10</v>
      </c>
      <c r="AH707" t="n">
        <v>0</v>
      </c>
      <c r="AI707" t="n">
        <v>0</v>
      </c>
      <c r="AJ707" t="n">
        <v>1</v>
      </c>
      <c r="AK707" t="n">
        <v>2</v>
      </c>
      <c r="AL707" t="n">
        <v>2</v>
      </c>
      <c r="AM707" t="n">
        <v>4</v>
      </c>
      <c r="AN707" t="n">
        <v>0</v>
      </c>
      <c r="AO707" t="n">
        <v>4</v>
      </c>
      <c r="AP707" t="n">
        <v>0</v>
      </c>
      <c r="AQ707" t="n">
        <v>0</v>
      </c>
      <c r="AR707" t="inlineStr">
        <is>
          <t>No</t>
        </is>
      </c>
      <c r="AS707" t="inlineStr">
        <is>
          <t>No</t>
        </is>
      </c>
      <c r="AU707">
        <f>HYPERLINK("https://creighton-primo.hosted.exlibrisgroup.com/primo-explore/search?tab=default_tab&amp;search_scope=EVERYTHING&amp;vid=01CRU&amp;lang=en_US&amp;offset=0&amp;query=any,contains,991001132459702656","Catalog Record")</f>
        <v/>
      </c>
      <c r="AV707">
        <f>HYPERLINK("http://www.worldcat.org/oclc/751485","WorldCat Record")</f>
        <v/>
      </c>
      <c r="AW707" t="inlineStr">
        <is>
          <t>430398477:eng</t>
        </is>
      </c>
      <c r="AX707" t="inlineStr">
        <is>
          <t>751485</t>
        </is>
      </c>
      <c r="AY707" t="inlineStr">
        <is>
          <t>991001132459702656</t>
        </is>
      </c>
      <c r="AZ707" t="inlineStr">
        <is>
          <t>991001132459702656</t>
        </is>
      </c>
      <c r="BA707" t="inlineStr">
        <is>
          <t>2269557480002656</t>
        </is>
      </c>
      <c r="BB707" t="inlineStr">
        <is>
          <t>BOOK</t>
        </is>
      </c>
      <c r="BE707" t="inlineStr">
        <is>
          <t>30001000285496</t>
        </is>
      </c>
      <c r="BF707" t="inlineStr">
        <is>
          <t>893134274</t>
        </is>
      </c>
    </row>
    <row r="708">
      <c r="A708" t="inlineStr">
        <is>
          <t>No</t>
        </is>
      </c>
      <c r="B708" t="inlineStr">
        <is>
          <t>CUHSL</t>
        </is>
      </c>
      <c r="C708" t="inlineStr">
        <is>
          <t>SHELVES</t>
        </is>
      </c>
      <c r="D708" t="inlineStr">
        <is>
          <t>WY 85 H177n 1996</t>
        </is>
      </c>
      <c r="E708" t="inlineStr">
        <is>
          <t>0                      WY 0085000H  177n        1996</t>
        </is>
      </c>
      <c r="F708" t="inlineStr">
        <is>
          <t>Nursing ethics and law / Jacqulyn K. Hall.</t>
        </is>
      </c>
      <c r="H708" t="inlineStr">
        <is>
          <t>No</t>
        </is>
      </c>
      <c r="I708" t="inlineStr">
        <is>
          <t>1</t>
        </is>
      </c>
      <c r="J708" t="inlineStr">
        <is>
          <t>No</t>
        </is>
      </c>
      <c r="K708" t="inlineStr">
        <is>
          <t>No</t>
        </is>
      </c>
      <c r="L708" t="inlineStr">
        <is>
          <t>0</t>
        </is>
      </c>
      <c r="M708" t="inlineStr">
        <is>
          <t>Hall, Jacqulyn K. (Jacqulyn Kay)</t>
        </is>
      </c>
      <c r="N708" t="inlineStr">
        <is>
          <t>Philadelphia : Saunders, c1996.</t>
        </is>
      </c>
      <c r="O708" t="inlineStr">
        <is>
          <t>1996</t>
        </is>
      </c>
      <c r="Q708" t="inlineStr">
        <is>
          <t>eng</t>
        </is>
      </c>
      <c r="R708" t="inlineStr">
        <is>
          <t>pau</t>
        </is>
      </c>
      <c r="T708" t="inlineStr">
        <is>
          <t xml:space="preserve">WY </t>
        </is>
      </c>
      <c r="U708" t="n">
        <v>3</v>
      </c>
      <c r="V708" t="n">
        <v>3</v>
      </c>
      <c r="W708" t="inlineStr">
        <is>
          <t>2005-03-10</t>
        </is>
      </c>
      <c r="X708" t="inlineStr">
        <is>
          <t>2005-03-10</t>
        </is>
      </c>
      <c r="Y708" t="inlineStr">
        <is>
          <t>2002-07-03</t>
        </is>
      </c>
      <c r="Z708" t="inlineStr">
        <is>
          <t>2002-07-03</t>
        </is>
      </c>
      <c r="AA708" t="n">
        <v>430</v>
      </c>
      <c r="AB708" t="n">
        <v>360</v>
      </c>
      <c r="AC708" t="n">
        <v>363</v>
      </c>
      <c r="AD708" t="n">
        <v>4</v>
      </c>
      <c r="AE708" t="n">
        <v>4</v>
      </c>
      <c r="AF708" t="n">
        <v>26</v>
      </c>
      <c r="AG708" t="n">
        <v>26</v>
      </c>
      <c r="AH708" t="n">
        <v>9</v>
      </c>
      <c r="AI708" t="n">
        <v>9</v>
      </c>
      <c r="AJ708" t="n">
        <v>3</v>
      </c>
      <c r="AK708" t="n">
        <v>3</v>
      </c>
      <c r="AL708" t="n">
        <v>12</v>
      </c>
      <c r="AM708" t="n">
        <v>12</v>
      </c>
      <c r="AN708" t="n">
        <v>3</v>
      </c>
      <c r="AO708" t="n">
        <v>3</v>
      </c>
      <c r="AP708" t="n">
        <v>5</v>
      </c>
      <c r="AQ708" t="n">
        <v>5</v>
      </c>
      <c r="AR708" t="inlineStr">
        <is>
          <t>No</t>
        </is>
      </c>
      <c r="AS708" t="inlineStr">
        <is>
          <t>Yes</t>
        </is>
      </c>
      <c r="AT708">
        <f>HYPERLINK("http://catalog.hathitrust.org/Record/003036543","HathiTrust Record")</f>
        <v/>
      </c>
      <c r="AU708">
        <f>HYPERLINK("https://creighton-primo.hosted.exlibrisgroup.com/primo-explore/search?tab=default_tab&amp;search_scope=EVERYTHING&amp;vid=01CRU&amp;lang=en_US&amp;offset=0&amp;query=any,contains,991000323229702656","Catalog Record")</f>
        <v/>
      </c>
      <c r="AV708">
        <f>HYPERLINK("http://www.worldcat.org/oclc/33246743","WorldCat Record")</f>
        <v/>
      </c>
      <c r="AW708" t="inlineStr">
        <is>
          <t>38422059:eng</t>
        </is>
      </c>
      <c r="AX708" t="inlineStr">
        <is>
          <t>33246743</t>
        </is>
      </c>
      <c r="AY708" t="inlineStr">
        <is>
          <t>991000323229702656</t>
        </is>
      </c>
      <c r="AZ708" t="inlineStr">
        <is>
          <t>991000323229702656</t>
        </is>
      </c>
      <c r="BA708" t="inlineStr">
        <is>
          <t>2259438610002656</t>
        </is>
      </c>
      <c r="BB708" t="inlineStr">
        <is>
          <t>BOOK</t>
        </is>
      </c>
      <c r="BD708" t="inlineStr">
        <is>
          <t>9780721649917</t>
        </is>
      </c>
      <c r="BE708" t="inlineStr">
        <is>
          <t>30001004445393</t>
        </is>
      </c>
      <c r="BF708" t="inlineStr">
        <is>
          <t>893461344</t>
        </is>
      </c>
    </row>
    <row r="709">
      <c r="A709" t="inlineStr">
        <is>
          <t>No</t>
        </is>
      </c>
      <c r="B709" t="inlineStr">
        <is>
          <t>CUHSL</t>
        </is>
      </c>
      <c r="C709" t="inlineStr">
        <is>
          <t>SHELVES</t>
        </is>
      </c>
      <c r="D709" t="inlineStr">
        <is>
          <t>WY 85 H972e 1995</t>
        </is>
      </c>
      <c r="E709" t="inlineStr">
        <is>
          <t>0                      WY 0085000H  972e        1995</t>
        </is>
      </c>
      <c r="F709" t="inlineStr">
        <is>
          <t>Ethical decision making in nursing / Gladys L. Husted, James H. Husted.</t>
        </is>
      </c>
      <c r="H709" t="inlineStr">
        <is>
          <t>No</t>
        </is>
      </c>
      <c r="I709" t="inlineStr">
        <is>
          <t>1</t>
        </is>
      </c>
      <c r="J709" t="inlineStr">
        <is>
          <t>No</t>
        </is>
      </c>
      <c r="K709" t="inlineStr">
        <is>
          <t>No</t>
        </is>
      </c>
      <c r="L709" t="inlineStr">
        <is>
          <t>0</t>
        </is>
      </c>
      <c r="M709" t="inlineStr">
        <is>
          <t>Husted, Gladys L.</t>
        </is>
      </c>
      <c r="N709" t="inlineStr">
        <is>
          <t>St. Louis : Mosby, c1995.</t>
        </is>
      </c>
      <c r="O709" t="inlineStr">
        <is>
          <t>1995</t>
        </is>
      </c>
      <c r="P709" t="inlineStr">
        <is>
          <t>2nd ed.</t>
        </is>
      </c>
      <c r="Q709" t="inlineStr">
        <is>
          <t>eng</t>
        </is>
      </c>
      <c r="R709" t="inlineStr">
        <is>
          <t>mou</t>
        </is>
      </c>
      <c r="T709" t="inlineStr">
        <is>
          <t xml:space="preserve">WY </t>
        </is>
      </c>
      <c r="U709" t="n">
        <v>16</v>
      </c>
      <c r="V709" t="n">
        <v>16</v>
      </c>
      <c r="W709" t="inlineStr">
        <is>
          <t>2005-03-10</t>
        </is>
      </c>
      <c r="X709" t="inlineStr">
        <is>
          <t>2005-03-10</t>
        </is>
      </c>
      <c r="Y709" t="inlineStr">
        <is>
          <t>1995-02-20</t>
        </is>
      </c>
      <c r="Z709" t="inlineStr">
        <is>
          <t>1995-02-20</t>
        </is>
      </c>
      <c r="AA709" t="n">
        <v>415</v>
      </c>
      <c r="AB709" t="n">
        <v>302</v>
      </c>
      <c r="AC709" t="n">
        <v>468</v>
      </c>
      <c r="AD709" t="n">
        <v>1</v>
      </c>
      <c r="AE709" t="n">
        <v>4</v>
      </c>
      <c r="AF709" t="n">
        <v>10</v>
      </c>
      <c r="AG709" t="n">
        <v>20</v>
      </c>
      <c r="AH709" t="n">
        <v>4</v>
      </c>
      <c r="AI709" t="n">
        <v>9</v>
      </c>
      <c r="AJ709" t="n">
        <v>3</v>
      </c>
      <c r="AK709" t="n">
        <v>4</v>
      </c>
      <c r="AL709" t="n">
        <v>4</v>
      </c>
      <c r="AM709" t="n">
        <v>9</v>
      </c>
      <c r="AN709" t="n">
        <v>0</v>
      </c>
      <c r="AO709" t="n">
        <v>2</v>
      </c>
      <c r="AP709" t="n">
        <v>0</v>
      </c>
      <c r="AQ709" t="n">
        <v>0</v>
      </c>
      <c r="AR709" t="inlineStr">
        <is>
          <t>No</t>
        </is>
      </c>
      <c r="AS709" t="inlineStr">
        <is>
          <t>No</t>
        </is>
      </c>
      <c r="AU709">
        <f>HYPERLINK("https://creighton-primo.hosted.exlibrisgroup.com/primo-explore/search?tab=default_tab&amp;search_scope=EVERYTHING&amp;vid=01CRU&amp;lang=en_US&amp;offset=0&amp;query=any,contains,991000688239702656","Catalog Record")</f>
        <v/>
      </c>
      <c r="AV709">
        <f>HYPERLINK("http://www.worldcat.org/oclc/30359178","WorldCat Record")</f>
        <v/>
      </c>
      <c r="AW709" t="inlineStr">
        <is>
          <t>3863780786:eng</t>
        </is>
      </c>
      <c r="AX709" t="inlineStr">
        <is>
          <t>30359178</t>
        </is>
      </c>
      <c r="AY709" t="inlineStr">
        <is>
          <t>991000688239702656</t>
        </is>
      </c>
      <c r="AZ709" t="inlineStr">
        <is>
          <t>991000688239702656</t>
        </is>
      </c>
      <c r="BA709" t="inlineStr">
        <is>
          <t>2256996940002656</t>
        </is>
      </c>
      <c r="BB709" t="inlineStr">
        <is>
          <t>BOOK</t>
        </is>
      </c>
      <c r="BD709" t="inlineStr">
        <is>
          <t>9780801677748</t>
        </is>
      </c>
      <c r="BE709" t="inlineStr">
        <is>
          <t>30001002699611</t>
        </is>
      </c>
      <c r="BF709" t="inlineStr">
        <is>
          <t>893277954</t>
        </is>
      </c>
    </row>
    <row r="710">
      <c r="A710" t="inlineStr">
        <is>
          <t>No</t>
        </is>
      </c>
      <c r="B710" t="inlineStr">
        <is>
          <t>CUHSL</t>
        </is>
      </c>
      <c r="C710" t="inlineStr">
        <is>
          <t>SHELVES</t>
        </is>
      </c>
      <c r="D710" t="inlineStr">
        <is>
          <t>WY85 H972e 2001</t>
        </is>
      </c>
      <c r="E710" t="inlineStr">
        <is>
          <t>0                      WY 0085000H  972e        2001</t>
        </is>
      </c>
      <c r="F710" t="inlineStr">
        <is>
          <t>Ethical decision making in nursing and healthcare : the symphonological approach / Gladys L. Husted, James H. Husted.</t>
        </is>
      </c>
      <c r="H710" t="inlineStr">
        <is>
          <t>No</t>
        </is>
      </c>
      <c r="I710" t="inlineStr">
        <is>
          <t>1</t>
        </is>
      </c>
      <c r="J710" t="inlineStr">
        <is>
          <t>No</t>
        </is>
      </c>
      <c r="K710" t="inlineStr">
        <is>
          <t>Yes</t>
        </is>
      </c>
      <c r="L710" t="inlineStr">
        <is>
          <t>0</t>
        </is>
      </c>
      <c r="M710" t="inlineStr">
        <is>
          <t>Husted, Gladys L.</t>
        </is>
      </c>
      <c r="N710" t="inlineStr">
        <is>
          <t>New York : Springer Pub. Co., c2001.</t>
        </is>
      </c>
      <c r="O710" t="inlineStr">
        <is>
          <t>2001</t>
        </is>
      </c>
      <c r="P710" t="inlineStr">
        <is>
          <t>3rd ed.</t>
        </is>
      </c>
      <c r="Q710" t="inlineStr">
        <is>
          <t>eng</t>
        </is>
      </c>
      <c r="R710" t="inlineStr">
        <is>
          <t>nyu</t>
        </is>
      </c>
      <c r="T710" t="inlineStr">
        <is>
          <t xml:space="preserve">WY </t>
        </is>
      </c>
      <c r="U710" t="n">
        <v>6</v>
      </c>
      <c r="V710" t="n">
        <v>6</v>
      </c>
      <c r="W710" t="inlineStr">
        <is>
          <t>2007-04-13</t>
        </is>
      </c>
      <c r="X710" t="inlineStr">
        <is>
          <t>2007-04-13</t>
        </is>
      </c>
      <c r="Y710" t="inlineStr">
        <is>
          <t>2001-11-02</t>
        </is>
      </c>
      <c r="Z710" t="inlineStr">
        <is>
          <t>2001-11-02</t>
        </is>
      </c>
      <c r="AA710" t="n">
        <v>382</v>
      </c>
      <c r="AB710" t="n">
        <v>309</v>
      </c>
      <c r="AC710" t="n">
        <v>918</v>
      </c>
      <c r="AD710" t="n">
        <v>2</v>
      </c>
      <c r="AE710" t="n">
        <v>7</v>
      </c>
      <c r="AF710" t="n">
        <v>17</v>
      </c>
      <c r="AG710" t="n">
        <v>45</v>
      </c>
      <c r="AH710" t="n">
        <v>7</v>
      </c>
      <c r="AI710" t="n">
        <v>20</v>
      </c>
      <c r="AJ710" t="n">
        <v>4</v>
      </c>
      <c r="AK710" t="n">
        <v>9</v>
      </c>
      <c r="AL710" t="n">
        <v>8</v>
      </c>
      <c r="AM710" t="n">
        <v>17</v>
      </c>
      <c r="AN710" t="n">
        <v>1</v>
      </c>
      <c r="AO710" t="n">
        <v>6</v>
      </c>
      <c r="AP710" t="n">
        <v>0</v>
      </c>
      <c r="AQ710" t="n">
        <v>1</v>
      </c>
      <c r="AR710" t="inlineStr">
        <is>
          <t>No</t>
        </is>
      </c>
      <c r="AS710" t="inlineStr">
        <is>
          <t>Yes</t>
        </is>
      </c>
      <c r="AT710">
        <f>HYPERLINK("http://catalog.hathitrust.org/Record/004206058","HathiTrust Record")</f>
        <v/>
      </c>
      <c r="AU710">
        <f>HYPERLINK("https://creighton-primo.hosted.exlibrisgroup.com/primo-explore/search?tab=default_tab&amp;search_scope=EVERYTHING&amp;vid=01CRU&amp;lang=en_US&amp;offset=0&amp;query=any,contains,991001709339702656","Catalog Record")</f>
        <v/>
      </c>
      <c r="AV710">
        <f>HYPERLINK("http://www.worldcat.org/oclc/46829391","WorldCat Record")</f>
        <v/>
      </c>
      <c r="AW710" t="inlineStr">
        <is>
          <t>24064923:eng</t>
        </is>
      </c>
      <c r="AX710" t="inlineStr">
        <is>
          <t>46829391</t>
        </is>
      </c>
      <c r="AY710" t="inlineStr">
        <is>
          <t>991001709339702656</t>
        </is>
      </c>
      <c r="AZ710" t="inlineStr">
        <is>
          <t>991001709339702656</t>
        </is>
      </c>
      <c r="BA710" t="inlineStr">
        <is>
          <t>2256902610002656</t>
        </is>
      </c>
      <c r="BB710" t="inlineStr">
        <is>
          <t>BOOK</t>
        </is>
      </c>
      <c r="BD710" t="inlineStr">
        <is>
          <t>9780826114327</t>
        </is>
      </c>
      <c r="BE710" t="inlineStr">
        <is>
          <t>30001004235802</t>
        </is>
      </c>
      <c r="BF710" t="inlineStr">
        <is>
          <t>893279272</t>
        </is>
      </c>
    </row>
    <row r="711">
      <c r="A711" t="inlineStr">
        <is>
          <t>No</t>
        </is>
      </c>
      <c r="B711" t="inlineStr">
        <is>
          <t>CUHSL</t>
        </is>
      </c>
      <c r="C711" t="inlineStr">
        <is>
          <t>SHELVES</t>
        </is>
      </c>
      <c r="D711" t="inlineStr">
        <is>
          <t>WY 85 J31n 1984</t>
        </is>
      </c>
      <c r="E711" t="inlineStr">
        <is>
          <t>0                      WY 0085000J  31n         1984</t>
        </is>
      </c>
      <c r="F711" t="inlineStr">
        <is>
          <t>Nursing practice : the ethical issues / Andrew Jameton ; with a foreword by Ingeborg G. Mauksch.</t>
        </is>
      </c>
      <c r="H711" t="inlineStr">
        <is>
          <t>No</t>
        </is>
      </c>
      <c r="I711" t="inlineStr">
        <is>
          <t>1</t>
        </is>
      </c>
      <c r="J711" t="inlineStr">
        <is>
          <t>No</t>
        </is>
      </c>
      <c r="K711" t="inlineStr">
        <is>
          <t>No</t>
        </is>
      </c>
      <c r="L711" t="inlineStr">
        <is>
          <t>0</t>
        </is>
      </c>
      <c r="M711" t="inlineStr">
        <is>
          <t>Jameton, Andrew.</t>
        </is>
      </c>
      <c r="N711" t="inlineStr">
        <is>
          <t>Englewood Cliffs, N.J. : Prentice-Hall, c1984.</t>
        </is>
      </c>
      <c r="O711" t="inlineStr">
        <is>
          <t>1984</t>
        </is>
      </c>
      <c r="Q711" t="inlineStr">
        <is>
          <t>eng</t>
        </is>
      </c>
      <c r="R711" t="inlineStr">
        <is>
          <t>nju</t>
        </is>
      </c>
      <c r="S711" t="inlineStr">
        <is>
          <t>Prentice-Hall series in the philosophy of medicine</t>
        </is>
      </c>
      <c r="T711" t="inlineStr">
        <is>
          <t xml:space="preserve">WY </t>
        </is>
      </c>
      <c r="U711" t="n">
        <v>19</v>
      </c>
      <c r="V711" t="n">
        <v>19</v>
      </c>
      <c r="W711" t="inlineStr">
        <is>
          <t>2002-03-27</t>
        </is>
      </c>
      <c r="X711" t="inlineStr">
        <is>
          <t>2002-03-27</t>
        </is>
      </c>
      <c r="Y711" t="inlineStr">
        <is>
          <t>1987-12-29</t>
        </is>
      </c>
      <c r="Z711" t="inlineStr">
        <is>
          <t>1987-12-29</t>
        </is>
      </c>
      <c r="AA711" t="n">
        <v>364</v>
      </c>
      <c r="AB711" t="n">
        <v>286</v>
      </c>
      <c r="AC711" t="n">
        <v>288</v>
      </c>
      <c r="AD711" t="n">
        <v>3</v>
      </c>
      <c r="AE711" t="n">
        <v>3</v>
      </c>
      <c r="AF711" t="n">
        <v>16</v>
      </c>
      <c r="AG711" t="n">
        <v>16</v>
      </c>
      <c r="AH711" t="n">
        <v>6</v>
      </c>
      <c r="AI711" t="n">
        <v>6</v>
      </c>
      <c r="AJ711" t="n">
        <v>3</v>
      </c>
      <c r="AK711" t="n">
        <v>3</v>
      </c>
      <c r="AL711" t="n">
        <v>10</v>
      </c>
      <c r="AM711" t="n">
        <v>10</v>
      </c>
      <c r="AN711" t="n">
        <v>1</v>
      </c>
      <c r="AO711" t="n">
        <v>1</v>
      </c>
      <c r="AP711" t="n">
        <v>0</v>
      </c>
      <c r="AQ711" t="n">
        <v>0</v>
      </c>
      <c r="AR711" t="inlineStr">
        <is>
          <t>No</t>
        </is>
      </c>
      <c r="AS711" t="inlineStr">
        <is>
          <t>Yes</t>
        </is>
      </c>
      <c r="AT711">
        <f>HYPERLINK("http://catalog.hathitrust.org/Record/000247952","HathiTrust Record")</f>
        <v/>
      </c>
      <c r="AU711">
        <f>HYPERLINK("https://creighton-primo.hosted.exlibrisgroup.com/primo-explore/search?tab=default_tab&amp;search_scope=EVERYTHING&amp;vid=01CRU&amp;lang=en_US&amp;offset=0&amp;query=any,contains,991001132539702656","Catalog Record")</f>
        <v/>
      </c>
      <c r="AV711">
        <f>HYPERLINK("http://www.worldcat.org/oclc/9896319","WorldCat Record")</f>
        <v/>
      </c>
      <c r="AW711" t="inlineStr">
        <is>
          <t>307960345:eng</t>
        </is>
      </c>
      <c r="AX711" t="inlineStr">
        <is>
          <t>9896319</t>
        </is>
      </c>
      <c r="AY711" t="inlineStr">
        <is>
          <t>991001132539702656</t>
        </is>
      </c>
      <c r="AZ711" t="inlineStr">
        <is>
          <t>991001132539702656</t>
        </is>
      </c>
      <c r="BA711" t="inlineStr">
        <is>
          <t>2264394430002656</t>
        </is>
      </c>
      <c r="BB711" t="inlineStr">
        <is>
          <t>BOOK</t>
        </is>
      </c>
      <c r="BD711" t="inlineStr">
        <is>
          <t>9780136274483</t>
        </is>
      </c>
      <c r="BE711" t="inlineStr">
        <is>
          <t>30001000285504</t>
        </is>
      </c>
      <c r="BF711" t="inlineStr">
        <is>
          <t>893287249</t>
        </is>
      </c>
    </row>
    <row r="712">
      <c r="A712" t="inlineStr">
        <is>
          <t>No</t>
        </is>
      </c>
      <c r="B712" t="inlineStr">
        <is>
          <t>CUHSL</t>
        </is>
      </c>
      <c r="C712" t="inlineStr">
        <is>
          <t>SHELVES</t>
        </is>
      </c>
      <c r="D712" t="inlineStr">
        <is>
          <t>WY 85 K43m 1988</t>
        </is>
      </c>
      <c r="E712" t="inlineStr">
        <is>
          <t>0                      WY 0085000K  43m         1988</t>
        </is>
      </c>
      <c r="F712" t="inlineStr">
        <is>
          <t>Moral reasoning and ethical practice in nursing : an integrative review / Shaké Ketefian, in collaboration with Ingrid Ormond.</t>
        </is>
      </c>
      <c r="H712" t="inlineStr">
        <is>
          <t>No</t>
        </is>
      </c>
      <c r="I712" t="inlineStr">
        <is>
          <t>1</t>
        </is>
      </c>
      <c r="J712" t="inlineStr">
        <is>
          <t>No</t>
        </is>
      </c>
      <c r="K712" t="inlineStr">
        <is>
          <t>No</t>
        </is>
      </c>
      <c r="L712" t="inlineStr">
        <is>
          <t>0</t>
        </is>
      </c>
      <c r="M712" t="inlineStr">
        <is>
          <t>Ketefian, Shaké.</t>
        </is>
      </c>
      <c r="N712" t="inlineStr">
        <is>
          <t>New York : National League for Nursing, c1988.</t>
        </is>
      </c>
      <c r="O712" t="inlineStr">
        <is>
          <t>1988</t>
        </is>
      </c>
      <c r="Q712" t="inlineStr">
        <is>
          <t>eng</t>
        </is>
      </c>
      <c r="R712" t="inlineStr">
        <is>
          <t>nyu</t>
        </is>
      </c>
      <c r="S712" t="inlineStr">
        <is>
          <t>National League for Nursing : "Pub. no. 15-2250."</t>
        </is>
      </c>
      <c r="T712" t="inlineStr">
        <is>
          <t xml:space="preserve">WY </t>
        </is>
      </c>
      <c r="U712" t="n">
        <v>7</v>
      </c>
      <c r="V712" t="n">
        <v>7</v>
      </c>
      <c r="W712" t="inlineStr">
        <is>
          <t>2007-04-13</t>
        </is>
      </c>
      <c r="X712" t="inlineStr">
        <is>
          <t>2007-04-13</t>
        </is>
      </c>
      <c r="Y712" t="inlineStr">
        <is>
          <t>1988-09-20</t>
        </is>
      </c>
      <c r="Z712" t="inlineStr">
        <is>
          <t>1988-09-20</t>
        </is>
      </c>
      <c r="AA712" t="n">
        <v>274</v>
      </c>
      <c r="AB712" t="n">
        <v>241</v>
      </c>
      <c r="AC712" t="n">
        <v>244</v>
      </c>
      <c r="AD712" t="n">
        <v>3</v>
      </c>
      <c r="AE712" t="n">
        <v>3</v>
      </c>
      <c r="AF712" t="n">
        <v>14</v>
      </c>
      <c r="AG712" t="n">
        <v>14</v>
      </c>
      <c r="AH712" t="n">
        <v>4</v>
      </c>
      <c r="AI712" t="n">
        <v>4</v>
      </c>
      <c r="AJ712" t="n">
        <v>3</v>
      </c>
      <c r="AK712" t="n">
        <v>3</v>
      </c>
      <c r="AL712" t="n">
        <v>9</v>
      </c>
      <c r="AM712" t="n">
        <v>9</v>
      </c>
      <c r="AN712" t="n">
        <v>1</v>
      </c>
      <c r="AO712" t="n">
        <v>1</v>
      </c>
      <c r="AP712" t="n">
        <v>0</v>
      </c>
      <c r="AQ712" t="n">
        <v>0</v>
      </c>
      <c r="AR712" t="inlineStr">
        <is>
          <t>No</t>
        </is>
      </c>
      <c r="AS712" t="inlineStr">
        <is>
          <t>Yes</t>
        </is>
      </c>
      <c r="AT712">
        <f>HYPERLINK("http://catalog.hathitrust.org/Record/001099890","HathiTrust Record")</f>
        <v/>
      </c>
      <c r="AU712">
        <f>HYPERLINK("https://creighton-primo.hosted.exlibrisgroup.com/primo-explore/search?tab=default_tab&amp;search_scope=EVERYTHING&amp;vid=01CRU&amp;lang=en_US&amp;offset=0&amp;query=any,contains,991000760539702656","Catalog Record")</f>
        <v/>
      </c>
      <c r="AV712">
        <f>HYPERLINK("http://www.worldcat.org/oclc/18340085","WorldCat Record")</f>
        <v/>
      </c>
      <c r="AW712" t="inlineStr">
        <is>
          <t>432507252:eng</t>
        </is>
      </c>
      <c r="AX712" t="inlineStr">
        <is>
          <t>18340085</t>
        </is>
      </c>
      <c r="AY712" t="inlineStr">
        <is>
          <t>991000760539702656</t>
        </is>
      </c>
      <c r="AZ712" t="inlineStr">
        <is>
          <t>991000760539702656</t>
        </is>
      </c>
      <c r="BA712" t="inlineStr">
        <is>
          <t>2268893950002656</t>
        </is>
      </c>
      <c r="BB712" t="inlineStr">
        <is>
          <t>BOOK</t>
        </is>
      </c>
      <c r="BD712" t="inlineStr">
        <is>
          <t>9780887374265</t>
        </is>
      </c>
      <c r="BE712" t="inlineStr">
        <is>
          <t>30001001392135</t>
        </is>
      </c>
      <c r="BF712" t="inlineStr">
        <is>
          <t>893148234</t>
        </is>
      </c>
    </row>
    <row r="713">
      <c r="A713" t="inlineStr">
        <is>
          <t>No</t>
        </is>
      </c>
      <c r="B713" t="inlineStr">
        <is>
          <t>CUHSL</t>
        </is>
      </c>
      <c r="C713" t="inlineStr">
        <is>
          <t>SHELVES</t>
        </is>
      </c>
      <c r="D713" t="inlineStr">
        <is>
          <t>WY 85 L665c 1990</t>
        </is>
      </c>
      <c r="E713" t="inlineStr">
        <is>
          <t>0                      WY 0085000L  665c        1990</t>
        </is>
      </c>
      <c r="F713" t="inlineStr">
        <is>
          <t>Creating an ethical environment / June Levine-Ariff, Donna H. Groh.</t>
        </is>
      </c>
      <c r="G713" t="inlineStr">
        <is>
          <t>V. 2</t>
        </is>
      </c>
      <c r="H713" t="inlineStr">
        <is>
          <t>No</t>
        </is>
      </c>
      <c r="I713" t="inlineStr">
        <is>
          <t>1</t>
        </is>
      </c>
      <c r="J713" t="inlineStr">
        <is>
          <t>No</t>
        </is>
      </c>
      <c r="K713" t="inlineStr">
        <is>
          <t>No</t>
        </is>
      </c>
      <c r="L713" t="inlineStr">
        <is>
          <t>0</t>
        </is>
      </c>
      <c r="M713" t="inlineStr">
        <is>
          <t>Levine-Ariff, June.</t>
        </is>
      </c>
      <c r="N713" t="inlineStr">
        <is>
          <t>Baltimore : Williams &amp; Wilkins, c1990.</t>
        </is>
      </c>
      <c r="O713" t="inlineStr">
        <is>
          <t>1990</t>
        </is>
      </c>
      <c r="Q713" t="inlineStr">
        <is>
          <t>eng</t>
        </is>
      </c>
      <c r="R713" t="inlineStr">
        <is>
          <t>mdu</t>
        </is>
      </c>
      <c r="S713" t="inlineStr">
        <is>
          <t>Nurse managers' bookshelf ; v. 2, no. 1 (Mar. 1990)</t>
        </is>
      </c>
      <c r="T713" t="inlineStr">
        <is>
          <t xml:space="preserve">WY </t>
        </is>
      </c>
      <c r="U713" t="n">
        <v>10</v>
      </c>
      <c r="V713" t="n">
        <v>10</v>
      </c>
      <c r="W713" t="inlineStr">
        <is>
          <t>2000-03-19</t>
        </is>
      </c>
      <c r="X713" t="inlineStr">
        <is>
          <t>2000-03-19</t>
        </is>
      </c>
      <c r="Y713" t="inlineStr">
        <is>
          <t>1990-11-14</t>
        </is>
      </c>
      <c r="Z713" t="inlineStr">
        <is>
          <t>1990-11-14</t>
        </is>
      </c>
      <c r="AA713" t="n">
        <v>83</v>
      </c>
      <c r="AB713" t="n">
        <v>64</v>
      </c>
      <c r="AC713" t="n">
        <v>69</v>
      </c>
      <c r="AD713" t="n">
        <v>1</v>
      </c>
      <c r="AE713" t="n">
        <v>1</v>
      </c>
      <c r="AF713" t="n">
        <v>4</v>
      </c>
      <c r="AG713" t="n">
        <v>4</v>
      </c>
      <c r="AH713" t="n">
        <v>2</v>
      </c>
      <c r="AI713" t="n">
        <v>2</v>
      </c>
      <c r="AJ713" t="n">
        <v>0</v>
      </c>
      <c r="AK713" t="n">
        <v>0</v>
      </c>
      <c r="AL713" t="n">
        <v>3</v>
      </c>
      <c r="AM713" t="n">
        <v>3</v>
      </c>
      <c r="AN713" t="n">
        <v>0</v>
      </c>
      <c r="AO713" t="n">
        <v>0</v>
      </c>
      <c r="AP713" t="n">
        <v>0</v>
      </c>
      <c r="AQ713" t="n">
        <v>0</v>
      </c>
      <c r="AR713" t="inlineStr">
        <is>
          <t>No</t>
        </is>
      </c>
      <c r="AS713" t="inlineStr">
        <is>
          <t>No</t>
        </is>
      </c>
      <c r="AU713">
        <f>HYPERLINK("https://creighton-primo.hosted.exlibrisgroup.com/primo-explore/search?tab=default_tab&amp;search_scope=EVERYTHING&amp;vid=01CRU&amp;lang=en_US&amp;offset=0&amp;query=any,contains,991000780109702656","Catalog Record")</f>
        <v/>
      </c>
      <c r="AV713">
        <f>HYPERLINK("http://www.worldcat.org/oclc/20692132","WorldCat Record")</f>
        <v/>
      </c>
      <c r="AW713" t="inlineStr">
        <is>
          <t>5573711496:eng</t>
        </is>
      </c>
      <c r="AX713" t="inlineStr">
        <is>
          <t>20692132</t>
        </is>
      </c>
      <c r="AY713" t="inlineStr">
        <is>
          <t>991000780109702656</t>
        </is>
      </c>
      <c r="AZ713" t="inlineStr">
        <is>
          <t>991000780109702656</t>
        </is>
      </c>
      <c r="BA713" t="inlineStr">
        <is>
          <t>2255037160002656</t>
        </is>
      </c>
      <c r="BB713" t="inlineStr">
        <is>
          <t>BOOK</t>
        </is>
      </c>
      <c r="BD713" t="inlineStr">
        <is>
          <t>9780683065343</t>
        </is>
      </c>
      <c r="BE713" t="inlineStr">
        <is>
          <t>30001002063990</t>
        </is>
      </c>
      <c r="BF713" t="inlineStr">
        <is>
          <t>893363063</t>
        </is>
      </c>
    </row>
    <row r="714">
      <c r="A714" t="inlineStr">
        <is>
          <t>No</t>
        </is>
      </c>
      <c r="B714" t="inlineStr">
        <is>
          <t>CUHSL</t>
        </is>
      </c>
      <c r="C714" t="inlineStr">
        <is>
          <t>SHELVES</t>
        </is>
      </c>
      <c r="D714" t="inlineStr">
        <is>
          <t>WY 85 M6293 1985h</t>
        </is>
      </c>
      <c r="E714" t="inlineStr">
        <is>
          <t>0                      WY 0085000M  6293        1985h</t>
        </is>
      </c>
      <c r="F714" t="inlineStr">
        <is>
          <t>Health care ethics : dilemmas, issues, and conflicts / edited by Valencia N. Prock, Barbara B. Minckley, Lu Ann Young ; Midwest Alliance in Nursing, Inc., Fall Workshop, September 1985.</t>
        </is>
      </c>
      <c r="H714" t="inlineStr">
        <is>
          <t>No</t>
        </is>
      </c>
      <c r="I714" t="inlineStr">
        <is>
          <t>1</t>
        </is>
      </c>
      <c r="J714" t="inlineStr">
        <is>
          <t>No</t>
        </is>
      </c>
      <c r="K714" t="inlineStr">
        <is>
          <t>No</t>
        </is>
      </c>
      <c r="L714" t="inlineStr">
        <is>
          <t>0</t>
        </is>
      </c>
      <c r="M714" t="inlineStr">
        <is>
          <t>Midwest Alliance in Nursing. Fall Workshop (6th : 1985 : Indianapolis, Ind.)</t>
        </is>
      </c>
      <c r="N714" t="inlineStr">
        <is>
          <t>Indianapolis, IN : Midwest Alliance in Nursing, c1986.</t>
        </is>
      </c>
      <c r="O714" t="inlineStr">
        <is>
          <t>1986</t>
        </is>
      </c>
      <c r="Q714" t="inlineStr">
        <is>
          <t>eng</t>
        </is>
      </c>
      <c r="R714" t="inlineStr">
        <is>
          <t>xxu</t>
        </is>
      </c>
      <c r="T714" t="inlineStr">
        <is>
          <t xml:space="preserve">WY </t>
        </is>
      </c>
      <c r="U714" t="n">
        <v>7</v>
      </c>
      <c r="V714" t="n">
        <v>7</v>
      </c>
      <c r="W714" t="inlineStr">
        <is>
          <t>1993-05-19</t>
        </is>
      </c>
      <c r="X714" t="inlineStr">
        <is>
          <t>1993-05-19</t>
        </is>
      </c>
      <c r="Y714" t="inlineStr">
        <is>
          <t>1988-12-14</t>
        </is>
      </c>
      <c r="Z714" t="inlineStr">
        <is>
          <t>1988-12-14</t>
        </is>
      </c>
      <c r="AA714" t="n">
        <v>45</v>
      </c>
      <c r="AB714" t="n">
        <v>36</v>
      </c>
      <c r="AC714" t="n">
        <v>38</v>
      </c>
      <c r="AD714" t="n">
        <v>1</v>
      </c>
      <c r="AE714" t="n">
        <v>1</v>
      </c>
      <c r="AF714" t="n">
        <v>1</v>
      </c>
      <c r="AG714" t="n">
        <v>1</v>
      </c>
      <c r="AH714" t="n">
        <v>0</v>
      </c>
      <c r="AI714" t="n">
        <v>0</v>
      </c>
      <c r="AJ714" t="n">
        <v>0</v>
      </c>
      <c r="AK714" t="n">
        <v>0</v>
      </c>
      <c r="AL714" t="n">
        <v>1</v>
      </c>
      <c r="AM714" t="n">
        <v>1</v>
      </c>
      <c r="AN714" t="n">
        <v>0</v>
      </c>
      <c r="AO714" t="n">
        <v>0</v>
      </c>
      <c r="AP714" t="n">
        <v>0</v>
      </c>
      <c r="AQ714" t="n">
        <v>0</v>
      </c>
      <c r="AR714" t="inlineStr">
        <is>
          <t>No</t>
        </is>
      </c>
      <c r="AS714" t="inlineStr">
        <is>
          <t>Yes</t>
        </is>
      </c>
      <c r="AT714">
        <f>HYPERLINK("http://catalog.hathitrust.org/Record/000830985","HathiTrust Record")</f>
        <v/>
      </c>
      <c r="AU714">
        <f>HYPERLINK("https://creighton-primo.hosted.exlibrisgroup.com/primo-explore/search?tab=default_tab&amp;search_scope=EVERYTHING&amp;vid=01CRU&amp;lang=en_US&amp;offset=0&amp;query=any,contains,991001104049702656","Catalog Record")</f>
        <v/>
      </c>
      <c r="AV714">
        <f>HYPERLINK("http://www.worldcat.org/oclc/13426006","WorldCat Record")</f>
        <v/>
      </c>
      <c r="AW714" t="inlineStr">
        <is>
          <t>7319757:eng</t>
        </is>
      </c>
      <c r="AX714" t="inlineStr">
        <is>
          <t>13426006</t>
        </is>
      </c>
      <c r="AY714" t="inlineStr">
        <is>
          <t>991001104049702656</t>
        </is>
      </c>
      <c r="AZ714" t="inlineStr">
        <is>
          <t>991001104049702656</t>
        </is>
      </c>
      <c r="BA714" t="inlineStr">
        <is>
          <t>2266154890002656</t>
        </is>
      </c>
      <c r="BB714" t="inlineStr">
        <is>
          <t>BOOK</t>
        </is>
      </c>
      <c r="BD714" t="inlineStr">
        <is>
          <t>9780942146110</t>
        </is>
      </c>
      <c r="BE714" t="inlineStr">
        <is>
          <t>30001001610353</t>
        </is>
      </c>
      <c r="BF714" t="inlineStr">
        <is>
          <t>893740755</t>
        </is>
      </c>
    </row>
    <row r="715">
      <c r="A715" t="inlineStr">
        <is>
          <t>No</t>
        </is>
      </c>
      <c r="B715" t="inlineStr">
        <is>
          <t>CUHSL</t>
        </is>
      </c>
      <c r="C715" t="inlineStr">
        <is>
          <t>SHELVES</t>
        </is>
      </c>
      <c r="D715" t="inlineStr">
        <is>
          <t>WY85 N9745 2006</t>
        </is>
      </c>
      <c r="E715" t="inlineStr">
        <is>
          <t>0                      WY 0085000N  9745        2006</t>
        </is>
      </c>
      <c r="F715" t="inlineStr">
        <is>
          <t>Nursing ethics / Ian E. Thompson ... [et al.].</t>
        </is>
      </c>
      <c r="H715" t="inlineStr">
        <is>
          <t>No</t>
        </is>
      </c>
      <c r="I715" t="inlineStr">
        <is>
          <t>1</t>
        </is>
      </c>
      <c r="J715" t="inlineStr">
        <is>
          <t>No</t>
        </is>
      </c>
      <c r="K715" t="inlineStr">
        <is>
          <t>No</t>
        </is>
      </c>
      <c r="L715" t="inlineStr">
        <is>
          <t>0</t>
        </is>
      </c>
      <c r="N715" t="inlineStr">
        <is>
          <t>Edinburgh ; New York : Churchill Livingstone Elsevier, 2006.</t>
        </is>
      </c>
      <c r="O715" t="inlineStr">
        <is>
          <t>2006</t>
        </is>
      </c>
      <c r="P715" t="inlineStr">
        <is>
          <t>5th ed.</t>
        </is>
      </c>
      <c r="Q715" t="inlineStr">
        <is>
          <t>eng</t>
        </is>
      </c>
      <c r="R715" t="inlineStr">
        <is>
          <t>stk</t>
        </is>
      </c>
      <c r="T715" t="inlineStr">
        <is>
          <t xml:space="preserve">WY </t>
        </is>
      </c>
      <c r="U715" t="n">
        <v>0</v>
      </c>
      <c r="V715" t="n">
        <v>0</v>
      </c>
      <c r="W715" t="inlineStr">
        <is>
          <t>2008-01-22</t>
        </is>
      </c>
      <c r="X715" t="inlineStr">
        <is>
          <t>2008-01-22</t>
        </is>
      </c>
      <c r="Y715" t="inlineStr">
        <is>
          <t>2007-11-19</t>
        </is>
      </c>
      <c r="Z715" t="inlineStr">
        <is>
          <t>2007-11-19</t>
        </is>
      </c>
      <c r="AA715" t="n">
        <v>277</v>
      </c>
      <c r="AB715" t="n">
        <v>105</v>
      </c>
      <c r="AC715" t="n">
        <v>247</v>
      </c>
      <c r="AD715" t="n">
        <v>2</v>
      </c>
      <c r="AE715" t="n">
        <v>2</v>
      </c>
      <c r="AF715" t="n">
        <v>4</v>
      </c>
      <c r="AG715" t="n">
        <v>6</v>
      </c>
      <c r="AH715" t="n">
        <v>0</v>
      </c>
      <c r="AI715" t="n">
        <v>2</v>
      </c>
      <c r="AJ715" t="n">
        <v>1</v>
      </c>
      <c r="AK715" t="n">
        <v>1</v>
      </c>
      <c r="AL715" t="n">
        <v>3</v>
      </c>
      <c r="AM715" t="n">
        <v>5</v>
      </c>
      <c r="AN715" t="n">
        <v>1</v>
      </c>
      <c r="AO715" t="n">
        <v>1</v>
      </c>
      <c r="AP715" t="n">
        <v>0</v>
      </c>
      <c r="AQ715" t="n">
        <v>0</v>
      </c>
      <c r="AR715" t="inlineStr">
        <is>
          <t>No</t>
        </is>
      </c>
      <c r="AS715" t="inlineStr">
        <is>
          <t>No</t>
        </is>
      </c>
      <c r="AU715">
        <f>HYPERLINK("https://creighton-primo.hosted.exlibrisgroup.com/primo-explore/search?tab=default_tab&amp;search_scope=EVERYTHING&amp;vid=01CRU&amp;lang=en_US&amp;offset=0&amp;query=any,contains,991000662489702656","Catalog Record")</f>
        <v/>
      </c>
      <c r="AV715">
        <f>HYPERLINK("http://www.worldcat.org/oclc/67374622","WorldCat Record")</f>
        <v/>
      </c>
      <c r="AW715" t="inlineStr">
        <is>
          <t>15714572:eng</t>
        </is>
      </c>
      <c r="AX715" t="inlineStr">
        <is>
          <t>67374622</t>
        </is>
      </c>
      <c r="AY715" t="inlineStr">
        <is>
          <t>991000662489702656</t>
        </is>
      </c>
      <c r="AZ715" t="inlineStr">
        <is>
          <t>991000662489702656</t>
        </is>
      </c>
      <c r="BA715" t="inlineStr">
        <is>
          <t>2271290820002656</t>
        </is>
      </c>
      <c r="BB715" t="inlineStr">
        <is>
          <t>BOOK</t>
        </is>
      </c>
      <c r="BD715" t="inlineStr">
        <is>
          <t>9780443101380</t>
        </is>
      </c>
      <c r="BE715" t="inlineStr">
        <is>
          <t>30001005270592</t>
        </is>
      </c>
      <c r="BF715" t="inlineStr">
        <is>
          <t>893730871</t>
        </is>
      </c>
    </row>
    <row r="716">
      <c r="A716" t="inlineStr">
        <is>
          <t>No</t>
        </is>
      </c>
      <c r="B716" t="inlineStr">
        <is>
          <t>CUHSL</t>
        </is>
      </c>
      <c r="C716" t="inlineStr">
        <is>
          <t>SHELVES</t>
        </is>
      </c>
      <c r="D716" t="inlineStr">
        <is>
          <t>WY85 P458e 2001</t>
        </is>
      </c>
      <c r="E716" t="inlineStr">
        <is>
          <t>0                      WY 0085000P  458e        2001</t>
        </is>
      </c>
      <c r="F716" t="inlineStr">
        <is>
          <t>Ethics and conflict / Kathleen Ouimet Perrin, James McGhee.</t>
        </is>
      </c>
      <c r="H716" t="inlineStr">
        <is>
          <t>No</t>
        </is>
      </c>
      <c r="I716" t="inlineStr">
        <is>
          <t>1</t>
        </is>
      </c>
      <c r="J716" t="inlineStr">
        <is>
          <t>No</t>
        </is>
      </c>
      <c r="K716" t="inlineStr">
        <is>
          <t>No</t>
        </is>
      </c>
      <c r="L716" t="inlineStr">
        <is>
          <t>0</t>
        </is>
      </c>
      <c r="M716" t="inlineStr">
        <is>
          <t>Perrin, Kathleen Ouimet.</t>
        </is>
      </c>
      <c r="N716" t="inlineStr">
        <is>
          <t>Thorofare, NJ : SLACK, Inc., c2001.</t>
        </is>
      </c>
      <c r="O716" t="inlineStr">
        <is>
          <t>2001</t>
        </is>
      </c>
      <c r="Q716" t="inlineStr">
        <is>
          <t>eng</t>
        </is>
      </c>
      <c r="R716" t="inlineStr">
        <is>
          <t>nju</t>
        </is>
      </c>
      <c r="S716" t="inlineStr">
        <is>
          <t>Nursing concepts</t>
        </is>
      </c>
      <c r="T716" t="inlineStr">
        <is>
          <t xml:space="preserve">WY </t>
        </is>
      </c>
      <c r="U716" t="n">
        <v>1</v>
      </c>
      <c r="V716" t="n">
        <v>1</v>
      </c>
      <c r="W716" t="inlineStr">
        <is>
          <t>2004-04-15</t>
        </is>
      </c>
      <c r="X716" t="inlineStr">
        <is>
          <t>2004-04-15</t>
        </is>
      </c>
      <c r="Y716" t="inlineStr">
        <is>
          <t>2003-06-03</t>
        </is>
      </c>
      <c r="Z716" t="inlineStr">
        <is>
          <t>2003-06-03</t>
        </is>
      </c>
      <c r="AA716" t="n">
        <v>241</v>
      </c>
      <c r="AB716" t="n">
        <v>190</v>
      </c>
      <c r="AC716" t="n">
        <v>325</v>
      </c>
      <c r="AD716" t="n">
        <v>3</v>
      </c>
      <c r="AE716" t="n">
        <v>3</v>
      </c>
      <c r="AF716" t="n">
        <v>8</v>
      </c>
      <c r="AG716" t="n">
        <v>15</v>
      </c>
      <c r="AH716" t="n">
        <v>3</v>
      </c>
      <c r="AI716" t="n">
        <v>6</v>
      </c>
      <c r="AJ716" t="n">
        <v>0</v>
      </c>
      <c r="AK716" t="n">
        <v>1</v>
      </c>
      <c r="AL716" t="n">
        <v>4</v>
      </c>
      <c r="AM716" t="n">
        <v>6</v>
      </c>
      <c r="AN716" t="n">
        <v>2</v>
      </c>
      <c r="AO716" t="n">
        <v>2</v>
      </c>
      <c r="AP716" t="n">
        <v>0</v>
      </c>
      <c r="AQ716" t="n">
        <v>1</v>
      </c>
      <c r="AR716" t="inlineStr">
        <is>
          <t>No</t>
        </is>
      </c>
      <c r="AS716" t="inlineStr">
        <is>
          <t>Yes</t>
        </is>
      </c>
      <c r="AT716">
        <f>HYPERLINK("http://catalog.hathitrust.org/Record/003569054","HathiTrust Record")</f>
        <v/>
      </c>
      <c r="AU716">
        <f>HYPERLINK("https://creighton-primo.hosted.exlibrisgroup.com/primo-explore/search?tab=default_tab&amp;search_scope=EVERYTHING&amp;vid=01CRU&amp;lang=en_US&amp;offset=0&amp;query=any,contains,991000348469702656","Catalog Record")</f>
        <v/>
      </c>
      <c r="AV716">
        <f>HYPERLINK("http://www.worldcat.org/oclc/47177699","WorldCat Record")</f>
        <v/>
      </c>
      <c r="AW716" t="inlineStr">
        <is>
          <t>36419332:eng</t>
        </is>
      </c>
      <c r="AX716" t="inlineStr">
        <is>
          <t>47177699</t>
        </is>
      </c>
      <c r="AY716" t="inlineStr">
        <is>
          <t>991000348469702656</t>
        </is>
      </c>
      <c r="AZ716" t="inlineStr">
        <is>
          <t>991000348469702656</t>
        </is>
      </c>
      <c r="BA716" t="inlineStr">
        <is>
          <t>2265159320002656</t>
        </is>
      </c>
      <c r="BB716" t="inlineStr">
        <is>
          <t>BOOK</t>
        </is>
      </c>
      <c r="BD716" t="inlineStr">
        <is>
          <t>9781556425172</t>
        </is>
      </c>
      <c r="BE716" t="inlineStr">
        <is>
          <t>30001004504470</t>
        </is>
      </c>
      <c r="BF716" t="inlineStr">
        <is>
          <t>893644290</t>
        </is>
      </c>
    </row>
    <row r="717">
      <c r="A717" t="inlineStr">
        <is>
          <t>No</t>
        </is>
      </c>
      <c r="B717" t="inlineStr">
        <is>
          <t>CUHSL</t>
        </is>
      </c>
      <c r="C717" t="inlineStr">
        <is>
          <t>SHELVES</t>
        </is>
      </c>
      <c r="D717" t="inlineStr">
        <is>
          <t>WY 85 P647e 1988</t>
        </is>
      </c>
      <c r="E717" t="inlineStr">
        <is>
          <t>0                      WY 0085000P  647e        1988</t>
        </is>
      </c>
      <c r="F717" t="inlineStr">
        <is>
          <t>Ethical and moral dilemmas in nursing : the role of the nurse and perceptions of autonomy / by Winifred Jane Pinch.</t>
        </is>
      </c>
      <c r="H717" t="inlineStr">
        <is>
          <t>No</t>
        </is>
      </c>
      <c r="I717" t="inlineStr">
        <is>
          <t>1</t>
        </is>
      </c>
      <c r="J717" t="inlineStr">
        <is>
          <t>No</t>
        </is>
      </c>
      <c r="K717" t="inlineStr">
        <is>
          <t>No</t>
        </is>
      </c>
      <c r="L717" t="inlineStr">
        <is>
          <t>0</t>
        </is>
      </c>
      <c r="M717" t="inlineStr">
        <is>
          <t>Pinch, Winifred Jane.</t>
        </is>
      </c>
      <c r="N717" t="inlineStr">
        <is>
          <t>Ann Arbor, Mich. : University Microfilms International, 1988, c1983.</t>
        </is>
      </c>
      <c r="O717" t="inlineStr">
        <is>
          <t>1988</t>
        </is>
      </c>
      <c r="Q717" t="inlineStr">
        <is>
          <t>eng</t>
        </is>
      </c>
      <c r="R717" t="inlineStr">
        <is>
          <t xml:space="preserve">xx </t>
        </is>
      </c>
      <c r="T717" t="inlineStr">
        <is>
          <t xml:space="preserve">WY </t>
        </is>
      </c>
      <c r="U717" t="n">
        <v>8</v>
      </c>
      <c r="V717" t="n">
        <v>8</v>
      </c>
      <c r="W717" t="inlineStr">
        <is>
          <t>1989-01-04</t>
        </is>
      </c>
      <c r="X717" t="inlineStr">
        <is>
          <t>1989-01-04</t>
        </is>
      </c>
      <c r="Y717" t="inlineStr">
        <is>
          <t>1988-12-10</t>
        </is>
      </c>
      <c r="Z717" t="inlineStr">
        <is>
          <t>1988-12-10</t>
        </is>
      </c>
      <c r="AA717" t="n">
        <v>2</v>
      </c>
      <c r="AB717" t="n">
        <v>2</v>
      </c>
      <c r="AC717" t="n">
        <v>2</v>
      </c>
      <c r="AD717" t="n">
        <v>1</v>
      </c>
      <c r="AE717" t="n">
        <v>1</v>
      </c>
      <c r="AF717" t="n">
        <v>0</v>
      </c>
      <c r="AG717" t="n">
        <v>0</v>
      </c>
      <c r="AH717" t="n">
        <v>0</v>
      </c>
      <c r="AI717" t="n">
        <v>0</v>
      </c>
      <c r="AJ717" t="n">
        <v>0</v>
      </c>
      <c r="AK717" t="n">
        <v>0</v>
      </c>
      <c r="AL717" t="n">
        <v>0</v>
      </c>
      <c r="AM717" t="n">
        <v>0</v>
      </c>
      <c r="AN717" t="n">
        <v>0</v>
      </c>
      <c r="AO717" t="n">
        <v>0</v>
      </c>
      <c r="AP717" t="n">
        <v>0</v>
      </c>
      <c r="AQ717" t="n">
        <v>0</v>
      </c>
      <c r="AR717" t="inlineStr">
        <is>
          <t>No</t>
        </is>
      </c>
      <c r="AS717" t="inlineStr">
        <is>
          <t>No</t>
        </is>
      </c>
      <c r="AU717">
        <f>HYPERLINK("https://creighton-primo.hosted.exlibrisgroup.com/primo-explore/search?tab=default_tab&amp;search_scope=EVERYTHING&amp;vid=01CRU&amp;lang=en_US&amp;offset=0&amp;query=any,contains,991001105089702656","Catalog Record")</f>
        <v/>
      </c>
      <c r="AV717">
        <f>HYPERLINK("http://www.worldcat.org/oclc/10981039","WorldCat Record")</f>
        <v/>
      </c>
      <c r="AW717" t="inlineStr">
        <is>
          <t>3267702:eng</t>
        </is>
      </c>
      <c r="AX717" t="inlineStr">
        <is>
          <t>10981039</t>
        </is>
      </c>
      <c r="AY717" t="inlineStr">
        <is>
          <t>991001105089702656</t>
        </is>
      </c>
      <c r="AZ717" t="inlineStr">
        <is>
          <t>991001105089702656</t>
        </is>
      </c>
      <c r="BA717" t="inlineStr">
        <is>
          <t>2260787940002656</t>
        </is>
      </c>
      <c r="BB717" t="inlineStr">
        <is>
          <t>BOOK</t>
        </is>
      </c>
      <c r="BE717" t="inlineStr">
        <is>
          <t>30001001610718</t>
        </is>
      </c>
      <c r="BF717" t="inlineStr">
        <is>
          <t>893820908</t>
        </is>
      </c>
    </row>
    <row r="718">
      <c r="A718" t="inlineStr">
        <is>
          <t>No</t>
        </is>
      </c>
      <c r="B718" t="inlineStr">
        <is>
          <t>CUHSL</t>
        </is>
      </c>
      <c r="C718" t="inlineStr">
        <is>
          <t>SHELVES</t>
        </is>
      </c>
      <c r="D718" t="inlineStr">
        <is>
          <t>WY 85 R936e 1999</t>
        </is>
      </c>
      <c r="E718" t="inlineStr">
        <is>
          <t>0                      WY 0085000R  936e        1999</t>
        </is>
      </c>
      <c r="F718" t="inlineStr">
        <is>
          <t>Ethics in nursing practice / Graham Rumbold.</t>
        </is>
      </c>
      <c r="H718" t="inlineStr">
        <is>
          <t>No</t>
        </is>
      </c>
      <c r="I718" t="inlineStr">
        <is>
          <t>1</t>
        </is>
      </c>
      <c r="J718" t="inlineStr">
        <is>
          <t>No</t>
        </is>
      </c>
      <c r="K718" t="inlineStr">
        <is>
          <t>No</t>
        </is>
      </c>
      <c r="L718" t="inlineStr">
        <is>
          <t>0</t>
        </is>
      </c>
      <c r="M718" t="inlineStr">
        <is>
          <t>Rumbold, Graham.</t>
        </is>
      </c>
      <c r="N718" t="inlineStr">
        <is>
          <t>Edinburgh ; New York : Bailliere Tindall, c1999.</t>
        </is>
      </c>
      <c r="O718" t="inlineStr">
        <is>
          <t>1999</t>
        </is>
      </c>
      <c r="P718" t="inlineStr">
        <is>
          <t>3rd ed.</t>
        </is>
      </c>
      <c r="Q718" t="inlineStr">
        <is>
          <t>eng</t>
        </is>
      </c>
      <c r="R718" t="inlineStr">
        <is>
          <t>stk</t>
        </is>
      </c>
      <c r="T718" t="inlineStr">
        <is>
          <t xml:space="preserve">WY </t>
        </is>
      </c>
      <c r="U718" t="n">
        <v>9</v>
      </c>
      <c r="V718" t="n">
        <v>9</v>
      </c>
      <c r="W718" t="inlineStr">
        <is>
          <t>2003-04-15</t>
        </is>
      </c>
      <c r="X718" t="inlineStr">
        <is>
          <t>2003-04-15</t>
        </is>
      </c>
      <c r="Y718" t="inlineStr">
        <is>
          <t>1999-09-28</t>
        </is>
      </c>
      <c r="Z718" t="inlineStr">
        <is>
          <t>1999-09-28</t>
        </is>
      </c>
      <c r="AA718" t="n">
        <v>308</v>
      </c>
      <c r="AB718" t="n">
        <v>164</v>
      </c>
      <c r="AC718" t="n">
        <v>196</v>
      </c>
      <c r="AD718" t="n">
        <v>1</v>
      </c>
      <c r="AE718" t="n">
        <v>1</v>
      </c>
      <c r="AF718" t="n">
        <v>6</v>
      </c>
      <c r="AG718" t="n">
        <v>7</v>
      </c>
      <c r="AH718" t="n">
        <v>2</v>
      </c>
      <c r="AI718" t="n">
        <v>3</v>
      </c>
      <c r="AJ718" t="n">
        <v>2</v>
      </c>
      <c r="AK718" t="n">
        <v>2</v>
      </c>
      <c r="AL718" t="n">
        <v>5</v>
      </c>
      <c r="AM718" t="n">
        <v>6</v>
      </c>
      <c r="AN718" t="n">
        <v>0</v>
      </c>
      <c r="AO718" t="n">
        <v>0</v>
      </c>
      <c r="AP718" t="n">
        <v>0</v>
      </c>
      <c r="AQ718" t="n">
        <v>0</v>
      </c>
      <c r="AR718" t="inlineStr">
        <is>
          <t>No</t>
        </is>
      </c>
      <c r="AS718" t="inlineStr">
        <is>
          <t>No</t>
        </is>
      </c>
      <c r="AU718">
        <f>HYPERLINK("https://creighton-primo.hosted.exlibrisgroup.com/primo-explore/search?tab=default_tab&amp;search_scope=EVERYTHING&amp;vid=01CRU&amp;lang=en_US&amp;offset=0&amp;query=any,contains,991001338269702656","Catalog Record")</f>
        <v/>
      </c>
      <c r="AV718">
        <f>HYPERLINK("http://www.worldcat.org/oclc/40075796","WorldCat Record")</f>
        <v/>
      </c>
      <c r="AW718" t="inlineStr">
        <is>
          <t>5406387:eng</t>
        </is>
      </c>
      <c r="AX718" t="inlineStr">
        <is>
          <t>40075796</t>
        </is>
      </c>
      <c r="AY718" t="inlineStr">
        <is>
          <t>991001338269702656</t>
        </is>
      </c>
      <c r="AZ718" t="inlineStr">
        <is>
          <t>991001338269702656</t>
        </is>
      </c>
      <c r="BA718" t="inlineStr">
        <is>
          <t>2265644930002656</t>
        </is>
      </c>
      <c r="BB718" t="inlineStr">
        <is>
          <t>BOOK</t>
        </is>
      </c>
      <c r="BD718" t="inlineStr">
        <is>
          <t>9780702023125</t>
        </is>
      </c>
      <c r="BE718" t="inlineStr">
        <is>
          <t>30001003790880</t>
        </is>
      </c>
      <c r="BF718" t="inlineStr">
        <is>
          <t>893552375</t>
        </is>
      </c>
    </row>
    <row r="719">
      <c r="A719" t="inlineStr">
        <is>
          <t>No</t>
        </is>
      </c>
      <c r="B719" t="inlineStr">
        <is>
          <t>CUHSL</t>
        </is>
      </c>
      <c r="C719" t="inlineStr">
        <is>
          <t>SHELVES</t>
        </is>
      </c>
      <c r="D719" t="inlineStr">
        <is>
          <t>WY 85 S545d 1980</t>
        </is>
      </c>
      <c r="E719" t="inlineStr">
        <is>
          <t>0                      WY 0085000S  545d        1980</t>
        </is>
      </c>
      <c r="F719" t="inlineStr">
        <is>
          <t>Dilemma : a nurse's guide for making ethical decisions / Judith Allen Shelly.</t>
        </is>
      </c>
      <c r="H719" t="inlineStr">
        <is>
          <t>No</t>
        </is>
      </c>
      <c r="I719" t="inlineStr">
        <is>
          <t>1</t>
        </is>
      </c>
      <c r="J719" t="inlineStr">
        <is>
          <t>No</t>
        </is>
      </c>
      <c r="K719" t="inlineStr">
        <is>
          <t>No</t>
        </is>
      </c>
      <c r="L719" t="inlineStr">
        <is>
          <t>0</t>
        </is>
      </c>
      <c r="M719" t="inlineStr">
        <is>
          <t>Shelly, Judith Allen.</t>
        </is>
      </c>
      <c r="N719" t="inlineStr">
        <is>
          <t>Downers Grove, Ill. : InterVarsity Press, c1980.</t>
        </is>
      </c>
      <c r="O719" t="inlineStr">
        <is>
          <t>1980</t>
        </is>
      </c>
      <c r="Q719" t="inlineStr">
        <is>
          <t>eng</t>
        </is>
      </c>
      <c r="R719" t="inlineStr">
        <is>
          <t>xxu</t>
        </is>
      </c>
      <c r="T719" t="inlineStr">
        <is>
          <t xml:space="preserve">WY </t>
        </is>
      </c>
      <c r="U719" t="n">
        <v>2</v>
      </c>
      <c r="V719" t="n">
        <v>2</v>
      </c>
      <c r="W719" t="inlineStr">
        <is>
          <t>2003-04-15</t>
        </is>
      </c>
      <c r="X719" t="inlineStr">
        <is>
          <t>2003-04-15</t>
        </is>
      </c>
      <c r="Y719" t="inlineStr">
        <is>
          <t>1987-12-29</t>
        </is>
      </c>
      <c r="Z719" t="inlineStr">
        <is>
          <t>1987-12-29</t>
        </is>
      </c>
      <c r="AA719" t="n">
        <v>175</v>
      </c>
      <c r="AB719" t="n">
        <v>148</v>
      </c>
      <c r="AC719" t="n">
        <v>153</v>
      </c>
      <c r="AD719" t="n">
        <v>2</v>
      </c>
      <c r="AE719" t="n">
        <v>2</v>
      </c>
      <c r="AF719" t="n">
        <v>6</v>
      </c>
      <c r="AG719" t="n">
        <v>6</v>
      </c>
      <c r="AH719" t="n">
        <v>1</v>
      </c>
      <c r="AI719" t="n">
        <v>1</v>
      </c>
      <c r="AJ719" t="n">
        <v>1</v>
      </c>
      <c r="AK719" t="n">
        <v>1</v>
      </c>
      <c r="AL719" t="n">
        <v>4</v>
      </c>
      <c r="AM719" t="n">
        <v>4</v>
      </c>
      <c r="AN719" t="n">
        <v>1</v>
      </c>
      <c r="AO719" t="n">
        <v>1</v>
      </c>
      <c r="AP719" t="n">
        <v>0</v>
      </c>
      <c r="AQ719" t="n">
        <v>0</v>
      </c>
      <c r="AR719" t="inlineStr">
        <is>
          <t>No</t>
        </is>
      </c>
      <c r="AS719" t="inlineStr">
        <is>
          <t>No</t>
        </is>
      </c>
      <c r="AU719">
        <f>HYPERLINK("https://creighton-primo.hosted.exlibrisgroup.com/primo-explore/search?tab=default_tab&amp;search_scope=EVERYTHING&amp;vid=01CRU&amp;lang=en_US&amp;offset=0&amp;query=any,contains,991001134529702656","Catalog Record")</f>
        <v/>
      </c>
      <c r="AV719">
        <f>HYPERLINK("http://www.worldcat.org/oclc/6735062","WorldCat Record")</f>
        <v/>
      </c>
      <c r="AW719" t="inlineStr">
        <is>
          <t>24315052:eng</t>
        </is>
      </c>
      <c r="AX719" t="inlineStr">
        <is>
          <t>6735062</t>
        </is>
      </c>
      <c r="AY719" t="inlineStr">
        <is>
          <t>991001134529702656</t>
        </is>
      </c>
      <c r="AZ719" t="inlineStr">
        <is>
          <t>991001134529702656</t>
        </is>
      </c>
      <c r="BA719" t="inlineStr">
        <is>
          <t>2268625530002656</t>
        </is>
      </c>
      <c r="BB719" t="inlineStr">
        <is>
          <t>BOOK</t>
        </is>
      </c>
      <c r="BD719" t="inlineStr">
        <is>
          <t>9780877846666</t>
        </is>
      </c>
      <c r="BE719" t="inlineStr">
        <is>
          <t>30001000286049</t>
        </is>
      </c>
      <c r="BF719" t="inlineStr">
        <is>
          <t>893638064</t>
        </is>
      </c>
    </row>
    <row r="720">
      <c r="A720" t="inlineStr">
        <is>
          <t>No</t>
        </is>
      </c>
      <c r="B720" t="inlineStr">
        <is>
          <t>CUHSL</t>
        </is>
      </c>
      <c r="C720" t="inlineStr">
        <is>
          <t>SHELVES</t>
        </is>
      </c>
      <c r="D720" t="inlineStr">
        <is>
          <t>WY 85 S586a 1995</t>
        </is>
      </c>
      <c r="E720" t="inlineStr">
        <is>
          <t>0                      WY 0085000S  586a        1995</t>
        </is>
      </c>
      <c r="F720" t="inlineStr">
        <is>
          <t>Annotated bibliography for ethical guidelines in the conduct, dissemination, and implementation of nursing research / Mary Cipriano Silva.</t>
        </is>
      </c>
      <c r="H720" t="inlineStr">
        <is>
          <t>No</t>
        </is>
      </c>
      <c r="I720" t="inlineStr">
        <is>
          <t>1</t>
        </is>
      </c>
      <c r="J720" t="inlineStr">
        <is>
          <t>No</t>
        </is>
      </c>
      <c r="K720" t="inlineStr">
        <is>
          <t>No</t>
        </is>
      </c>
      <c r="L720" t="inlineStr">
        <is>
          <t>0</t>
        </is>
      </c>
      <c r="M720" t="inlineStr">
        <is>
          <t>Silva, Mary Cipriano.</t>
        </is>
      </c>
      <c r="N720" t="inlineStr">
        <is>
          <t>Washington, DC : American Nurses Publishing, c1995.</t>
        </is>
      </c>
      <c r="O720" t="inlineStr">
        <is>
          <t>1995</t>
        </is>
      </c>
      <c r="Q720" t="inlineStr">
        <is>
          <t>eng</t>
        </is>
      </c>
      <c r="R720" t="inlineStr">
        <is>
          <t>wau</t>
        </is>
      </c>
      <c r="S720" t="inlineStr">
        <is>
          <t>American Nurses Association ; Pub. no. D-97</t>
        </is>
      </c>
      <c r="T720" t="inlineStr">
        <is>
          <t xml:space="preserve">WY </t>
        </is>
      </c>
      <c r="U720" t="n">
        <v>0</v>
      </c>
      <c r="V720" t="n">
        <v>0</v>
      </c>
      <c r="W720" t="inlineStr">
        <is>
          <t>2007-04-16</t>
        </is>
      </c>
      <c r="X720" t="inlineStr">
        <is>
          <t>2007-04-16</t>
        </is>
      </c>
      <c r="Y720" t="inlineStr">
        <is>
          <t>2000-06-15</t>
        </is>
      </c>
      <c r="Z720" t="inlineStr">
        <is>
          <t>2000-06-15</t>
        </is>
      </c>
      <c r="AA720" t="n">
        <v>137</v>
      </c>
      <c r="AB720" t="n">
        <v>131</v>
      </c>
      <c r="AC720" t="n">
        <v>141</v>
      </c>
      <c r="AD720" t="n">
        <v>2</v>
      </c>
      <c r="AE720" t="n">
        <v>2</v>
      </c>
      <c r="AF720" t="n">
        <v>10</v>
      </c>
      <c r="AG720" t="n">
        <v>10</v>
      </c>
      <c r="AH720" t="n">
        <v>2</v>
      </c>
      <c r="AI720" t="n">
        <v>2</v>
      </c>
      <c r="AJ720" t="n">
        <v>3</v>
      </c>
      <c r="AK720" t="n">
        <v>3</v>
      </c>
      <c r="AL720" t="n">
        <v>5</v>
      </c>
      <c r="AM720" t="n">
        <v>5</v>
      </c>
      <c r="AN720" t="n">
        <v>0</v>
      </c>
      <c r="AO720" t="n">
        <v>0</v>
      </c>
      <c r="AP720" t="n">
        <v>0</v>
      </c>
      <c r="AQ720" t="n">
        <v>0</v>
      </c>
      <c r="AR720" t="inlineStr">
        <is>
          <t>No</t>
        </is>
      </c>
      <c r="AS720" t="inlineStr">
        <is>
          <t>Yes</t>
        </is>
      </c>
      <c r="AT720">
        <f>HYPERLINK("http://catalog.hathitrust.org/Record/003004363","HathiTrust Record")</f>
        <v/>
      </c>
      <c r="AU720">
        <f>HYPERLINK("https://creighton-primo.hosted.exlibrisgroup.com/primo-explore/search?tab=default_tab&amp;search_scope=EVERYTHING&amp;vid=01CRU&amp;lang=en_US&amp;offset=0&amp;query=any,contains,991000255969702656","Catalog Record")</f>
        <v/>
      </c>
      <c r="AV720">
        <f>HYPERLINK("http://www.worldcat.org/oclc/33076929","WorldCat Record")</f>
        <v/>
      </c>
      <c r="AW720" t="inlineStr">
        <is>
          <t>2051836:eng</t>
        </is>
      </c>
      <c r="AX720" t="inlineStr">
        <is>
          <t>33076929</t>
        </is>
      </c>
      <c r="AY720" t="inlineStr">
        <is>
          <t>991000255969702656</t>
        </is>
      </c>
      <c r="AZ720" t="inlineStr">
        <is>
          <t>991000255969702656</t>
        </is>
      </c>
      <c r="BA720" t="inlineStr">
        <is>
          <t>2268487540002656</t>
        </is>
      </c>
      <c r="BB720" t="inlineStr">
        <is>
          <t>BOOK</t>
        </is>
      </c>
      <c r="BD720" t="inlineStr">
        <is>
          <t>9781558101104</t>
        </is>
      </c>
      <c r="BE720" t="inlineStr">
        <is>
          <t>30001003231356</t>
        </is>
      </c>
      <c r="BF720" t="inlineStr">
        <is>
          <t>893108174</t>
        </is>
      </c>
    </row>
    <row r="721">
      <c r="A721" t="inlineStr">
        <is>
          <t>No</t>
        </is>
      </c>
      <c r="B721" t="inlineStr">
        <is>
          <t>CUHSL</t>
        </is>
      </c>
      <c r="C721" t="inlineStr">
        <is>
          <t>SHELVES</t>
        </is>
      </c>
      <c r="D721" t="inlineStr">
        <is>
          <t>WY 85 S586r 1991</t>
        </is>
      </c>
      <c r="E721" t="inlineStr">
        <is>
          <t>0                      WY 0085000S  586r        1991</t>
        </is>
      </c>
      <c r="F721" t="inlineStr">
        <is>
          <t>Research on ethics in nursing education : an integrative review and critique / Mary Cipriano Silva, Jeanne Merkle Sorrell.</t>
        </is>
      </c>
      <c r="H721" t="inlineStr">
        <is>
          <t>No</t>
        </is>
      </c>
      <c r="I721" t="inlineStr">
        <is>
          <t>1</t>
        </is>
      </c>
      <c r="J721" t="inlineStr">
        <is>
          <t>No</t>
        </is>
      </c>
      <c r="K721" t="inlineStr">
        <is>
          <t>No</t>
        </is>
      </c>
      <c r="L721" t="inlineStr">
        <is>
          <t>0</t>
        </is>
      </c>
      <c r="M721" t="inlineStr">
        <is>
          <t>Silva, Mary Cipriano.</t>
        </is>
      </c>
      <c r="N721" t="inlineStr">
        <is>
          <t>New York : National League for Nursing Press, c1991.</t>
        </is>
      </c>
      <c r="O721" t="inlineStr">
        <is>
          <t>1991</t>
        </is>
      </c>
      <c r="Q721" t="inlineStr">
        <is>
          <t>eng</t>
        </is>
      </c>
      <c r="R721" t="inlineStr">
        <is>
          <t>nyu</t>
        </is>
      </c>
      <c r="S721" t="inlineStr">
        <is>
          <t>Council for the Society for Research in Nursing Education. Monograph series</t>
        </is>
      </c>
      <c r="T721" t="inlineStr">
        <is>
          <t xml:space="preserve">WY </t>
        </is>
      </c>
      <c r="U721" t="n">
        <v>0</v>
      </c>
      <c r="V721" t="n">
        <v>0</v>
      </c>
      <c r="W721" t="inlineStr">
        <is>
          <t>2007-04-16</t>
        </is>
      </c>
      <c r="X721" t="inlineStr">
        <is>
          <t>2007-04-16</t>
        </is>
      </c>
      <c r="Y721" t="inlineStr">
        <is>
          <t>2000-06-15</t>
        </is>
      </c>
      <c r="Z721" t="inlineStr">
        <is>
          <t>2000-06-15</t>
        </is>
      </c>
      <c r="AA721" t="n">
        <v>256</v>
      </c>
      <c r="AB721" t="n">
        <v>221</v>
      </c>
      <c r="AC721" t="n">
        <v>221</v>
      </c>
      <c r="AD721" t="n">
        <v>3</v>
      </c>
      <c r="AE721" t="n">
        <v>3</v>
      </c>
      <c r="AF721" t="n">
        <v>12</v>
      </c>
      <c r="AG721" t="n">
        <v>12</v>
      </c>
      <c r="AH721" t="n">
        <v>5</v>
      </c>
      <c r="AI721" t="n">
        <v>5</v>
      </c>
      <c r="AJ721" t="n">
        <v>2</v>
      </c>
      <c r="AK721" t="n">
        <v>2</v>
      </c>
      <c r="AL721" t="n">
        <v>5</v>
      </c>
      <c r="AM721" t="n">
        <v>5</v>
      </c>
      <c r="AN721" t="n">
        <v>1</v>
      </c>
      <c r="AO721" t="n">
        <v>1</v>
      </c>
      <c r="AP721" t="n">
        <v>0</v>
      </c>
      <c r="AQ721" t="n">
        <v>0</v>
      </c>
      <c r="AR721" t="inlineStr">
        <is>
          <t>No</t>
        </is>
      </c>
      <c r="AS721" t="inlineStr">
        <is>
          <t>No</t>
        </is>
      </c>
      <c r="AU721">
        <f>HYPERLINK("https://creighton-primo.hosted.exlibrisgroup.com/primo-explore/search?tab=default_tab&amp;search_scope=EVERYTHING&amp;vid=01CRU&amp;lang=en_US&amp;offset=0&amp;query=any,contains,991000230109702656","Catalog Record")</f>
        <v/>
      </c>
      <c r="AV721">
        <f>HYPERLINK("http://www.worldcat.org/oclc/24340528","WorldCat Record")</f>
        <v/>
      </c>
      <c r="AW721" t="inlineStr">
        <is>
          <t>117581655:eng</t>
        </is>
      </c>
      <c r="AX721" t="inlineStr">
        <is>
          <t>24340528</t>
        </is>
      </c>
      <c r="AY721" t="inlineStr">
        <is>
          <t>991000230109702656</t>
        </is>
      </c>
      <c r="AZ721" t="inlineStr">
        <is>
          <t>991000230109702656</t>
        </is>
      </c>
      <c r="BA721" t="inlineStr">
        <is>
          <t>2255711170002656</t>
        </is>
      </c>
      <c r="BB721" t="inlineStr">
        <is>
          <t>BOOK</t>
        </is>
      </c>
      <c r="BD721" t="inlineStr">
        <is>
          <t>9780887375255</t>
        </is>
      </c>
      <c r="BE721" t="inlineStr">
        <is>
          <t>30001002289389</t>
        </is>
      </c>
      <c r="BF721" t="inlineStr">
        <is>
          <t>893732595</t>
        </is>
      </c>
    </row>
    <row r="722">
      <c r="A722" t="inlineStr">
        <is>
          <t>No</t>
        </is>
      </c>
      <c r="B722" t="inlineStr">
        <is>
          <t>CUHSL</t>
        </is>
      </c>
      <c r="C722" t="inlineStr">
        <is>
          <t>SHELVES</t>
        </is>
      </c>
      <c r="D722" t="inlineStr">
        <is>
          <t>WY 85 T473b 1985</t>
        </is>
      </c>
      <c r="E722" t="inlineStr">
        <is>
          <t>0                      WY 0085000T  473b        1985</t>
        </is>
      </c>
      <c r="F722" t="inlineStr">
        <is>
          <t>Bioethical decision making for nurses / Joyce E. Thompson, Henry O. Thompson.</t>
        </is>
      </c>
      <c r="H722" t="inlineStr">
        <is>
          <t>No</t>
        </is>
      </c>
      <c r="I722" t="inlineStr">
        <is>
          <t>1</t>
        </is>
      </c>
      <c r="J722" t="inlineStr">
        <is>
          <t>No</t>
        </is>
      </c>
      <c r="K722" t="inlineStr">
        <is>
          <t>No</t>
        </is>
      </c>
      <c r="L722" t="inlineStr">
        <is>
          <t>0</t>
        </is>
      </c>
      <c r="M722" t="inlineStr">
        <is>
          <t>Thompson, Joyce Beebe.</t>
        </is>
      </c>
      <c r="N722" t="inlineStr">
        <is>
          <t>Norwalk, Conn. : Appleton-Century-Crofts, c1985.</t>
        </is>
      </c>
      <c r="O722" t="inlineStr">
        <is>
          <t>1985</t>
        </is>
      </c>
      <c r="Q722" t="inlineStr">
        <is>
          <t>eng</t>
        </is>
      </c>
      <c r="R722" t="inlineStr">
        <is>
          <t>xxu</t>
        </is>
      </c>
      <c r="T722" t="inlineStr">
        <is>
          <t xml:space="preserve">WY </t>
        </is>
      </c>
      <c r="U722" t="n">
        <v>8</v>
      </c>
      <c r="V722" t="n">
        <v>8</v>
      </c>
      <c r="W722" t="inlineStr">
        <is>
          <t>2007-04-13</t>
        </is>
      </c>
      <c r="X722" t="inlineStr">
        <is>
          <t>2007-04-13</t>
        </is>
      </c>
      <c r="Y722" t="inlineStr">
        <is>
          <t>1987-10-22</t>
        </is>
      </c>
      <c r="Z722" t="inlineStr">
        <is>
          <t>1987-10-22</t>
        </is>
      </c>
      <c r="AA722" t="n">
        <v>372</v>
      </c>
      <c r="AB722" t="n">
        <v>311</v>
      </c>
      <c r="AC722" t="n">
        <v>348</v>
      </c>
      <c r="AD722" t="n">
        <v>6</v>
      </c>
      <c r="AE722" t="n">
        <v>6</v>
      </c>
      <c r="AF722" t="n">
        <v>18</v>
      </c>
      <c r="AG722" t="n">
        <v>19</v>
      </c>
      <c r="AH722" t="n">
        <v>7</v>
      </c>
      <c r="AI722" t="n">
        <v>7</v>
      </c>
      <c r="AJ722" t="n">
        <v>2</v>
      </c>
      <c r="AK722" t="n">
        <v>3</v>
      </c>
      <c r="AL722" t="n">
        <v>8</v>
      </c>
      <c r="AM722" t="n">
        <v>8</v>
      </c>
      <c r="AN722" t="n">
        <v>4</v>
      </c>
      <c r="AO722" t="n">
        <v>4</v>
      </c>
      <c r="AP722" t="n">
        <v>1</v>
      </c>
      <c r="AQ722" t="n">
        <v>1</v>
      </c>
      <c r="AR722" t="inlineStr">
        <is>
          <t>No</t>
        </is>
      </c>
      <c r="AS722" t="inlineStr">
        <is>
          <t>Yes</t>
        </is>
      </c>
      <c r="AT722">
        <f>HYPERLINK("http://catalog.hathitrust.org/Record/000462561","HathiTrust Record")</f>
        <v/>
      </c>
      <c r="AU722">
        <f>HYPERLINK("https://creighton-primo.hosted.exlibrisgroup.com/primo-explore/search?tab=default_tab&amp;search_scope=EVERYTHING&amp;vid=01CRU&amp;lang=en_US&amp;offset=0&amp;query=any,contains,991000738929702656","Catalog Record")</f>
        <v/>
      </c>
      <c r="AV722">
        <f>HYPERLINK("http://www.worldcat.org/oclc/11549571","WorldCat Record")</f>
        <v/>
      </c>
      <c r="AW722" t="inlineStr">
        <is>
          <t>4333428:eng</t>
        </is>
      </c>
      <c r="AX722" t="inlineStr">
        <is>
          <t>11549571</t>
        </is>
      </c>
      <c r="AY722" t="inlineStr">
        <is>
          <t>991000738929702656</t>
        </is>
      </c>
      <c r="AZ722" t="inlineStr">
        <is>
          <t>991000738929702656</t>
        </is>
      </c>
      <c r="BA722" t="inlineStr">
        <is>
          <t>2263030590002656</t>
        </is>
      </c>
      <c r="BB722" t="inlineStr">
        <is>
          <t>BOOK</t>
        </is>
      </c>
      <c r="BD722" t="inlineStr">
        <is>
          <t>9780838506509</t>
        </is>
      </c>
      <c r="BE722" t="inlineStr">
        <is>
          <t>30001000042764</t>
        </is>
      </c>
      <c r="BF722" t="inlineStr">
        <is>
          <t>893368394</t>
        </is>
      </c>
    </row>
    <row r="723">
      <c r="A723" t="inlineStr">
        <is>
          <t>No</t>
        </is>
      </c>
      <c r="B723" t="inlineStr">
        <is>
          <t>CUHSL</t>
        </is>
      </c>
      <c r="C723" t="inlineStr">
        <is>
          <t>SHELVES</t>
        </is>
      </c>
      <c r="D723" t="inlineStr">
        <is>
          <t>WY 85 T473e 1981</t>
        </is>
      </c>
      <c r="E723" t="inlineStr">
        <is>
          <t>0                      WY 0085000T  473e        1981</t>
        </is>
      </c>
      <c r="F723" t="inlineStr">
        <is>
          <t>Ethics in nursing / Joyce Beebe Thompson, Henry O. Thompson.</t>
        </is>
      </c>
      <c r="H723" t="inlineStr">
        <is>
          <t>No</t>
        </is>
      </c>
      <c r="I723" t="inlineStr">
        <is>
          <t>1</t>
        </is>
      </c>
      <c r="J723" t="inlineStr">
        <is>
          <t>No</t>
        </is>
      </c>
      <c r="K723" t="inlineStr">
        <is>
          <t>No</t>
        </is>
      </c>
      <c r="L723" t="inlineStr">
        <is>
          <t>0</t>
        </is>
      </c>
      <c r="M723" t="inlineStr">
        <is>
          <t>Thompson, Joyce Beebe.</t>
        </is>
      </c>
      <c r="N723" t="inlineStr">
        <is>
          <t>New York : Macmillan, c1981.</t>
        </is>
      </c>
      <c r="O723" t="inlineStr">
        <is>
          <t>1981</t>
        </is>
      </c>
      <c r="Q723" t="inlineStr">
        <is>
          <t>eng</t>
        </is>
      </c>
      <c r="R723" t="inlineStr">
        <is>
          <t>xxu</t>
        </is>
      </c>
      <c r="T723" t="inlineStr">
        <is>
          <t xml:space="preserve">WY </t>
        </is>
      </c>
      <c r="U723" t="n">
        <v>8</v>
      </c>
      <c r="V723" t="n">
        <v>8</v>
      </c>
      <c r="W723" t="inlineStr">
        <is>
          <t>2007-04-13</t>
        </is>
      </c>
      <c r="X723" t="inlineStr">
        <is>
          <t>2007-04-13</t>
        </is>
      </c>
      <c r="Y723" t="inlineStr">
        <is>
          <t>1989-06-15</t>
        </is>
      </c>
      <c r="Z723" t="inlineStr">
        <is>
          <t>1989-06-15</t>
        </is>
      </c>
      <c r="AA723" t="n">
        <v>365</v>
      </c>
      <c r="AB723" t="n">
        <v>310</v>
      </c>
      <c r="AC723" t="n">
        <v>340</v>
      </c>
      <c r="AD723" t="n">
        <v>1</v>
      </c>
      <c r="AE723" t="n">
        <v>1</v>
      </c>
      <c r="AF723" t="n">
        <v>15</v>
      </c>
      <c r="AG723" t="n">
        <v>15</v>
      </c>
      <c r="AH723" t="n">
        <v>9</v>
      </c>
      <c r="AI723" t="n">
        <v>9</v>
      </c>
      <c r="AJ723" t="n">
        <v>1</v>
      </c>
      <c r="AK723" t="n">
        <v>1</v>
      </c>
      <c r="AL723" t="n">
        <v>9</v>
      </c>
      <c r="AM723" t="n">
        <v>9</v>
      </c>
      <c r="AN723" t="n">
        <v>0</v>
      </c>
      <c r="AO723" t="n">
        <v>0</v>
      </c>
      <c r="AP723" t="n">
        <v>1</v>
      </c>
      <c r="AQ723" t="n">
        <v>1</v>
      </c>
      <c r="AR723" t="inlineStr">
        <is>
          <t>No</t>
        </is>
      </c>
      <c r="AS723" t="inlineStr">
        <is>
          <t>Yes</t>
        </is>
      </c>
      <c r="AT723">
        <f>HYPERLINK("http://catalog.hathitrust.org/Record/000104121","HathiTrust Record")</f>
        <v/>
      </c>
      <c r="AU723">
        <f>HYPERLINK("https://creighton-primo.hosted.exlibrisgroup.com/primo-explore/search?tab=default_tab&amp;search_scope=EVERYTHING&amp;vid=01CRU&amp;lang=en_US&amp;offset=0&amp;query=any,contains,991001134709702656","Catalog Record")</f>
        <v/>
      </c>
      <c r="AV723">
        <f>HYPERLINK("http://www.worldcat.org/oclc/6375961","WorldCat Record")</f>
        <v/>
      </c>
      <c r="AW723" t="inlineStr">
        <is>
          <t>3901380231:eng</t>
        </is>
      </c>
      <c r="AX723" t="inlineStr">
        <is>
          <t>6375961</t>
        </is>
      </c>
      <c r="AY723" t="inlineStr">
        <is>
          <t>991001134709702656</t>
        </is>
      </c>
      <c r="AZ723" t="inlineStr">
        <is>
          <t>991001134709702656</t>
        </is>
      </c>
      <c r="BA723" t="inlineStr">
        <is>
          <t>2270559090002656</t>
        </is>
      </c>
      <c r="BB723" t="inlineStr">
        <is>
          <t>BOOK</t>
        </is>
      </c>
      <c r="BD723" t="inlineStr">
        <is>
          <t>9780024206909</t>
        </is>
      </c>
      <c r="BE723" t="inlineStr">
        <is>
          <t>30001000286080</t>
        </is>
      </c>
      <c r="BF723" t="inlineStr">
        <is>
          <t>893727277</t>
        </is>
      </c>
    </row>
    <row r="724">
      <c r="A724" t="inlineStr">
        <is>
          <t>No</t>
        </is>
      </c>
      <c r="B724" t="inlineStr">
        <is>
          <t>CUHSL</t>
        </is>
      </c>
      <c r="C724" t="inlineStr">
        <is>
          <t>SHELVES</t>
        </is>
      </c>
      <c r="D724" t="inlineStr">
        <is>
          <t>WY85 V899n 2002</t>
        </is>
      </c>
      <c r="E724" t="inlineStr">
        <is>
          <t>0                      WY 0085000V  899n        2002</t>
        </is>
      </c>
      <c r="F724" t="inlineStr">
        <is>
          <t>Nursing ethics : communities in dialogue / Rose Mary Volbrecht ; content consultant, Karen Groth ; editorial consultant, Patti Cleary.</t>
        </is>
      </c>
      <c r="H724" t="inlineStr">
        <is>
          <t>No</t>
        </is>
      </c>
      <c r="I724" t="inlineStr">
        <is>
          <t>1</t>
        </is>
      </c>
      <c r="J724" t="inlineStr">
        <is>
          <t>No</t>
        </is>
      </c>
      <c r="K724" t="inlineStr">
        <is>
          <t>No</t>
        </is>
      </c>
      <c r="L724" t="inlineStr">
        <is>
          <t>0</t>
        </is>
      </c>
      <c r="M724" t="inlineStr">
        <is>
          <t>Volbrecht, Rose Mary.</t>
        </is>
      </c>
      <c r="N724" t="inlineStr">
        <is>
          <t>Upper Saddle River, N.J. : Prentice Hall, c2002.</t>
        </is>
      </c>
      <c r="O724" t="inlineStr">
        <is>
          <t>2002</t>
        </is>
      </c>
      <c r="Q724" t="inlineStr">
        <is>
          <t>eng</t>
        </is>
      </c>
      <c r="R724" t="inlineStr">
        <is>
          <t>nju</t>
        </is>
      </c>
      <c r="T724" t="inlineStr">
        <is>
          <t xml:space="preserve">WY </t>
        </is>
      </c>
      <c r="U724" t="n">
        <v>1</v>
      </c>
      <c r="V724" t="n">
        <v>1</v>
      </c>
      <c r="W724" t="inlineStr">
        <is>
          <t>2005-03-10</t>
        </is>
      </c>
      <c r="X724" t="inlineStr">
        <is>
          <t>2005-03-10</t>
        </is>
      </c>
      <c r="Y724" t="inlineStr">
        <is>
          <t>2004-06-04</t>
        </is>
      </c>
      <c r="Z724" t="inlineStr">
        <is>
          <t>2004-06-04</t>
        </is>
      </c>
      <c r="AA724" t="n">
        <v>268</v>
      </c>
      <c r="AB724" t="n">
        <v>200</v>
      </c>
      <c r="AC724" t="n">
        <v>202</v>
      </c>
      <c r="AD724" t="n">
        <v>1</v>
      </c>
      <c r="AE724" t="n">
        <v>1</v>
      </c>
      <c r="AF724" t="n">
        <v>13</v>
      </c>
      <c r="AG724" t="n">
        <v>13</v>
      </c>
      <c r="AH724" t="n">
        <v>5</v>
      </c>
      <c r="AI724" t="n">
        <v>5</v>
      </c>
      <c r="AJ724" t="n">
        <v>1</v>
      </c>
      <c r="AK724" t="n">
        <v>1</v>
      </c>
      <c r="AL724" t="n">
        <v>9</v>
      </c>
      <c r="AM724" t="n">
        <v>9</v>
      </c>
      <c r="AN724" t="n">
        <v>0</v>
      </c>
      <c r="AO724" t="n">
        <v>0</v>
      </c>
      <c r="AP724" t="n">
        <v>0</v>
      </c>
      <c r="AQ724" t="n">
        <v>0</v>
      </c>
      <c r="AR724" t="inlineStr">
        <is>
          <t>No</t>
        </is>
      </c>
      <c r="AS724" t="inlineStr">
        <is>
          <t>Yes</t>
        </is>
      </c>
      <c r="AT724">
        <f>HYPERLINK("http://catalog.hathitrust.org/Record/004200649","HathiTrust Record")</f>
        <v/>
      </c>
      <c r="AU724">
        <f>HYPERLINK("https://creighton-primo.hosted.exlibrisgroup.com/primo-explore/search?tab=default_tab&amp;search_scope=EVERYTHING&amp;vid=01CRU&amp;lang=en_US&amp;offset=0&amp;query=any,contains,991000371319702656","Catalog Record")</f>
        <v/>
      </c>
      <c r="AV724">
        <f>HYPERLINK("http://www.worldcat.org/oclc/46463290","WorldCat Record")</f>
        <v/>
      </c>
      <c r="AW724" t="inlineStr">
        <is>
          <t>819144615:eng</t>
        </is>
      </c>
      <c r="AX724" t="inlineStr">
        <is>
          <t>46463290</t>
        </is>
      </c>
      <c r="AY724" t="inlineStr">
        <is>
          <t>991000371319702656</t>
        </is>
      </c>
      <c r="AZ724" t="inlineStr">
        <is>
          <t>991000371319702656</t>
        </is>
      </c>
      <c r="BA724" t="inlineStr">
        <is>
          <t>2266753380002656</t>
        </is>
      </c>
      <c r="BB724" t="inlineStr">
        <is>
          <t>BOOK</t>
        </is>
      </c>
      <c r="BD724" t="inlineStr">
        <is>
          <t>9780130305213</t>
        </is>
      </c>
      <c r="BE724" t="inlineStr">
        <is>
          <t>30001004509081</t>
        </is>
      </c>
      <c r="BF724" t="inlineStr">
        <is>
          <t>893811443</t>
        </is>
      </c>
    </row>
    <row r="725">
      <c r="A725" t="inlineStr">
        <is>
          <t>No</t>
        </is>
      </c>
      <c r="B725" t="inlineStr">
        <is>
          <t>CUHSL</t>
        </is>
      </c>
      <c r="C725" t="inlineStr">
        <is>
          <t>SHELVES</t>
        </is>
      </c>
      <c r="D725" t="inlineStr">
        <is>
          <t>WY 86 A244 1983</t>
        </is>
      </c>
      <c r="E725" t="inlineStr">
        <is>
          <t>0                      WY 0086000A  244         1983</t>
        </is>
      </c>
      <c r="F725" t="inlineStr">
        <is>
          <t>Advances in nursing theory development / editor, Peggy L. Chinn ; contributors, Marcia Anderson ... [et al.].</t>
        </is>
      </c>
      <c r="H725" t="inlineStr">
        <is>
          <t>No</t>
        </is>
      </c>
      <c r="I725" t="inlineStr">
        <is>
          <t>1</t>
        </is>
      </c>
      <c r="J725" t="inlineStr">
        <is>
          <t>No</t>
        </is>
      </c>
      <c r="K725" t="inlineStr">
        <is>
          <t>No</t>
        </is>
      </c>
      <c r="L725" t="inlineStr">
        <is>
          <t>0</t>
        </is>
      </c>
      <c r="N725" t="inlineStr">
        <is>
          <t>Rockville, Md. : Aspen Systems Corp., c1983.</t>
        </is>
      </c>
      <c r="O725" t="inlineStr">
        <is>
          <t>1983</t>
        </is>
      </c>
      <c r="Q725" t="inlineStr">
        <is>
          <t>eng</t>
        </is>
      </c>
      <c r="R725" t="inlineStr">
        <is>
          <t>xxu</t>
        </is>
      </c>
      <c r="T725" t="inlineStr">
        <is>
          <t xml:space="preserve">WY </t>
        </is>
      </c>
      <c r="U725" t="n">
        <v>15</v>
      </c>
      <c r="V725" t="n">
        <v>15</v>
      </c>
      <c r="W725" t="inlineStr">
        <is>
          <t>1999-03-22</t>
        </is>
      </c>
      <c r="X725" t="inlineStr">
        <is>
          <t>1999-03-22</t>
        </is>
      </c>
      <c r="Y725" t="inlineStr">
        <is>
          <t>1987-12-29</t>
        </is>
      </c>
      <c r="Z725" t="inlineStr">
        <is>
          <t>1987-12-29</t>
        </is>
      </c>
      <c r="AA725" t="n">
        <v>331</v>
      </c>
      <c r="AB725" t="n">
        <v>282</v>
      </c>
      <c r="AC725" t="n">
        <v>289</v>
      </c>
      <c r="AD725" t="n">
        <v>3</v>
      </c>
      <c r="AE725" t="n">
        <v>3</v>
      </c>
      <c r="AF725" t="n">
        <v>16</v>
      </c>
      <c r="AG725" t="n">
        <v>16</v>
      </c>
      <c r="AH725" t="n">
        <v>6</v>
      </c>
      <c r="AI725" t="n">
        <v>6</v>
      </c>
      <c r="AJ725" t="n">
        <v>4</v>
      </c>
      <c r="AK725" t="n">
        <v>4</v>
      </c>
      <c r="AL725" t="n">
        <v>9</v>
      </c>
      <c r="AM725" t="n">
        <v>9</v>
      </c>
      <c r="AN725" t="n">
        <v>2</v>
      </c>
      <c r="AO725" t="n">
        <v>2</v>
      </c>
      <c r="AP725" t="n">
        <v>0</v>
      </c>
      <c r="AQ725" t="n">
        <v>0</v>
      </c>
      <c r="AR725" t="inlineStr">
        <is>
          <t>No</t>
        </is>
      </c>
      <c r="AS725" t="inlineStr">
        <is>
          <t>Yes</t>
        </is>
      </c>
      <c r="AT725">
        <f>HYPERLINK("http://catalog.hathitrust.org/Record/000308119","HathiTrust Record")</f>
        <v/>
      </c>
      <c r="AU725">
        <f>HYPERLINK("https://creighton-primo.hosted.exlibrisgroup.com/primo-explore/search?tab=default_tab&amp;search_scope=EVERYTHING&amp;vid=01CRU&amp;lang=en_US&amp;offset=0&amp;query=any,contains,991001134759702656","Catalog Record")</f>
        <v/>
      </c>
      <c r="AV725">
        <f>HYPERLINK("http://www.worldcat.org/oclc/8805280","WorldCat Record")</f>
        <v/>
      </c>
      <c r="AW725" t="inlineStr">
        <is>
          <t>43646853:eng</t>
        </is>
      </c>
      <c r="AX725" t="inlineStr">
        <is>
          <t>8805280</t>
        </is>
      </c>
      <c r="AY725" t="inlineStr">
        <is>
          <t>991001134759702656</t>
        </is>
      </c>
      <c r="AZ725" t="inlineStr">
        <is>
          <t>991001134759702656</t>
        </is>
      </c>
      <c r="BA725" t="inlineStr">
        <is>
          <t>2265437100002656</t>
        </is>
      </c>
      <c r="BB725" t="inlineStr">
        <is>
          <t>BOOK</t>
        </is>
      </c>
      <c r="BD725" t="inlineStr">
        <is>
          <t>9780894438424</t>
        </is>
      </c>
      <c r="BE725" t="inlineStr">
        <is>
          <t>30001000286098</t>
        </is>
      </c>
      <c r="BF725" t="inlineStr">
        <is>
          <t>893465222</t>
        </is>
      </c>
    </row>
    <row r="726">
      <c r="A726" t="inlineStr">
        <is>
          <t>No</t>
        </is>
      </c>
      <c r="B726" t="inlineStr">
        <is>
          <t>CUHSL</t>
        </is>
      </c>
      <c r="C726" t="inlineStr">
        <is>
          <t>SHELVES</t>
        </is>
      </c>
      <c r="D726" t="inlineStr">
        <is>
          <t>WY 86 B214c 1995</t>
        </is>
      </c>
      <c r="E726" t="inlineStr">
        <is>
          <t>0                      WY 0086000B  214c        1995</t>
        </is>
      </c>
      <c r="F726" t="inlineStr">
        <is>
          <t>Critical thinking in nursing / Elsie L. Bandman, Bertram Bandman.</t>
        </is>
      </c>
      <c r="H726" t="inlineStr">
        <is>
          <t>No</t>
        </is>
      </c>
      <c r="I726" t="inlineStr">
        <is>
          <t>1</t>
        </is>
      </c>
      <c r="J726" t="inlineStr">
        <is>
          <t>No</t>
        </is>
      </c>
      <c r="K726" t="inlineStr">
        <is>
          <t>No</t>
        </is>
      </c>
      <c r="L726" t="inlineStr">
        <is>
          <t>0</t>
        </is>
      </c>
      <c r="M726" t="inlineStr">
        <is>
          <t>Bandman, Elsie L.</t>
        </is>
      </c>
      <c r="N726" t="inlineStr">
        <is>
          <t>Norwalk, Conn. : Appleton &amp; Lange, c1995.</t>
        </is>
      </c>
      <c r="O726" t="inlineStr">
        <is>
          <t>1995</t>
        </is>
      </c>
      <c r="P726" t="inlineStr">
        <is>
          <t>2nd ed.</t>
        </is>
      </c>
      <c r="Q726" t="inlineStr">
        <is>
          <t>eng</t>
        </is>
      </c>
      <c r="R726" t="inlineStr">
        <is>
          <t>ctu</t>
        </is>
      </c>
      <c r="T726" t="inlineStr">
        <is>
          <t xml:space="preserve">WY </t>
        </is>
      </c>
      <c r="U726" t="n">
        <v>6</v>
      </c>
      <c r="V726" t="n">
        <v>6</v>
      </c>
      <c r="W726" t="inlineStr">
        <is>
          <t>2003-06-30</t>
        </is>
      </c>
      <c r="X726" t="inlineStr">
        <is>
          <t>2003-06-30</t>
        </is>
      </c>
      <c r="Y726" t="inlineStr">
        <is>
          <t>1995-02-15</t>
        </is>
      </c>
      <c r="Z726" t="inlineStr">
        <is>
          <t>1995-02-15</t>
        </is>
      </c>
      <c r="AA726" t="n">
        <v>371</v>
      </c>
      <c r="AB726" t="n">
        <v>254</v>
      </c>
      <c r="AC726" t="n">
        <v>406</v>
      </c>
      <c r="AD726" t="n">
        <v>3</v>
      </c>
      <c r="AE726" t="n">
        <v>3</v>
      </c>
      <c r="AF726" t="n">
        <v>16</v>
      </c>
      <c r="AG726" t="n">
        <v>19</v>
      </c>
      <c r="AH726" t="n">
        <v>5</v>
      </c>
      <c r="AI726" t="n">
        <v>8</v>
      </c>
      <c r="AJ726" t="n">
        <v>4</v>
      </c>
      <c r="AK726" t="n">
        <v>4</v>
      </c>
      <c r="AL726" t="n">
        <v>9</v>
      </c>
      <c r="AM726" t="n">
        <v>9</v>
      </c>
      <c r="AN726" t="n">
        <v>2</v>
      </c>
      <c r="AO726" t="n">
        <v>2</v>
      </c>
      <c r="AP726" t="n">
        <v>0</v>
      </c>
      <c r="AQ726" t="n">
        <v>0</v>
      </c>
      <c r="AR726" t="inlineStr">
        <is>
          <t>No</t>
        </is>
      </c>
      <c r="AS726" t="inlineStr">
        <is>
          <t>No</t>
        </is>
      </c>
      <c r="AU726">
        <f>HYPERLINK("https://creighton-primo.hosted.exlibrisgroup.com/primo-explore/search?tab=default_tab&amp;search_scope=EVERYTHING&amp;vid=01CRU&amp;lang=en_US&amp;offset=0&amp;query=any,contains,991000688919702656","Catalog Record")</f>
        <v/>
      </c>
      <c r="AV726">
        <f>HYPERLINK("http://www.worldcat.org/oclc/30891731","WorldCat Record")</f>
        <v/>
      </c>
      <c r="AW726" t="inlineStr">
        <is>
          <t>16531514:eng</t>
        </is>
      </c>
      <c r="AX726" t="inlineStr">
        <is>
          <t>30891731</t>
        </is>
      </c>
      <c r="AY726" t="inlineStr">
        <is>
          <t>991000688919702656</t>
        </is>
      </c>
      <c r="AZ726" t="inlineStr">
        <is>
          <t>991000688919702656</t>
        </is>
      </c>
      <c r="BA726" t="inlineStr">
        <is>
          <t>2270407770002656</t>
        </is>
      </c>
      <c r="BB726" t="inlineStr">
        <is>
          <t>BOOK</t>
        </is>
      </c>
      <c r="BD726" t="inlineStr">
        <is>
          <t>9780838513743</t>
        </is>
      </c>
      <c r="BE726" t="inlineStr">
        <is>
          <t>30001002699744</t>
        </is>
      </c>
      <c r="BF726" t="inlineStr">
        <is>
          <t>893647993</t>
        </is>
      </c>
    </row>
    <row r="727">
      <c r="A727" t="inlineStr">
        <is>
          <t>No</t>
        </is>
      </c>
      <c r="B727" t="inlineStr">
        <is>
          <t>CUHSL</t>
        </is>
      </c>
      <c r="C727" t="inlineStr">
        <is>
          <t>SHELVES</t>
        </is>
      </c>
      <c r="D727" t="inlineStr">
        <is>
          <t>WY 86 B263n 1998</t>
        </is>
      </c>
      <c r="E727" t="inlineStr">
        <is>
          <t>0                      WY 0086000B  263n        1998</t>
        </is>
      </c>
      <c r="F727" t="inlineStr">
        <is>
          <t>Nursing theory : analysis, application, evaluation / Barbara Stevens Barnum.</t>
        </is>
      </c>
      <c r="H727" t="inlineStr">
        <is>
          <t>No</t>
        </is>
      </c>
      <c r="I727" t="inlineStr">
        <is>
          <t>1</t>
        </is>
      </c>
      <c r="J727" t="inlineStr">
        <is>
          <t>No</t>
        </is>
      </c>
      <c r="K727" t="inlineStr">
        <is>
          <t>Yes</t>
        </is>
      </c>
      <c r="L727" t="inlineStr">
        <is>
          <t>0</t>
        </is>
      </c>
      <c r="M727" t="inlineStr">
        <is>
          <t>Barnum, Barbara Stevens.</t>
        </is>
      </c>
      <c r="N727" t="inlineStr">
        <is>
          <t>Philadelphia : Lippincott, c1998.</t>
        </is>
      </c>
      <c r="O727" t="inlineStr">
        <is>
          <t>1998</t>
        </is>
      </c>
      <c r="P727" t="inlineStr">
        <is>
          <t>5th ed.</t>
        </is>
      </c>
      <c r="Q727" t="inlineStr">
        <is>
          <t>eng</t>
        </is>
      </c>
      <c r="R727" t="inlineStr">
        <is>
          <t>pau</t>
        </is>
      </c>
      <c r="T727" t="inlineStr">
        <is>
          <t xml:space="preserve">WY </t>
        </is>
      </c>
      <c r="U727" t="n">
        <v>2</v>
      </c>
      <c r="V727" t="n">
        <v>2</v>
      </c>
      <c r="W727" t="inlineStr">
        <is>
          <t>1999-09-07</t>
        </is>
      </c>
      <c r="X727" t="inlineStr">
        <is>
          <t>1999-09-07</t>
        </is>
      </c>
      <c r="Y727" t="inlineStr">
        <is>
          <t>1998-03-24</t>
        </is>
      </c>
      <c r="Z727" t="inlineStr">
        <is>
          <t>1998-03-24</t>
        </is>
      </c>
      <c r="AA727" t="n">
        <v>560</v>
      </c>
      <c r="AB727" t="n">
        <v>439</v>
      </c>
      <c r="AC727" t="n">
        <v>839</v>
      </c>
      <c r="AD727" t="n">
        <v>3</v>
      </c>
      <c r="AE727" t="n">
        <v>8</v>
      </c>
      <c r="AF727" t="n">
        <v>20</v>
      </c>
      <c r="AG727" t="n">
        <v>34</v>
      </c>
      <c r="AH727" t="n">
        <v>7</v>
      </c>
      <c r="AI727" t="n">
        <v>14</v>
      </c>
      <c r="AJ727" t="n">
        <v>3</v>
      </c>
      <c r="AK727" t="n">
        <v>6</v>
      </c>
      <c r="AL727" t="n">
        <v>11</v>
      </c>
      <c r="AM727" t="n">
        <v>15</v>
      </c>
      <c r="AN727" t="n">
        <v>2</v>
      </c>
      <c r="AO727" t="n">
        <v>5</v>
      </c>
      <c r="AP727" t="n">
        <v>0</v>
      </c>
      <c r="AQ727" t="n">
        <v>0</v>
      </c>
      <c r="AR727" t="inlineStr">
        <is>
          <t>No</t>
        </is>
      </c>
      <c r="AS727" t="inlineStr">
        <is>
          <t>No</t>
        </is>
      </c>
      <c r="AU727">
        <f>HYPERLINK("https://creighton-primo.hosted.exlibrisgroup.com/primo-explore/search?tab=default_tab&amp;search_scope=EVERYTHING&amp;vid=01CRU&amp;lang=en_US&amp;offset=0&amp;query=any,contains,991001427469702656","Catalog Record")</f>
        <v/>
      </c>
      <c r="AV727">
        <f>HYPERLINK("http://www.worldcat.org/oclc/37410529","WorldCat Record")</f>
        <v/>
      </c>
      <c r="AW727" t="inlineStr">
        <is>
          <t>836646322:eng</t>
        </is>
      </c>
      <c r="AX727" t="inlineStr">
        <is>
          <t>37410529</t>
        </is>
      </c>
      <c r="AY727" t="inlineStr">
        <is>
          <t>991001427469702656</t>
        </is>
      </c>
      <c r="AZ727" t="inlineStr">
        <is>
          <t>991001427469702656</t>
        </is>
      </c>
      <c r="BA727" t="inlineStr">
        <is>
          <t>2266405380002656</t>
        </is>
      </c>
      <c r="BB727" t="inlineStr">
        <is>
          <t>BOOK</t>
        </is>
      </c>
      <c r="BD727" t="inlineStr">
        <is>
          <t>9780781711043</t>
        </is>
      </c>
      <c r="BE727" t="inlineStr">
        <is>
          <t>30001003860477</t>
        </is>
      </c>
      <c r="BF727" t="inlineStr">
        <is>
          <t>893643569</t>
        </is>
      </c>
    </row>
    <row r="728">
      <c r="A728" t="inlineStr">
        <is>
          <t>No</t>
        </is>
      </c>
      <c r="B728" t="inlineStr">
        <is>
          <t>CUHSL</t>
        </is>
      </c>
      <c r="C728" t="inlineStr">
        <is>
          <t>SHELVES</t>
        </is>
      </c>
      <c r="D728" t="inlineStr">
        <is>
          <t>WY 86 B622p 1990</t>
        </is>
      </c>
      <c r="E728" t="inlineStr">
        <is>
          <t>0                      WY 0086000B  622p        1990</t>
        </is>
      </c>
      <c r="F728" t="inlineStr">
        <is>
          <t>The practical, moral, and personal sense of nursing : a phenomenological philosophy of practice / Anne H. Bishop, John R. Scudder, Jr.</t>
        </is>
      </c>
      <c r="H728" t="inlineStr">
        <is>
          <t>No</t>
        </is>
      </c>
      <c r="I728" t="inlineStr">
        <is>
          <t>1</t>
        </is>
      </c>
      <c r="J728" t="inlineStr">
        <is>
          <t>No</t>
        </is>
      </c>
      <c r="K728" t="inlineStr">
        <is>
          <t>No</t>
        </is>
      </c>
      <c r="L728" t="inlineStr">
        <is>
          <t>0</t>
        </is>
      </c>
      <c r="M728" t="inlineStr">
        <is>
          <t>Bishop, Anne H., 1935-</t>
        </is>
      </c>
      <c r="N728" t="inlineStr">
        <is>
          <t>Albany, N.Y. : State University of New York Press, c1990.</t>
        </is>
      </c>
      <c r="O728" t="inlineStr">
        <is>
          <t>1990</t>
        </is>
      </c>
      <c r="Q728" t="inlineStr">
        <is>
          <t>eng</t>
        </is>
      </c>
      <c r="R728" t="inlineStr">
        <is>
          <t>xxu</t>
        </is>
      </c>
      <c r="T728" t="inlineStr">
        <is>
          <t xml:space="preserve">WY </t>
        </is>
      </c>
      <c r="U728" t="n">
        <v>5</v>
      </c>
      <c r="V728" t="n">
        <v>5</v>
      </c>
      <c r="W728" t="inlineStr">
        <is>
          <t>2007-04-13</t>
        </is>
      </c>
      <c r="X728" t="inlineStr">
        <is>
          <t>2007-04-13</t>
        </is>
      </c>
      <c r="Y728" t="inlineStr">
        <is>
          <t>1990-07-16</t>
        </is>
      </c>
      <c r="Z728" t="inlineStr">
        <is>
          <t>1990-07-16</t>
        </is>
      </c>
      <c r="AA728" t="n">
        <v>370</v>
      </c>
      <c r="AB728" t="n">
        <v>297</v>
      </c>
      <c r="AC728" t="n">
        <v>297</v>
      </c>
      <c r="AD728" t="n">
        <v>2</v>
      </c>
      <c r="AE728" t="n">
        <v>2</v>
      </c>
      <c r="AF728" t="n">
        <v>20</v>
      </c>
      <c r="AG728" t="n">
        <v>20</v>
      </c>
      <c r="AH728" t="n">
        <v>8</v>
      </c>
      <c r="AI728" t="n">
        <v>8</v>
      </c>
      <c r="AJ728" t="n">
        <v>4</v>
      </c>
      <c r="AK728" t="n">
        <v>4</v>
      </c>
      <c r="AL728" t="n">
        <v>12</v>
      </c>
      <c r="AM728" t="n">
        <v>12</v>
      </c>
      <c r="AN728" t="n">
        <v>1</v>
      </c>
      <c r="AO728" t="n">
        <v>1</v>
      </c>
      <c r="AP728" t="n">
        <v>0</v>
      </c>
      <c r="AQ728" t="n">
        <v>0</v>
      </c>
      <c r="AR728" t="inlineStr">
        <is>
          <t>No</t>
        </is>
      </c>
      <c r="AS728" t="inlineStr">
        <is>
          <t>No</t>
        </is>
      </c>
      <c r="AU728">
        <f>HYPERLINK("https://creighton-primo.hosted.exlibrisgroup.com/primo-explore/search?tab=default_tab&amp;search_scope=EVERYTHING&amp;vid=01CRU&amp;lang=en_US&amp;offset=0&amp;query=any,contains,991001450179702656","Catalog Record")</f>
        <v/>
      </c>
      <c r="AV728">
        <f>HYPERLINK("http://www.worldcat.org/oclc/19980987","WorldCat Record")</f>
        <v/>
      </c>
      <c r="AW728" t="inlineStr">
        <is>
          <t>894442191:eng</t>
        </is>
      </c>
      <c r="AX728" t="inlineStr">
        <is>
          <t>19980987</t>
        </is>
      </c>
      <c r="AY728" t="inlineStr">
        <is>
          <t>991001450179702656</t>
        </is>
      </c>
      <c r="AZ728" t="inlineStr">
        <is>
          <t>991001450179702656</t>
        </is>
      </c>
      <c r="BA728" t="inlineStr">
        <is>
          <t>2271837990002656</t>
        </is>
      </c>
      <c r="BB728" t="inlineStr">
        <is>
          <t>BOOK</t>
        </is>
      </c>
      <c r="BD728" t="inlineStr">
        <is>
          <t>9780791402528</t>
        </is>
      </c>
      <c r="BE728" t="inlineStr">
        <is>
          <t>30001001882671</t>
        </is>
      </c>
      <c r="BF728" t="inlineStr">
        <is>
          <t>893149233</t>
        </is>
      </c>
    </row>
    <row r="729">
      <c r="A729" t="inlineStr">
        <is>
          <t>No</t>
        </is>
      </c>
      <c r="B729" t="inlineStr">
        <is>
          <t>CUHSL</t>
        </is>
      </c>
      <c r="C729" t="inlineStr">
        <is>
          <t>SHELVES</t>
        </is>
      </c>
      <c r="D729" t="inlineStr">
        <is>
          <t>WY 86 C337 1986</t>
        </is>
      </c>
      <c r="E729" t="inlineStr">
        <is>
          <t>0                      WY 0086000C  337         1986</t>
        </is>
      </c>
      <c r="F729" t="inlineStr">
        <is>
          <t>Case studies in nursing theory / Patricia Winstead-Fry, editor.</t>
        </is>
      </c>
      <c r="H729" t="inlineStr">
        <is>
          <t>No</t>
        </is>
      </c>
      <c r="I729" t="inlineStr">
        <is>
          <t>1</t>
        </is>
      </c>
      <c r="J729" t="inlineStr">
        <is>
          <t>No</t>
        </is>
      </c>
      <c r="K729" t="inlineStr">
        <is>
          <t>No</t>
        </is>
      </c>
      <c r="L729" t="inlineStr">
        <is>
          <t>0</t>
        </is>
      </c>
      <c r="N729" t="inlineStr">
        <is>
          <t>New York : National League for Nursing, c1986.</t>
        </is>
      </c>
      <c r="O729" t="inlineStr">
        <is>
          <t>1986</t>
        </is>
      </c>
      <c r="Q729" t="inlineStr">
        <is>
          <t>eng</t>
        </is>
      </c>
      <c r="R729" t="inlineStr">
        <is>
          <t>xxu</t>
        </is>
      </c>
      <c r="S729" t="inlineStr">
        <is>
          <t>NLN pub. no. 15-2152</t>
        </is>
      </c>
      <c r="T729" t="inlineStr">
        <is>
          <t xml:space="preserve">WY </t>
        </is>
      </c>
      <c r="U729" t="n">
        <v>25</v>
      </c>
      <c r="V729" t="n">
        <v>25</v>
      </c>
      <c r="W729" t="inlineStr">
        <is>
          <t>2002-09-03</t>
        </is>
      </c>
      <c r="X729" t="inlineStr">
        <is>
          <t>2002-09-03</t>
        </is>
      </c>
      <c r="Y729" t="inlineStr">
        <is>
          <t>1987-10-29</t>
        </is>
      </c>
      <c r="Z729" t="inlineStr">
        <is>
          <t>1987-10-29</t>
        </is>
      </c>
      <c r="AA729" t="n">
        <v>333</v>
      </c>
      <c r="AB729" t="n">
        <v>276</v>
      </c>
      <c r="AC729" t="n">
        <v>283</v>
      </c>
      <c r="AD729" t="n">
        <v>4</v>
      </c>
      <c r="AE729" t="n">
        <v>4</v>
      </c>
      <c r="AF729" t="n">
        <v>16</v>
      </c>
      <c r="AG729" t="n">
        <v>16</v>
      </c>
      <c r="AH729" t="n">
        <v>7</v>
      </c>
      <c r="AI729" t="n">
        <v>7</v>
      </c>
      <c r="AJ729" t="n">
        <v>3</v>
      </c>
      <c r="AK729" t="n">
        <v>3</v>
      </c>
      <c r="AL729" t="n">
        <v>7</v>
      </c>
      <c r="AM729" t="n">
        <v>7</v>
      </c>
      <c r="AN729" t="n">
        <v>2</v>
      </c>
      <c r="AO729" t="n">
        <v>2</v>
      </c>
      <c r="AP729" t="n">
        <v>0</v>
      </c>
      <c r="AQ729" t="n">
        <v>0</v>
      </c>
      <c r="AR729" t="inlineStr">
        <is>
          <t>No</t>
        </is>
      </c>
      <c r="AS729" t="inlineStr">
        <is>
          <t>Yes</t>
        </is>
      </c>
      <c r="AT729">
        <f>HYPERLINK("http://catalog.hathitrust.org/Record/000837122","HathiTrust Record")</f>
        <v/>
      </c>
      <c r="AU729">
        <f>HYPERLINK("https://creighton-primo.hosted.exlibrisgroup.com/primo-explore/search?tab=default_tab&amp;search_scope=EVERYTHING&amp;vid=01CRU&amp;lang=en_US&amp;offset=0&amp;query=any,contains,991001374339702656","Catalog Record")</f>
        <v/>
      </c>
      <c r="AV729">
        <f>HYPERLINK("http://www.worldcat.org/oclc/13871363","WorldCat Record")</f>
        <v/>
      </c>
      <c r="AW729" t="inlineStr">
        <is>
          <t>355446500:eng</t>
        </is>
      </c>
      <c r="AX729" t="inlineStr">
        <is>
          <t>13871363</t>
        </is>
      </c>
      <c r="AY729" t="inlineStr">
        <is>
          <t>991001374339702656</t>
        </is>
      </c>
      <c r="AZ729" t="inlineStr">
        <is>
          <t>991001374339702656</t>
        </is>
      </c>
      <c r="BA729" t="inlineStr">
        <is>
          <t>2258067940002656</t>
        </is>
      </c>
      <c r="BB729" t="inlineStr">
        <is>
          <t>BOOK</t>
        </is>
      </c>
      <c r="BD729" t="inlineStr">
        <is>
          <t>9780887372537</t>
        </is>
      </c>
      <c r="BE729" t="inlineStr">
        <is>
          <t>30001000462053</t>
        </is>
      </c>
      <c r="BF729" t="inlineStr">
        <is>
          <t>893161922</t>
        </is>
      </c>
    </row>
    <row r="730">
      <c r="A730" t="inlineStr">
        <is>
          <t>No</t>
        </is>
      </c>
      <c r="B730" t="inlineStr">
        <is>
          <t>CUHSL</t>
        </is>
      </c>
      <c r="C730" t="inlineStr">
        <is>
          <t>SHELVES</t>
        </is>
      </c>
      <c r="D730" t="inlineStr">
        <is>
          <t>WY 86 C486 1992</t>
        </is>
      </c>
      <c r="E730" t="inlineStr">
        <is>
          <t>0                      WY 0086000C  486         1992</t>
        </is>
      </c>
      <c r="F730" t="inlineStr">
        <is>
          <t>Charting nursing's future : agenda for the 1990s / Linda H. Aiken, Claire M. Fagin, [editors].</t>
        </is>
      </c>
      <c r="H730" t="inlineStr">
        <is>
          <t>No</t>
        </is>
      </c>
      <c r="I730" t="inlineStr">
        <is>
          <t>1</t>
        </is>
      </c>
      <c r="J730" t="inlineStr">
        <is>
          <t>No</t>
        </is>
      </c>
      <c r="K730" t="inlineStr">
        <is>
          <t>No</t>
        </is>
      </c>
      <c r="L730" t="inlineStr">
        <is>
          <t>0</t>
        </is>
      </c>
      <c r="N730" t="inlineStr">
        <is>
          <t>Philadelphia : J.B. Lippincott Co., c1992.</t>
        </is>
      </c>
      <c r="O730" t="inlineStr">
        <is>
          <t>1992</t>
        </is>
      </c>
      <c r="Q730" t="inlineStr">
        <is>
          <t>eng</t>
        </is>
      </c>
      <c r="R730" t="inlineStr">
        <is>
          <t>pau</t>
        </is>
      </c>
      <c r="T730" t="inlineStr">
        <is>
          <t xml:space="preserve">WY </t>
        </is>
      </c>
      <c r="U730" t="n">
        <v>12</v>
      </c>
      <c r="V730" t="n">
        <v>12</v>
      </c>
      <c r="W730" t="inlineStr">
        <is>
          <t>1999-04-02</t>
        </is>
      </c>
      <c r="X730" t="inlineStr">
        <is>
          <t>1999-04-02</t>
        </is>
      </c>
      <c r="Y730" t="inlineStr">
        <is>
          <t>1992-02-18</t>
        </is>
      </c>
      <c r="Z730" t="inlineStr">
        <is>
          <t>1992-02-18</t>
        </is>
      </c>
      <c r="AA730" t="n">
        <v>292</v>
      </c>
      <c r="AB730" t="n">
        <v>242</v>
      </c>
      <c r="AC730" t="n">
        <v>249</v>
      </c>
      <c r="AD730" t="n">
        <v>3</v>
      </c>
      <c r="AE730" t="n">
        <v>3</v>
      </c>
      <c r="AF730" t="n">
        <v>14</v>
      </c>
      <c r="AG730" t="n">
        <v>14</v>
      </c>
      <c r="AH730" t="n">
        <v>7</v>
      </c>
      <c r="AI730" t="n">
        <v>7</v>
      </c>
      <c r="AJ730" t="n">
        <v>2</v>
      </c>
      <c r="AK730" t="n">
        <v>2</v>
      </c>
      <c r="AL730" t="n">
        <v>10</v>
      </c>
      <c r="AM730" t="n">
        <v>10</v>
      </c>
      <c r="AN730" t="n">
        <v>1</v>
      </c>
      <c r="AO730" t="n">
        <v>1</v>
      </c>
      <c r="AP730" t="n">
        <v>0</v>
      </c>
      <c r="AQ730" t="n">
        <v>0</v>
      </c>
      <c r="AR730" t="inlineStr">
        <is>
          <t>No</t>
        </is>
      </c>
      <c r="AS730" t="inlineStr">
        <is>
          <t>Yes</t>
        </is>
      </c>
      <c r="AT730">
        <f>HYPERLINK("http://catalog.hathitrust.org/Record/002604005","HathiTrust Record")</f>
        <v/>
      </c>
      <c r="AU730">
        <f>HYPERLINK("https://creighton-primo.hosted.exlibrisgroup.com/primo-explore/search?tab=default_tab&amp;search_scope=EVERYTHING&amp;vid=01CRU&amp;lang=en_US&amp;offset=0&amp;query=any,contains,991001035729702656","Catalog Record")</f>
        <v/>
      </c>
      <c r="AV730">
        <f>HYPERLINK("http://www.worldcat.org/oclc/23766278","WorldCat Record")</f>
        <v/>
      </c>
      <c r="AW730" t="inlineStr">
        <is>
          <t>353761860:eng</t>
        </is>
      </c>
      <c r="AX730" t="inlineStr">
        <is>
          <t>23766278</t>
        </is>
      </c>
      <c r="AY730" t="inlineStr">
        <is>
          <t>991001035729702656</t>
        </is>
      </c>
      <c r="AZ730" t="inlineStr">
        <is>
          <t>991001035729702656</t>
        </is>
      </c>
      <c r="BA730" t="inlineStr">
        <is>
          <t>2269498220002656</t>
        </is>
      </c>
      <c r="BB730" t="inlineStr">
        <is>
          <t>BOOK</t>
        </is>
      </c>
      <c r="BD730" t="inlineStr">
        <is>
          <t>9780397548002</t>
        </is>
      </c>
      <c r="BE730" t="inlineStr">
        <is>
          <t>30001002244731</t>
        </is>
      </c>
      <c r="BF730" t="inlineStr">
        <is>
          <t>893268005</t>
        </is>
      </c>
    </row>
    <row r="731">
      <c r="A731" t="inlineStr">
        <is>
          <t>No</t>
        </is>
      </c>
      <c r="B731" t="inlineStr">
        <is>
          <t>CUHSL</t>
        </is>
      </c>
      <c r="C731" t="inlineStr">
        <is>
          <t>SHELVES</t>
        </is>
      </c>
      <c r="D731" t="inlineStr">
        <is>
          <t>WY86 C539i 2004</t>
        </is>
      </c>
      <c r="E731" t="inlineStr">
        <is>
          <t>0                      WY 0086000C  539i        2004</t>
        </is>
      </c>
      <c r="F731" t="inlineStr">
        <is>
          <t>Integrated knowledge development in nursing / Peggy L. Chinn, Maeona K. Kramer.</t>
        </is>
      </c>
      <c r="H731" t="inlineStr">
        <is>
          <t>No</t>
        </is>
      </c>
      <c r="I731" t="inlineStr">
        <is>
          <t>1</t>
        </is>
      </c>
      <c r="J731" t="inlineStr">
        <is>
          <t>No</t>
        </is>
      </c>
      <c r="K731" t="inlineStr">
        <is>
          <t>No</t>
        </is>
      </c>
      <c r="L731" t="inlineStr">
        <is>
          <t>0</t>
        </is>
      </c>
      <c r="M731" t="inlineStr">
        <is>
          <t>Chinn, Peggy L.</t>
        </is>
      </c>
      <c r="N731" t="inlineStr">
        <is>
          <t>St. Louis : Mosby, c2004.</t>
        </is>
      </c>
      <c r="O731" t="inlineStr">
        <is>
          <t>2004</t>
        </is>
      </c>
      <c r="P731" t="inlineStr">
        <is>
          <t>6th ed.</t>
        </is>
      </c>
      <c r="Q731" t="inlineStr">
        <is>
          <t>eng</t>
        </is>
      </c>
      <c r="R731" t="inlineStr">
        <is>
          <t>mou</t>
        </is>
      </c>
      <c r="T731" t="inlineStr">
        <is>
          <t xml:space="preserve">WY </t>
        </is>
      </c>
      <c r="U731" t="n">
        <v>5</v>
      </c>
      <c r="V731" t="n">
        <v>5</v>
      </c>
      <c r="W731" t="inlineStr">
        <is>
          <t>2007-11-08</t>
        </is>
      </c>
      <c r="X731" t="inlineStr">
        <is>
          <t>2007-11-08</t>
        </is>
      </c>
      <c r="Y731" t="inlineStr">
        <is>
          <t>2004-03-08</t>
        </is>
      </c>
      <c r="Z731" t="inlineStr">
        <is>
          <t>2004-03-08</t>
        </is>
      </c>
      <c r="AA731" t="n">
        <v>365</v>
      </c>
      <c r="AB731" t="n">
        <v>279</v>
      </c>
      <c r="AC731" t="n">
        <v>282</v>
      </c>
      <c r="AD731" t="n">
        <v>3</v>
      </c>
      <c r="AE731" t="n">
        <v>3</v>
      </c>
      <c r="AF731" t="n">
        <v>15</v>
      </c>
      <c r="AG731" t="n">
        <v>15</v>
      </c>
      <c r="AH731" t="n">
        <v>7</v>
      </c>
      <c r="AI731" t="n">
        <v>7</v>
      </c>
      <c r="AJ731" t="n">
        <v>2</v>
      </c>
      <c r="AK731" t="n">
        <v>2</v>
      </c>
      <c r="AL731" t="n">
        <v>8</v>
      </c>
      <c r="AM731" t="n">
        <v>8</v>
      </c>
      <c r="AN731" t="n">
        <v>2</v>
      </c>
      <c r="AO731" t="n">
        <v>2</v>
      </c>
      <c r="AP731" t="n">
        <v>0</v>
      </c>
      <c r="AQ731" t="n">
        <v>0</v>
      </c>
      <c r="AR731" t="inlineStr">
        <is>
          <t>No</t>
        </is>
      </c>
      <c r="AS731" t="inlineStr">
        <is>
          <t>Yes</t>
        </is>
      </c>
      <c r="AT731">
        <f>HYPERLINK("http://catalog.hathitrust.org/Record/004355079","HathiTrust Record")</f>
        <v/>
      </c>
      <c r="AU731">
        <f>HYPERLINK("https://creighton-primo.hosted.exlibrisgroup.com/primo-explore/search?tab=default_tab&amp;search_scope=EVERYTHING&amp;vid=01CRU&amp;lang=en_US&amp;offset=0&amp;query=any,contains,991000367549702656","Catalog Record")</f>
        <v/>
      </c>
      <c r="AV731">
        <f>HYPERLINK("http://www.worldcat.org/oclc/53620601","WorldCat Record")</f>
        <v/>
      </c>
      <c r="AW731" t="inlineStr">
        <is>
          <t>3901361329:eng</t>
        </is>
      </c>
      <c r="AX731" t="inlineStr">
        <is>
          <t>53620601</t>
        </is>
      </c>
      <c r="AY731" t="inlineStr">
        <is>
          <t>991000367549702656</t>
        </is>
      </c>
      <c r="AZ731" t="inlineStr">
        <is>
          <t>991000367549702656</t>
        </is>
      </c>
      <c r="BA731" t="inlineStr">
        <is>
          <t>2261644230002656</t>
        </is>
      </c>
      <c r="BB731" t="inlineStr">
        <is>
          <t>BOOK</t>
        </is>
      </c>
      <c r="BD731" t="inlineStr">
        <is>
          <t>9780323023412</t>
        </is>
      </c>
      <c r="BE731" t="inlineStr">
        <is>
          <t>30001004509461</t>
        </is>
      </c>
      <c r="BF731" t="inlineStr">
        <is>
          <t>893639126</t>
        </is>
      </c>
    </row>
    <row r="732">
      <c r="A732" t="inlineStr">
        <is>
          <t>No</t>
        </is>
      </c>
      <c r="B732" t="inlineStr">
        <is>
          <t>CUHSL</t>
        </is>
      </c>
      <c r="C732" t="inlineStr">
        <is>
          <t>SHELVES</t>
        </is>
      </c>
      <c r="D732" t="inlineStr">
        <is>
          <t>WY 86 C539t 1995</t>
        </is>
      </c>
      <c r="E732" t="inlineStr">
        <is>
          <t>0                      WY 0086000C  539t        1995</t>
        </is>
      </c>
      <c r="F732" t="inlineStr">
        <is>
          <t>Theory and nursing : a systematic approach / Peggy L. Chinn, Maeona K. Kramer.</t>
        </is>
      </c>
      <c r="H732" t="inlineStr">
        <is>
          <t>No</t>
        </is>
      </c>
      <c r="I732" t="inlineStr">
        <is>
          <t>1</t>
        </is>
      </c>
      <c r="J732" t="inlineStr">
        <is>
          <t>No</t>
        </is>
      </c>
      <c r="K732" t="inlineStr">
        <is>
          <t>No</t>
        </is>
      </c>
      <c r="L732" t="inlineStr">
        <is>
          <t>0</t>
        </is>
      </c>
      <c r="M732" t="inlineStr">
        <is>
          <t>Chinn, Peggy L.</t>
        </is>
      </c>
      <c r="N732" t="inlineStr">
        <is>
          <t>St Louis : Mosby, c1995.</t>
        </is>
      </c>
      <c r="O732" t="inlineStr">
        <is>
          <t>1995</t>
        </is>
      </c>
      <c r="P732" t="inlineStr">
        <is>
          <t>4th ed.</t>
        </is>
      </c>
      <c r="Q732" t="inlineStr">
        <is>
          <t>eng</t>
        </is>
      </c>
      <c r="R732" t="inlineStr">
        <is>
          <t>xxu</t>
        </is>
      </c>
      <c r="T732" t="inlineStr">
        <is>
          <t xml:space="preserve">WY </t>
        </is>
      </c>
      <c r="U732" t="n">
        <v>7</v>
      </c>
      <c r="V732" t="n">
        <v>7</v>
      </c>
      <c r="W732" t="inlineStr">
        <is>
          <t>1997-10-10</t>
        </is>
      </c>
      <c r="X732" t="inlineStr">
        <is>
          <t>1997-10-10</t>
        </is>
      </c>
      <c r="Y732" t="inlineStr">
        <is>
          <t>1995-08-14</t>
        </is>
      </c>
      <c r="Z732" t="inlineStr">
        <is>
          <t>1995-08-14</t>
        </is>
      </c>
      <c r="AA732" t="n">
        <v>360</v>
      </c>
      <c r="AB732" t="n">
        <v>253</v>
      </c>
      <c r="AC732" t="n">
        <v>547</v>
      </c>
      <c r="AD732" t="n">
        <v>1</v>
      </c>
      <c r="AE732" t="n">
        <v>4</v>
      </c>
      <c r="AF732" t="n">
        <v>14</v>
      </c>
      <c r="AG732" t="n">
        <v>25</v>
      </c>
      <c r="AH732" t="n">
        <v>5</v>
      </c>
      <c r="AI732" t="n">
        <v>10</v>
      </c>
      <c r="AJ732" t="n">
        <v>5</v>
      </c>
      <c r="AK732" t="n">
        <v>5</v>
      </c>
      <c r="AL732" t="n">
        <v>8</v>
      </c>
      <c r="AM732" t="n">
        <v>14</v>
      </c>
      <c r="AN732" t="n">
        <v>0</v>
      </c>
      <c r="AO732" t="n">
        <v>2</v>
      </c>
      <c r="AP732" t="n">
        <v>0</v>
      </c>
      <c r="AQ732" t="n">
        <v>0</v>
      </c>
      <c r="AR732" t="inlineStr">
        <is>
          <t>No</t>
        </is>
      </c>
      <c r="AS732" t="inlineStr">
        <is>
          <t>Yes</t>
        </is>
      </c>
      <c r="AT732">
        <f>HYPERLINK("http://catalog.hathitrust.org/Record/002906005","HathiTrust Record")</f>
        <v/>
      </c>
      <c r="AU732">
        <f>HYPERLINK("https://creighton-primo.hosted.exlibrisgroup.com/primo-explore/search?tab=default_tab&amp;search_scope=EVERYTHING&amp;vid=01CRU&amp;lang=en_US&amp;offset=0&amp;query=any,contains,991001403649702656","Catalog Record")</f>
        <v/>
      </c>
      <c r="AV732">
        <f>HYPERLINK("http://www.worldcat.org/oclc/31597013","WorldCat Record")</f>
        <v/>
      </c>
      <c r="AW732" t="inlineStr">
        <is>
          <t>7019221:eng</t>
        </is>
      </c>
      <c r="AX732" t="inlineStr">
        <is>
          <t>31597013</t>
        </is>
      </c>
      <c r="AY732" t="inlineStr">
        <is>
          <t>991001403649702656</t>
        </is>
      </c>
      <c r="AZ732" t="inlineStr">
        <is>
          <t>991001403649702656</t>
        </is>
      </c>
      <c r="BA732" t="inlineStr">
        <is>
          <t>2260781420002656</t>
        </is>
      </c>
      <c r="BB732" t="inlineStr">
        <is>
          <t>BOOK</t>
        </is>
      </c>
      <c r="BD732" t="inlineStr">
        <is>
          <t>9780801679476</t>
        </is>
      </c>
      <c r="BE732" t="inlineStr">
        <is>
          <t>30001003149293</t>
        </is>
      </c>
      <c r="BF732" t="inlineStr">
        <is>
          <t>893557933</t>
        </is>
      </c>
    </row>
    <row r="733">
      <c r="A733" t="inlineStr">
        <is>
          <t>No</t>
        </is>
      </c>
      <c r="B733" t="inlineStr">
        <is>
          <t>CUHSL</t>
        </is>
      </c>
      <c r="C733" t="inlineStr">
        <is>
          <t>SHELVES</t>
        </is>
      </c>
      <c r="D733" t="inlineStr">
        <is>
          <t>WY86 C7435 2000</t>
        </is>
      </c>
      <c r="E733" t="inlineStr">
        <is>
          <t>0                      WY 0086000C  7435        2000</t>
        </is>
      </c>
      <c r="F733" t="inlineStr">
        <is>
          <t>Concept development in nursing : foundations, techniques, and applications / [edited by] Beth L. Rodgers, Kathleen A. Knafl.</t>
        </is>
      </c>
      <c r="H733" t="inlineStr">
        <is>
          <t>No</t>
        </is>
      </c>
      <c r="I733" t="inlineStr">
        <is>
          <t>1</t>
        </is>
      </c>
      <c r="J733" t="inlineStr">
        <is>
          <t>No</t>
        </is>
      </c>
      <c r="K733" t="inlineStr">
        <is>
          <t>No</t>
        </is>
      </c>
      <c r="L733" t="inlineStr">
        <is>
          <t>0</t>
        </is>
      </c>
      <c r="N733" t="inlineStr">
        <is>
          <t>Philadelphia : Saunders, c2000.</t>
        </is>
      </c>
      <c r="O733" t="inlineStr">
        <is>
          <t>2000</t>
        </is>
      </c>
      <c r="P733" t="inlineStr">
        <is>
          <t>2nd ed.</t>
        </is>
      </c>
      <c r="Q733" t="inlineStr">
        <is>
          <t>eng</t>
        </is>
      </c>
      <c r="R733" t="inlineStr">
        <is>
          <t>pau</t>
        </is>
      </c>
      <c r="T733" t="inlineStr">
        <is>
          <t xml:space="preserve">WY </t>
        </is>
      </c>
      <c r="U733" t="n">
        <v>9</v>
      </c>
      <c r="V733" t="n">
        <v>9</v>
      </c>
      <c r="W733" t="inlineStr">
        <is>
          <t>2008-11-14</t>
        </is>
      </c>
      <c r="X733" t="inlineStr">
        <is>
          <t>2008-11-14</t>
        </is>
      </c>
      <c r="Y733" t="inlineStr">
        <is>
          <t>2002-06-28</t>
        </is>
      </c>
      <c r="Z733" t="inlineStr">
        <is>
          <t>2002-06-28</t>
        </is>
      </c>
      <c r="AA733" t="n">
        <v>351</v>
      </c>
      <c r="AB733" t="n">
        <v>265</v>
      </c>
      <c r="AC733" t="n">
        <v>363</v>
      </c>
      <c r="AD733" t="n">
        <v>2</v>
      </c>
      <c r="AE733" t="n">
        <v>2</v>
      </c>
      <c r="AF733" t="n">
        <v>13</v>
      </c>
      <c r="AG733" t="n">
        <v>16</v>
      </c>
      <c r="AH733" t="n">
        <v>4</v>
      </c>
      <c r="AI733" t="n">
        <v>6</v>
      </c>
      <c r="AJ733" t="n">
        <v>4</v>
      </c>
      <c r="AK733" t="n">
        <v>4</v>
      </c>
      <c r="AL733" t="n">
        <v>8</v>
      </c>
      <c r="AM733" t="n">
        <v>10</v>
      </c>
      <c r="AN733" t="n">
        <v>1</v>
      </c>
      <c r="AO733" t="n">
        <v>1</v>
      </c>
      <c r="AP733" t="n">
        <v>0</v>
      </c>
      <c r="AQ733" t="n">
        <v>0</v>
      </c>
      <c r="AR733" t="inlineStr">
        <is>
          <t>No</t>
        </is>
      </c>
      <c r="AS733" t="inlineStr">
        <is>
          <t>Yes</t>
        </is>
      </c>
      <c r="AT733">
        <f>HYPERLINK("http://catalog.hathitrust.org/Record/004074974","HathiTrust Record")</f>
        <v/>
      </c>
      <c r="AU733">
        <f>HYPERLINK("https://creighton-primo.hosted.exlibrisgroup.com/primo-explore/search?tab=default_tab&amp;search_scope=EVERYTHING&amp;vid=01CRU&amp;lang=en_US&amp;offset=0&amp;query=any,contains,991000319849702656","Catalog Record")</f>
        <v/>
      </c>
      <c r="AV733">
        <f>HYPERLINK("http://www.worldcat.org/oclc/41326069","WorldCat Record")</f>
        <v/>
      </c>
      <c r="AW733" t="inlineStr">
        <is>
          <t>836730848:eng</t>
        </is>
      </c>
      <c r="AX733" t="inlineStr">
        <is>
          <t>41326069</t>
        </is>
      </c>
      <c r="AY733" t="inlineStr">
        <is>
          <t>991000319849702656</t>
        </is>
      </c>
      <c r="AZ733" t="inlineStr">
        <is>
          <t>991000319849702656</t>
        </is>
      </c>
      <c r="BA733" t="inlineStr">
        <is>
          <t>2264621070002656</t>
        </is>
      </c>
      <c r="BB733" t="inlineStr">
        <is>
          <t>BOOK</t>
        </is>
      </c>
      <c r="BD733" t="inlineStr">
        <is>
          <t>9780721682433</t>
        </is>
      </c>
      <c r="BE733" t="inlineStr">
        <is>
          <t>30001004442440</t>
        </is>
      </c>
      <c r="BF733" t="inlineStr">
        <is>
          <t>893461342</t>
        </is>
      </c>
    </row>
    <row r="734">
      <c r="A734" t="inlineStr">
        <is>
          <t>No</t>
        </is>
      </c>
      <c r="B734" t="inlineStr">
        <is>
          <t>CUHSL</t>
        </is>
      </c>
      <c r="C734" t="inlineStr">
        <is>
          <t>SHELVES</t>
        </is>
      </c>
      <c r="D734" t="inlineStr">
        <is>
          <t>WY 86 C744 1982</t>
        </is>
      </c>
      <c r="E734" t="inlineStr">
        <is>
          <t>0                      WY 0086000C  744         1982</t>
        </is>
      </c>
      <c r="F734" t="inlineStr">
        <is>
          <t>Concepts for advanced nursing practice : the nurse as a change agent / edited by Jeanette Lancaster ; with 27 contributors.</t>
        </is>
      </c>
      <c r="H734" t="inlineStr">
        <is>
          <t>No</t>
        </is>
      </c>
      <c r="I734" t="inlineStr">
        <is>
          <t>1</t>
        </is>
      </c>
      <c r="J734" t="inlineStr">
        <is>
          <t>No</t>
        </is>
      </c>
      <c r="K734" t="inlineStr">
        <is>
          <t>No</t>
        </is>
      </c>
      <c r="L734" t="inlineStr">
        <is>
          <t>0</t>
        </is>
      </c>
      <c r="N734" t="inlineStr">
        <is>
          <t>St. Louis : Mosby, c1982.</t>
        </is>
      </c>
      <c r="O734" t="inlineStr">
        <is>
          <t>1982</t>
        </is>
      </c>
      <c r="Q734" t="inlineStr">
        <is>
          <t>eng</t>
        </is>
      </c>
      <c r="R734" t="inlineStr">
        <is>
          <t>xxu</t>
        </is>
      </c>
      <c r="T734" t="inlineStr">
        <is>
          <t xml:space="preserve">WY </t>
        </is>
      </c>
      <c r="U734" t="n">
        <v>9</v>
      </c>
      <c r="V734" t="n">
        <v>9</v>
      </c>
      <c r="W734" t="inlineStr">
        <is>
          <t>2002-09-23</t>
        </is>
      </c>
      <c r="X734" t="inlineStr">
        <is>
          <t>2002-09-23</t>
        </is>
      </c>
      <c r="Y734" t="inlineStr">
        <is>
          <t>1987-10-22</t>
        </is>
      </c>
      <c r="Z734" t="inlineStr">
        <is>
          <t>1987-10-22</t>
        </is>
      </c>
      <c r="AA734" t="n">
        <v>278</v>
      </c>
      <c r="AB734" t="n">
        <v>203</v>
      </c>
      <c r="AC734" t="n">
        <v>205</v>
      </c>
      <c r="AD734" t="n">
        <v>2</v>
      </c>
      <c r="AE734" t="n">
        <v>2</v>
      </c>
      <c r="AF734" t="n">
        <v>10</v>
      </c>
      <c r="AG734" t="n">
        <v>10</v>
      </c>
      <c r="AH734" t="n">
        <v>4</v>
      </c>
      <c r="AI734" t="n">
        <v>4</v>
      </c>
      <c r="AJ734" t="n">
        <v>1</v>
      </c>
      <c r="AK734" t="n">
        <v>1</v>
      </c>
      <c r="AL734" t="n">
        <v>5</v>
      </c>
      <c r="AM734" t="n">
        <v>5</v>
      </c>
      <c r="AN734" t="n">
        <v>1</v>
      </c>
      <c r="AO734" t="n">
        <v>1</v>
      </c>
      <c r="AP734" t="n">
        <v>0</v>
      </c>
      <c r="AQ734" t="n">
        <v>0</v>
      </c>
      <c r="AR734" t="inlineStr">
        <is>
          <t>No</t>
        </is>
      </c>
      <c r="AS734" t="inlineStr">
        <is>
          <t>Yes</t>
        </is>
      </c>
      <c r="AT734">
        <f>HYPERLINK("http://catalog.hathitrust.org/Record/000102507","HathiTrust Record")</f>
        <v/>
      </c>
      <c r="AU734">
        <f>HYPERLINK("https://creighton-primo.hosted.exlibrisgroup.com/primo-explore/search?tab=default_tab&amp;search_scope=EVERYTHING&amp;vid=01CRU&amp;lang=en_US&amp;offset=0&amp;query=any,contains,991001131059702656","Catalog Record")</f>
        <v/>
      </c>
      <c r="AV734">
        <f>HYPERLINK("http://www.worldcat.org/oclc/7773969","WorldCat Record")</f>
        <v/>
      </c>
      <c r="AW734" t="inlineStr">
        <is>
          <t>894374531:eng</t>
        </is>
      </c>
      <c r="AX734" t="inlineStr">
        <is>
          <t>7773969</t>
        </is>
      </c>
      <c r="AY734" t="inlineStr">
        <is>
          <t>991001131059702656</t>
        </is>
      </c>
      <c r="AZ734" t="inlineStr">
        <is>
          <t>991001131059702656</t>
        </is>
      </c>
      <c r="BA734" t="inlineStr">
        <is>
          <t>2272769370002656</t>
        </is>
      </c>
      <c r="BB734" t="inlineStr">
        <is>
          <t>BOOK</t>
        </is>
      </c>
      <c r="BD734" t="inlineStr">
        <is>
          <t>9780801628320</t>
        </is>
      </c>
      <c r="BE734" t="inlineStr">
        <is>
          <t>30001000285074</t>
        </is>
      </c>
      <c r="BF734" t="inlineStr">
        <is>
          <t>893546398</t>
        </is>
      </c>
    </row>
    <row r="735">
      <c r="A735" t="inlineStr">
        <is>
          <t>No</t>
        </is>
      </c>
      <c r="B735" t="inlineStr">
        <is>
          <t>CUHSL</t>
        </is>
      </c>
      <c r="C735" t="inlineStr">
        <is>
          <t>SHELVES</t>
        </is>
      </c>
      <c r="D735" t="inlineStr">
        <is>
          <t>WY 86 D881t 1985</t>
        </is>
      </c>
      <c r="E735" t="inlineStr">
        <is>
          <t>0                      WY 0086000D  881t        1985</t>
        </is>
      </c>
      <c r="F735" t="inlineStr">
        <is>
          <t>Theoretical perspectives for nursing / Bonnie W. Duldt, Kim Giffin.</t>
        </is>
      </c>
      <c r="H735" t="inlineStr">
        <is>
          <t>No</t>
        </is>
      </c>
      <c r="I735" t="inlineStr">
        <is>
          <t>1</t>
        </is>
      </c>
      <c r="J735" t="inlineStr">
        <is>
          <t>No</t>
        </is>
      </c>
      <c r="K735" t="inlineStr">
        <is>
          <t>No</t>
        </is>
      </c>
      <c r="L735" t="inlineStr">
        <is>
          <t>0</t>
        </is>
      </c>
      <c r="M735" t="inlineStr">
        <is>
          <t>Duldt, Bonnie Weaver.</t>
        </is>
      </c>
      <c r="N735" t="inlineStr">
        <is>
          <t>Boston : Little, Brown, c1985.</t>
        </is>
      </c>
      <c r="O735" t="inlineStr">
        <is>
          <t>1985</t>
        </is>
      </c>
      <c r="Q735" t="inlineStr">
        <is>
          <t>eng</t>
        </is>
      </c>
      <c r="R735" t="inlineStr">
        <is>
          <t>xxu</t>
        </is>
      </c>
      <c r="T735" t="inlineStr">
        <is>
          <t xml:space="preserve">WY </t>
        </is>
      </c>
      <c r="U735" t="n">
        <v>14</v>
      </c>
      <c r="V735" t="n">
        <v>14</v>
      </c>
      <c r="W735" t="inlineStr">
        <is>
          <t>1997-04-28</t>
        </is>
      </c>
      <c r="X735" t="inlineStr">
        <is>
          <t>1997-04-28</t>
        </is>
      </c>
      <c r="Y735" t="inlineStr">
        <is>
          <t>1988-09-13</t>
        </is>
      </c>
      <c r="Z735" t="inlineStr">
        <is>
          <t>1988-09-13</t>
        </is>
      </c>
      <c r="AA735" t="n">
        <v>237</v>
      </c>
      <c r="AB735" t="n">
        <v>199</v>
      </c>
      <c r="AC735" t="n">
        <v>206</v>
      </c>
      <c r="AD735" t="n">
        <v>3</v>
      </c>
      <c r="AE735" t="n">
        <v>3</v>
      </c>
      <c r="AF735" t="n">
        <v>13</v>
      </c>
      <c r="AG735" t="n">
        <v>13</v>
      </c>
      <c r="AH735" t="n">
        <v>5</v>
      </c>
      <c r="AI735" t="n">
        <v>5</v>
      </c>
      <c r="AJ735" t="n">
        <v>2</v>
      </c>
      <c r="AK735" t="n">
        <v>2</v>
      </c>
      <c r="AL735" t="n">
        <v>6</v>
      </c>
      <c r="AM735" t="n">
        <v>6</v>
      </c>
      <c r="AN735" t="n">
        <v>2</v>
      </c>
      <c r="AO735" t="n">
        <v>2</v>
      </c>
      <c r="AP735" t="n">
        <v>0</v>
      </c>
      <c r="AQ735" t="n">
        <v>0</v>
      </c>
      <c r="AR735" t="inlineStr">
        <is>
          <t>No</t>
        </is>
      </c>
      <c r="AS735" t="inlineStr">
        <is>
          <t>Yes</t>
        </is>
      </c>
      <c r="AT735">
        <f>HYPERLINK("http://catalog.hathitrust.org/Record/000446869","HathiTrust Record")</f>
        <v/>
      </c>
      <c r="AU735">
        <f>HYPERLINK("https://creighton-primo.hosted.exlibrisgroup.com/primo-explore/search?tab=default_tab&amp;search_scope=EVERYTHING&amp;vid=01CRU&amp;lang=en_US&amp;offset=0&amp;query=any,contains,991001130969702656","Catalog Record")</f>
        <v/>
      </c>
      <c r="AV735">
        <f>HYPERLINK("http://www.worldcat.org/oclc/11574713","WorldCat Record")</f>
        <v/>
      </c>
      <c r="AW735" t="inlineStr">
        <is>
          <t>4482701:eng</t>
        </is>
      </c>
      <c r="AX735" t="inlineStr">
        <is>
          <t>11574713</t>
        </is>
      </c>
      <c r="AY735" t="inlineStr">
        <is>
          <t>991001130969702656</t>
        </is>
      </c>
      <c r="AZ735" t="inlineStr">
        <is>
          <t>991001130969702656</t>
        </is>
      </c>
      <c r="BA735" t="inlineStr">
        <is>
          <t>2269155610002656</t>
        </is>
      </c>
      <c r="BB735" t="inlineStr">
        <is>
          <t>BOOK</t>
        </is>
      </c>
      <c r="BD735" t="inlineStr">
        <is>
          <t>9780316195287</t>
        </is>
      </c>
      <c r="BE735" t="inlineStr">
        <is>
          <t>30001000285041</t>
        </is>
      </c>
      <c r="BF735" t="inlineStr">
        <is>
          <t>893134272</t>
        </is>
      </c>
    </row>
    <row r="736">
      <c r="A736" t="inlineStr">
        <is>
          <t>No</t>
        </is>
      </c>
      <c r="B736" t="inlineStr">
        <is>
          <t>CUHSL</t>
        </is>
      </c>
      <c r="C736" t="inlineStr">
        <is>
          <t>SHELVES</t>
        </is>
      </c>
      <c r="D736" t="inlineStr">
        <is>
          <t>WY 86 H7325 1988</t>
        </is>
      </c>
      <c r="E736" t="inlineStr">
        <is>
          <t>0                      WY 0086000H  7325        1988</t>
        </is>
      </c>
      <c r="F736" t="inlineStr">
        <is>
          <t>Holistic nursing : a handbook for practice / Barbara Montgomery Dossey ... [et al.].</t>
        </is>
      </c>
      <c r="H736" t="inlineStr">
        <is>
          <t>No</t>
        </is>
      </c>
      <c r="I736" t="inlineStr">
        <is>
          <t>1</t>
        </is>
      </c>
      <c r="J736" t="inlineStr">
        <is>
          <t>No</t>
        </is>
      </c>
      <c r="K736" t="inlineStr">
        <is>
          <t>Yes</t>
        </is>
      </c>
      <c r="L736" t="inlineStr">
        <is>
          <t>2</t>
        </is>
      </c>
      <c r="N736" t="inlineStr">
        <is>
          <t>Rockville, Md. : Aspen Publishers, c1988.</t>
        </is>
      </c>
      <c r="O736" t="inlineStr">
        <is>
          <t>1988</t>
        </is>
      </c>
      <c r="Q736" t="inlineStr">
        <is>
          <t>eng</t>
        </is>
      </c>
      <c r="R736" t="inlineStr">
        <is>
          <t>xxu</t>
        </is>
      </c>
      <c r="T736" t="inlineStr">
        <is>
          <t xml:space="preserve">WY </t>
        </is>
      </c>
      <c r="U736" t="n">
        <v>8</v>
      </c>
      <c r="V736" t="n">
        <v>8</v>
      </c>
      <c r="W736" t="inlineStr">
        <is>
          <t>2003-02-16</t>
        </is>
      </c>
      <c r="X736" t="inlineStr">
        <is>
          <t>2003-02-16</t>
        </is>
      </c>
      <c r="Y736" t="inlineStr">
        <is>
          <t>1988-12-22</t>
        </is>
      </c>
      <c r="Z736" t="inlineStr">
        <is>
          <t>1988-12-22</t>
        </is>
      </c>
      <c r="AA736" t="n">
        <v>266</v>
      </c>
      <c r="AB736" t="n">
        <v>226</v>
      </c>
      <c r="AC736" t="n">
        <v>1843</v>
      </c>
      <c r="AD736" t="n">
        <v>1</v>
      </c>
      <c r="AE736" t="n">
        <v>39</v>
      </c>
      <c r="AF736" t="n">
        <v>6</v>
      </c>
      <c r="AG736" t="n">
        <v>52</v>
      </c>
      <c r="AH736" t="n">
        <v>2</v>
      </c>
      <c r="AI736" t="n">
        <v>19</v>
      </c>
      <c r="AJ736" t="n">
        <v>1</v>
      </c>
      <c r="AK736" t="n">
        <v>10</v>
      </c>
      <c r="AL736" t="n">
        <v>4</v>
      </c>
      <c r="AM736" t="n">
        <v>15</v>
      </c>
      <c r="AN736" t="n">
        <v>0</v>
      </c>
      <c r="AO736" t="n">
        <v>15</v>
      </c>
      <c r="AP736" t="n">
        <v>0</v>
      </c>
      <c r="AQ736" t="n">
        <v>1</v>
      </c>
      <c r="AR736" t="inlineStr">
        <is>
          <t>No</t>
        </is>
      </c>
      <c r="AS736" t="inlineStr">
        <is>
          <t>Yes</t>
        </is>
      </c>
      <c r="AT736">
        <f>HYPERLINK("http://catalog.hathitrust.org/Record/000926567","HathiTrust Record")</f>
        <v/>
      </c>
      <c r="AU736">
        <f>HYPERLINK("https://creighton-primo.hosted.exlibrisgroup.com/primo-explore/search?tab=default_tab&amp;search_scope=EVERYTHING&amp;vid=01CRU&amp;lang=en_US&amp;offset=0&amp;query=any,contains,991001106129702656","Catalog Record")</f>
        <v/>
      </c>
      <c r="AV736">
        <f>HYPERLINK("http://www.worldcat.org/oclc/17917935","WorldCat Record")</f>
        <v/>
      </c>
      <c r="AW736" t="inlineStr">
        <is>
          <t>1077195666:eng</t>
        </is>
      </c>
      <c r="AX736" t="inlineStr">
        <is>
          <t>17917935</t>
        </is>
      </c>
      <c r="AY736" t="inlineStr">
        <is>
          <t>991001106129702656</t>
        </is>
      </c>
      <c r="AZ736" t="inlineStr">
        <is>
          <t>991001106129702656</t>
        </is>
      </c>
      <c r="BA736" t="inlineStr">
        <is>
          <t>2257021880002656</t>
        </is>
      </c>
      <c r="BB736" t="inlineStr">
        <is>
          <t>BOOK</t>
        </is>
      </c>
      <c r="BD736" t="inlineStr">
        <is>
          <t>9780871897763</t>
        </is>
      </c>
      <c r="BE736" t="inlineStr">
        <is>
          <t>30001001611039</t>
        </is>
      </c>
      <c r="BF736" t="inlineStr">
        <is>
          <t>893546379</t>
        </is>
      </c>
    </row>
    <row r="737">
      <c r="A737" t="inlineStr">
        <is>
          <t>No</t>
        </is>
      </c>
      <c r="B737" t="inlineStr">
        <is>
          <t>CUHSL</t>
        </is>
      </c>
      <c r="C737" t="inlineStr">
        <is>
          <t>SHELVES</t>
        </is>
      </c>
      <c r="D737" t="inlineStr">
        <is>
          <t>WY86 H776L 2003</t>
        </is>
      </c>
      <c r="E737" t="inlineStr">
        <is>
          <t>0                      WY 0086000H  776L        2003</t>
        </is>
      </c>
      <c r="F737" t="inlineStr">
        <is>
          <t>Leddy &amp; Pepper's conceptual bases of professional nursing / Lucy Jane Hood, Susan Kun Leddy.</t>
        </is>
      </c>
      <c r="H737" t="inlineStr">
        <is>
          <t>No</t>
        </is>
      </c>
      <c r="I737" t="inlineStr">
        <is>
          <t>1</t>
        </is>
      </c>
      <c r="J737" t="inlineStr">
        <is>
          <t>No</t>
        </is>
      </c>
      <c r="K737" t="inlineStr">
        <is>
          <t>Yes</t>
        </is>
      </c>
      <c r="L737" t="inlineStr">
        <is>
          <t>0</t>
        </is>
      </c>
      <c r="M737" t="inlineStr">
        <is>
          <t>Hood, Lucy J.</t>
        </is>
      </c>
      <c r="N737" t="inlineStr">
        <is>
          <t>Philadelphia : Lippincott Williams &amp; Wilkins, c2003.</t>
        </is>
      </c>
      <c r="O737" t="inlineStr">
        <is>
          <t>2003</t>
        </is>
      </c>
      <c r="P737" t="inlineStr">
        <is>
          <t>5th ed.</t>
        </is>
      </c>
      <c r="Q737" t="inlineStr">
        <is>
          <t>eng</t>
        </is>
      </c>
      <c r="R737" t="inlineStr">
        <is>
          <t>pau</t>
        </is>
      </c>
      <c r="T737" t="inlineStr">
        <is>
          <t xml:space="preserve">WY </t>
        </is>
      </c>
      <c r="U737" t="n">
        <v>1</v>
      </c>
      <c r="V737" t="n">
        <v>1</v>
      </c>
      <c r="W737" t="inlineStr">
        <is>
          <t>2003-09-16</t>
        </is>
      </c>
      <c r="X737" t="inlineStr">
        <is>
          <t>2003-09-16</t>
        </is>
      </c>
      <c r="Y737" t="inlineStr">
        <is>
          <t>2003-06-09</t>
        </is>
      </c>
      <c r="Z737" t="inlineStr">
        <is>
          <t>2003-06-09</t>
        </is>
      </c>
      <c r="AA737" t="n">
        <v>295</v>
      </c>
      <c r="AB737" t="n">
        <v>210</v>
      </c>
      <c r="AC737" t="n">
        <v>626</v>
      </c>
      <c r="AD737" t="n">
        <v>1</v>
      </c>
      <c r="AE737" t="n">
        <v>5</v>
      </c>
      <c r="AF737" t="n">
        <v>4</v>
      </c>
      <c r="AG737" t="n">
        <v>15</v>
      </c>
      <c r="AH737" t="n">
        <v>2</v>
      </c>
      <c r="AI737" t="n">
        <v>4</v>
      </c>
      <c r="AJ737" t="n">
        <v>0</v>
      </c>
      <c r="AK737" t="n">
        <v>2</v>
      </c>
      <c r="AL737" t="n">
        <v>3</v>
      </c>
      <c r="AM737" t="n">
        <v>7</v>
      </c>
      <c r="AN737" t="n">
        <v>0</v>
      </c>
      <c r="AO737" t="n">
        <v>4</v>
      </c>
      <c r="AP737" t="n">
        <v>0</v>
      </c>
      <c r="AQ737" t="n">
        <v>0</v>
      </c>
      <c r="AR737" t="inlineStr">
        <is>
          <t>No</t>
        </is>
      </c>
      <c r="AS737" t="inlineStr">
        <is>
          <t>No</t>
        </is>
      </c>
      <c r="AU737">
        <f>HYPERLINK("https://creighton-primo.hosted.exlibrisgroup.com/primo-explore/search?tab=default_tab&amp;search_scope=EVERYTHING&amp;vid=01CRU&amp;lang=en_US&amp;offset=0&amp;query=any,contains,991000349559702656","Catalog Record")</f>
        <v/>
      </c>
      <c r="AV737">
        <f>HYPERLINK("http://www.worldcat.org/oclc/50244338","WorldCat Record")</f>
        <v/>
      </c>
      <c r="AW737" t="inlineStr">
        <is>
          <t>3625509397:eng</t>
        </is>
      </c>
      <c r="AX737" t="inlineStr">
        <is>
          <t>50244338</t>
        </is>
      </c>
      <c r="AY737" t="inlineStr">
        <is>
          <t>991000349559702656</t>
        </is>
      </c>
      <c r="AZ737" t="inlineStr">
        <is>
          <t>991000349559702656</t>
        </is>
      </c>
      <c r="BA737" t="inlineStr">
        <is>
          <t>2268557890002656</t>
        </is>
      </c>
      <c r="BB737" t="inlineStr">
        <is>
          <t>BOOK</t>
        </is>
      </c>
      <c r="BD737" t="inlineStr">
        <is>
          <t>9780781735230</t>
        </is>
      </c>
      <c r="BE737" t="inlineStr">
        <is>
          <t>30001004501260</t>
        </is>
      </c>
      <c r="BF737" t="inlineStr">
        <is>
          <t>893359495</t>
        </is>
      </c>
    </row>
    <row r="738">
      <c r="A738" t="inlineStr">
        <is>
          <t>No</t>
        </is>
      </c>
      <c r="B738" t="inlineStr">
        <is>
          <t>CUHSL</t>
        </is>
      </c>
      <c r="C738" t="inlineStr">
        <is>
          <t>SHELVES</t>
        </is>
      </c>
      <c r="D738" t="inlineStr">
        <is>
          <t>WY86 H776L 2006</t>
        </is>
      </c>
      <c r="E738" t="inlineStr">
        <is>
          <t>0                      WY 0086000H  776L        2006</t>
        </is>
      </c>
      <c r="F738" t="inlineStr">
        <is>
          <t>Leddy &amp; Pepper's conceptual bases of professional nursing / Lucy Jane Hood, Susan Kun Leddy.</t>
        </is>
      </c>
      <c r="H738" t="inlineStr">
        <is>
          <t>No</t>
        </is>
      </c>
      <c r="I738" t="inlineStr">
        <is>
          <t>1</t>
        </is>
      </c>
      <c r="J738" t="inlineStr">
        <is>
          <t>No</t>
        </is>
      </c>
      <c r="K738" t="inlineStr">
        <is>
          <t>Yes</t>
        </is>
      </c>
      <c r="L738" t="inlineStr">
        <is>
          <t>0</t>
        </is>
      </c>
      <c r="M738" t="inlineStr">
        <is>
          <t>Hood, Lucy J.</t>
        </is>
      </c>
      <c r="N738" t="inlineStr">
        <is>
          <t>Philadelphia : Lippincott Williams &amp; Wilkins, c2006.</t>
        </is>
      </c>
      <c r="O738" t="inlineStr">
        <is>
          <t>2006</t>
        </is>
      </c>
      <c r="P738" t="inlineStr">
        <is>
          <t>6th ed.</t>
        </is>
      </c>
      <c r="Q738" t="inlineStr">
        <is>
          <t>eng</t>
        </is>
      </c>
      <c r="R738" t="inlineStr">
        <is>
          <t>pau</t>
        </is>
      </c>
      <c r="T738" t="inlineStr">
        <is>
          <t xml:space="preserve">WY </t>
        </is>
      </c>
      <c r="U738" t="n">
        <v>1</v>
      </c>
      <c r="V738" t="n">
        <v>1</v>
      </c>
      <c r="W738" t="inlineStr">
        <is>
          <t>2008-01-04</t>
        </is>
      </c>
      <c r="X738" t="inlineStr">
        <is>
          <t>2008-01-04</t>
        </is>
      </c>
      <c r="Y738" t="inlineStr">
        <is>
          <t>2006-03-30</t>
        </is>
      </c>
      <c r="Z738" t="inlineStr">
        <is>
          <t>2006-03-30</t>
        </is>
      </c>
      <c r="AA738" t="n">
        <v>358</v>
      </c>
      <c r="AB738" t="n">
        <v>269</v>
      </c>
      <c r="AC738" t="n">
        <v>626</v>
      </c>
      <c r="AD738" t="n">
        <v>2</v>
      </c>
      <c r="AE738" t="n">
        <v>5</v>
      </c>
      <c r="AF738" t="n">
        <v>6</v>
      </c>
      <c r="AG738" t="n">
        <v>15</v>
      </c>
      <c r="AH738" t="n">
        <v>2</v>
      </c>
      <c r="AI738" t="n">
        <v>4</v>
      </c>
      <c r="AJ738" t="n">
        <v>1</v>
      </c>
      <c r="AK738" t="n">
        <v>2</v>
      </c>
      <c r="AL738" t="n">
        <v>2</v>
      </c>
      <c r="AM738" t="n">
        <v>7</v>
      </c>
      <c r="AN738" t="n">
        <v>1</v>
      </c>
      <c r="AO738" t="n">
        <v>4</v>
      </c>
      <c r="AP738" t="n">
        <v>0</v>
      </c>
      <c r="AQ738" t="n">
        <v>0</v>
      </c>
      <c r="AR738" t="inlineStr">
        <is>
          <t>No</t>
        </is>
      </c>
      <c r="AS738" t="inlineStr">
        <is>
          <t>No</t>
        </is>
      </c>
      <c r="AU738">
        <f>HYPERLINK("https://creighton-primo.hosted.exlibrisgroup.com/primo-explore/search?tab=default_tab&amp;search_scope=EVERYTHING&amp;vid=01CRU&amp;lang=en_US&amp;offset=0&amp;query=any,contains,991001738339702656","Catalog Record")</f>
        <v/>
      </c>
      <c r="AV738">
        <f>HYPERLINK("http://www.worldcat.org/oclc/61162303","WorldCat Record")</f>
        <v/>
      </c>
      <c r="AW738" t="inlineStr">
        <is>
          <t>3625509397:eng</t>
        </is>
      </c>
      <c r="AX738" t="inlineStr">
        <is>
          <t>61162303</t>
        </is>
      </c>
      <c r="AY738" t="inlineStr">
        <is>
          <t>991001738339702656</t>
        </is>
      </c>
      <c r="AZ738" t="inlineStr">
        <is>
          <t>991001738339702656</t>
        </is>
      </c>
      <c r="BA738" t="inlineStr">
        <is>
          <t>2269115740002656</t>
        </is>
      </c>
      <c r="BB738" t="inlineStr">
        <is>
          <t>BOOK</t>
        </is>
      </c>
      <c r="BD738" t="inlineStr">
        <is>
          <t>9780781761000</t>
        </is>
      </c>
      <c r="BE738" t="inlineStr">
        <is>
          <t>30001005127164</t>
        </is>
      </c>
      <c r="BF738" t="inlineStr">
        <is>
          <t>893832488</t>
        </is>
      </c>
    </row>
    <row r="739">
      <c r="A739" t="inlineStr">
        <is>
          <t>No</t>
        </is>
      </c>
      <c r="B739" t="inlineStr">
        <is>
          <t>CUHSL</t>
        </is>
      </c>
      <c r="C739" t="inlineStr">
        <is>
          <t>SHELVES</t>
        </is>
      </c>
      <c r="D739" t="inlineStr">
        <is>
          <t>WY86 J66i 2005</t>
        </is>
      </c>
      <c r="E739" t="inlineStr">
        <is>
          <t>0                      WY 0086000J  66i         2005</t>
        </is>
      </c>
      <c r="F739" t="inlineStr">
        <is>
          <t>An introduction to theory and reasoning in nursing / Betty M. Johnson, Pamela B. Webber.</t>
        </is>
      </c>
      <c r="H739" t="inlineStr">
        <is>
          <t>No</t>
        </is>
      </c>
      <c r="I739" t="inlineStr">
        <is>
          <t>1</t>
        </is>
      </c>
      <c r="J739" t="inlineStr">
        <is>
          <t>No</t>
        </is>
      </c>
      <c r="K739" t="inlineStr">
        <is>
          <t>Yes</t>
        </is>
      </c>
      <c r="L739" t="inlineStr">
        <is>
          <t>0</t>
        </is>
      </c>
      <c r="M739" t="inlineStr">
        <is>
          <t>Johnson, Betty M.</t>
        </is>
      </c>
      <c r="N739" t="inlineStr">
        <is>
          <t>Philadelphia : Lippincott Williams &amp; Wilkins, c2005.</t>
        </is>
      </c>
      <c r="O739" t="inlineStr">
        <is>
          <t>2005</t>
        </is>
      </c>
      <c r="P739" t="inlineStr">
        <is>
          <t>2nd ed.</t>
        </is>
      </c>
      <c r="Q739" t="inlineStr">
        <is>
          <t>eng</t>
        </is>
      </c>
      <c r="R739" t="inlineStr">
        <is>
          <t>pau</t>
        </is>
      </c>
      <c r="T739" t="inlineStr">
        <is>
          <t xml:space="preserve">WY </t>
        </is>
      </c>
      <c r="U739" t="n">
        <v>0</v>
      </c>
      <c r="V739" t="n">
        <v>0</v>
      </c>
      <c r="W739" t="inlineStr">
        <is>
          <t>2004-09-20</t>
        </is>
      </c>
      <c r="X739" t="inlineStr">
        <is>
          <t>2004-09-20</t>
        </is>
      </c>
      <c r="Y739" t="inlineStr">
        <is>
          <t>2004-09-15</t>
        </is>
      </c>
      <c r="Z739" t="inlineStr">
        <is>
          <t>2004-09-15</t>
        </is>
      </c>
      <c r="AA739" t="n">
        <v>354</v>
      </c>
      <c r="AB739" t="n">
        <v>251</v>
      </c>
      <c r="AC739" t="n">
        <v>593</v>
      </c>
      <c r="AD739" t="n">
        <v>1</v>
      </c>
      <c r="AE739" t="n">
        <v>2</v>
      </c>
      <c r="AF739" t="n">
        <v>8</v>
      </c>
      <c r="AG739" t="n">
        <v>21</v>
      </c>
      <c r="AH739" t="n">
        <v>3</v>
      </c>
      <c r="AI739" t="n">
        <v>9</v>
      </c>
      <c r="AJ739" t="n">
        <v>2</v>
      </c>
      <c r="AK739" t="n">
        <v>5</v>
      </c>
      <c r="AL739" t="n">
        <v>4</v>
      </c>
      <c r="AM739" t="n">
        <v>12</v>
      </c>
      <c r="AN739" t="n">
        <v>0</v>
      </c>
      <c r="AO739" t="n">
        <v>0</v>
      </c>
      <c r="AP739" t="n">
        <v>0</v>
      </c>
      <c r="AQ739" t="n">
        <v>0</v>
      </c>
      <c r="AR739" t="inlineStr">
        <is>
          <t>No</t>
        </is>
      </c>
      <c r="AS739" t="inlineStr">
        <is>
          <t>No</t>
        </is>
      </c>
      <c r="AU739">
        <f>HYPERLINK("https://creighton-primo.hosted.exlibrisgroup.com/primo-explore/search?tab=default_tab&amp;search_scope=EVERYTHING&amp;vid=01CRU&amp;lang=en_US&amp;offset=0&amp;query=any,contains,991000390689702656","Catalog Record")</f>
        <v/>
      </c>
      <c r="AV739">
        <f>HYPERLINK("http://www.worldcat.org/oclc/54408200","WorldCat Record")</f>
        <v/>
      </c>
      <c r="AW739" t="inlineStr">
        <is>
          <t>12533858:eng</t>
        </is>
      </c>
      <c r="AX739" t="inlineStr">
        <is>
          <t>54408200</t>
        </is>
      </c>
      <c r="AY739" t="inlineStr">
        <is>
          <t>991000390689702656</t>
        </is>
      </c>
      <c r="AZ739" t="inlineStr">
        <is>
          <t>991000390689702656</t>
        </is>
      </c>
      <c r="BA739" t="inlineStr">
        <is>
          <t>2260939460002656</t>
        </is>
      </c>
      <c r="BB739" t="inlineStr">
        <is>
          <t>BOOK</t>
        </is>
      </c>
      <c r="BD739" t="inlineStr">
        <is>
          <t>9780781748421</t>
        </is>
      </c>
      <c r="BE739" t="inlineStr">
        <is>
          <t>30001004922839</t>
        </is>
      </c>
      <c r="BF739" t="inlineStr">
        <is>
          <t>893547794</t>
        </is>
      </c>
    </row>
    <row r="740">
      <c r="A740" t="inlineStr">
        <is>
          <t>No</t>
        </is>
      </c>
      <c r="B740" t="inlineStr">
        <is>
          <t>CUHSL</t>
        </is>
      </c>
      <c r="C740" t="inlineStr">
        <is>
          <t>SHELVES</t>
        </is>
      </c>
      <c r="D740" t="inlineStr">
        <is>
          <t>WY 86 J66i 2010</t>
        </is>
      </c>
      <c r="E740" t="inlineStr">
        <is>
          <t>0                      WY 0086000J  66i         2010</t>
        </is>
      </c>
      <c r="F740" t="inlineStr">
        <is>
          <t>An introduction to theory and reasoning in nursing / Betty M. Johnson, Pamela B. Webber.</t>
        </is>
      </c>
      <c r="H740" t="inlineStr">
        <is>
          <t>No</t>
        </is>
      </c>
      <c r="I740" t="inlineStr">
        <is>
          <t>1</t>
        </is>
      </c>
      <c r="J740" t="inlineStr">
        <is>
          <t>No</t>
        </is>
      </c>
      <c r="K740" t="inlineStr">
        <is>
          <t>Yes</t>
        </is>
      </c>
      <c r="L740" t="inlineStr">
        <is>
          <t>0</t>
        </is>
      </c>
      <c r="M740" t="inlineStr">
        <is>
          <t>Johnson, Betty M.</t>
        </is>
      </c>
      <c r="N740" t="inlineStr">
        <is>
          <t>Philadelphia : Wolters Kluwer Health/Lippincott Williams &amp; Wilkins, c2010.</t>
        </is>
      </c>
      <c r="O740" t="inlineStr">
        <is>
          <t>2010</t>
        </is>
      </c>
      <c r="P740" t="inlineStr">
        <is>
          <t>3rd ed.</t>
        </is>
      </c>
      <c r="Q740" t="inlineStr">
        <is>
          <t>eng</t>
        </is>
      </c>
      <c r="R740" t="inlineStr">
        <is>
          <t>pau</t>
        </is>
      </c>
      <c r="T740" t="inlineStr">
        <is>
          <t xml:space="preserve">WY </t>
        </is>
      </c>
      <c r="U740" t="n">
        <v>3</v>
      </c>
      <c r="V740" t="n">
        <v>3</v>
      </c>
      <c r="W740" t="inlineStr">
        <is>
          <t>2010-03-02</t>
        </is>
      </c>
      <c r="X740" t="inlineStr">
        <is>
          <t>2010-03-02</t>
        </is>
      </c>
      <c r="Y740" t="inlineStr">
        <is>
          <t>2009-08-10</t>
        </is>
      </c>
      <c r="Z740" t="inlineStr">
        <is>
          <t>2009-08-10</t>
        </is>
      </c>
      <c r="AA740" t="n">
        <v>352</v>
      </c>
      <c r="AB740" t="n">
        <v>239</v>
      </c>
      <c r="AC740" t="n">
        <v>593</v>
      </c>
      <c r="AD740" t="n">
        <v>1</v>
      </c>
      <c r="AE740" t="n">
        <v>2</v>
      </c>
      <c r="AF740" t="n">
        <v>5</v>
      </c>
      <c r="AG740" t="n">
        <v>21</v>
      </c>
      <c r="AH740" t="n">
        <v>0</v>
      </c>
      <c r="AI740" t="n">
        <v>9</v>
      </c>
      <c r="AJ740" t="n">
        <v>2</v>
      </c>
      <c r="AK740" t="n">
        <v>5</v>
      </c>
      <c r="AL740" t="n">
        <v>3</v>
      </c>
      <c r="AM740" t="n">
        <v>12</v>
      </c>
      <c r="AN740" t="n">
        <v>0</v>
      </c>
      <c r="AO740" t="n">
        <v>0</v>
      </c>
      <c r="AP740" t="n">
        <v>0</v>
      </c>
      <c r="AQ740" t="n">
        <v>0</v>
      </c>
      <c r="AR740" t="inlineStr">
        <is>
          <t>No</t>
        </is>
      </c>
      <c r="AS740" t="inlineStr">
        <is>
          <t>No</t>
        </is>
      </c>
      <c r="AU740">
        <f>HYPERLINK("https://creighton-primo.hosted.exlibrisgroup.com/primo-explore/search?tab=default_tab&amp;search_scope=EVERYTHING&amp;vid=01CRU&amp;lang=en_US&amp;offset=0&amp;query=any,contains,991001803119702656","Catalog Record")</f>
        <v/>
      </c>
      <c r="AV740">
        <f>HYPERLINK("http://www.worldcat.org/oclc/280354584","WorldCat Record")</f>
        <v/>
      </c>
      <c r="AW740" t="inlineStr">
        <is>
          <t>12533858:eng</t>
        </is>
      </c>
      <c r="AX740" t="inlineStr">
        <is>
          <t>280354584</t>
        </is>
      </c>
      <c r="AY740" t="inlineStr">
        <is>
          <t>991001803119702656</t>
        </is>
      </c>
      <c r="AZ740" t="inlineStr">
        <is>
          <t>991001803119702656</t>
        </is>
      </c>
      <c r="BA740" t="inlineStr">
        <is>
          <t>2260335510002656</t>
        </is>
      </c>
      <c r="BB740" t="inlineStr">
        <is>
          <t>BOOK</t>
        </is>
      </c>
      <c r="BD740" t="inlineStr">
        <is>
          <t>9780781791038</t>
        </is>
      </c>
      <c r="BE740" t="inlineStr">
        <is>
          <t>30001004918506</t>
        </is>
      </c>
      <c r="BF740" t="inlineStr">
        <is>
          <t>893821737</t>
        </is>
      </c>
    </row>
    <row r="741">
      <c r="A741" t="inlineStr">
        <is>
          <t>No</t>
        </is>
      </c>
      <c r="B741" t="inlineStr">
        <is>
          <t>CUHSL</t>
        </is>
      </c>
      <c r="C741" t="inlineStr">
        <is>
          <t>SHELVES</t>
        </is>
      </c>
      <c r="D741" t="inlineStr">
        <is>
          <t>WY 86 K49u 1983</t>
        </is>
      </c>
      <c r="E741" t="inlineStr">
        <is>
          <t>0                      WY 0086000K  49u         1983</t>
        </is>
      </c>
      <c r="F741" t="inlineStr">
        <is>
          <t>The nature of theoretical thinking in nursing / by Hesook Suzie Kim.</t>
        </is>
      </c>
      <c r="H741" t="inlineStr">
        <is>
          <t>No</t>
        </is>
      </c>
      <c r="I741" t="inlineStr">
        <is>
          <t>1</t>
        </is>
      </c>
      <c r="J741" t="inlineStr">
        <is>
          <t>No</t>
        </is>
      </c>
      <c r="K741" t="inlineStr">
        <is>
          <t>No</t>
        </is>
      </c>
      <c r="L741" t="inlineStr">
        <is>
          <t>0</t>
        </is>
      </c>
      <c r="M741" t="inlineStr">
        <is>
          <t>Kim, Hesook Suzie.</t>
        </is>
      </c>
      <c r="N741" t="inlineStr">
        <is>
          <t>East Norwalk, Conn. : Appleton-Century-Crofts, c1983.</t>
        </is>
      </c>
      <c r="O741" t="inlineStr">
        <is>
          <t>1983</t>
        </is>
      </c>
      <c r="Q741" t="inlineStr">
        <is>
          <t>eng</t>
        </is>
      </c>
      <c r="R741" t="inlineStr">
        <is>
          <t>ctu</t>
        </is>
      </c>
      <c r="T741" t="inlineStr">
        <is>
          <t xml:space="preserve">WY </t>
        </is>
      </c>
      <c r="U741" t="n">
        <v>19</v>
      </c>
      <c r="V741" t="n">
        <v>19</v>
      </c>
      <c r="W741" t="inlineStr">
        <is>
          <t>1996-09-30</t>
        </is>
      </c>
      <c r="X741" t="inlineStr">
        <is>
          <t>1996-09-30</t>
        </is>
      </c>
      <c r="Y741" t="inlineStr">
        <is>
          <t>1987-10-22</t>
        </is>
      </c>
      <c r="Z741" t="inlineStr">
        <is>
          <t>1987-10-22</t>
        </is>
      </c>
      <c r="AA741" t="n">
        <v>279</v>
      </c>
      <c r="AB741" t="n">
        <v>218</v>
      </c>
      <c r="AC741" t="n">
        <v>812</v>
      </c>
      <c r="AD741" t="n">
        <v>1</v>
      </c>
      <c r="AE741" t="n">
        <v>6</v>
      </c>
      <c r="AF741" t="n">
        <v>11</v>
      </c>
      <c r="AG741" t="n">
        <v>41</v>
      </c>
      <c r="AH741" t="n">
        <v>4</v>
      </c>
      <c r="AI741" t="n">
        <v>18</v>
      </c>
      <c r="AJ741" t="n">
        <v>3</v>
      </c>
      <c r="AK741" t="n">
        <v>10</v>
      </c>
      <c r="AL741" t="n">
        <v>6</v>
      </c>
      <c r="AM741" t="n">
        <v>15</v>
      </c>
      <c r="AN741" t="n">
        <v>0</v>
      </c>
      <c r="AO741" t="n">
        <v>5</v>
      </c>
      <c r="AP741" t="n">
        <v>0</v>
      </c>
      <c r="AQ741" t="n">
        <v>1</v>
      </c>
      <c r="AR741" t="inlineStr">
        <is>
          <t>No</t>
        </is>
      </c>
      <c r="AS741" t="inlineStr">
        <is>
          <t>Yes</t>
        </is>
      </c>
      <c r="AT741">
        <f>HYPERLINK("http://catalog.hathitrust.org/Record/000275714","HathiTrust Record")</f>
        <v/>
      </c>
      <c r="AU741">
        <f>HYPERLINK("https://creighton-primo.hosted.exlibrisgroup.com/primo-explore/search?tab=default_tab&amp;search_scope=EVERYTHING&amp;vid=01CRU&amp;lang=en_US&amp;offset=0&amp;query=any,contains,991001131109702656","Catalog Record")</f>
        <v/>
      </c>
      <c r="AV741">
        <f>HYPERLINK("http://www.worldcat.org/oclc/8786114","WorldCat Record")</f>
        <v/>
      </c>
      <c r="AW741" t="inlineStr">
        <is>
          <t>966298:eng</t>
        </is>
      </c>
      <c r="AX741" t="inlineStr">
        <is>
          <t>8786114</t>
        </is>
      </c>
      <c r="AY741" t="inlineStr">
        <is>
          <t>991001131109702656</t>
        </is>
      </c>
      <c r="AZ741" t="inlineStr">
        <is>
          <t>991001131109702656</t>
        </is>
      </c>
      <c r="BA741" t="inlineStr">
        <is>
          <t>2266630830002656</t>
        </is>
      </c>
      <c r="BB741" t="inlineStr">
        <is>
          <t>BOOK</t>
        </is>
      </c>
      <c r="BD741" t="inlineStr">
        <is>
          <t>9780838566527</t>
        </is>
      </c>
      <c r="BE741" t="inlineStr">
        <is>
          <t>30001000285082</t>
        </is>
      </c>
      <c r="BF741" t="inlineStr">
        <is>
          <t>893148890</t>
        </is>
      </c>
    </row>
    <row r="742">
      <c r="A742" t="inlineStr">
        <is>
          <t>No</t>
        </is>
      </c>
      <c r="B742" t="inlineStr">
        <is>
          <t>CUHSL</t>
        </is>
      </c>
      <c r="C742" t="inlineStr">
        <is>
          <t>SHELVES</t>
        </is>
      </c>
      <c r="D742" t="inlineStr">
        <is>
          <t>WY 86 K52t 1981</t>
        </is>
      </c>
      <c r="E742" t="inlineStr">
        <is>
          <t>0                      WY 0086000K  52t         1981</t>
        </is>
      </c>
      <c r="F742" t="inlineStr">
        <is>
          <t>A theory for nursing : systems, concepts, process / Imogene M. King.</t>
        </is>
      </c>
      <c r="H742" t="inlineStr">
        <is>
          <t>No</t>
        </is>
      </c>
      <c r="I742" t="inlineStr">
        <is>
          <t>1</t>
        </is>
      </c>
      <c r="J742" t="inlineStr">
        <is>
          <t>No</t>
        </is>
      </c>
      <c r="K742" t="inlineStr">
        <is>
          <t>No</t>
        </is>
      </c>
      <c r="L742" t="inlineStr">
        <is>
          <t>0</t>
        </is>
      </c>
      <c r="M742" t="inlineStr">
        <is>
          <t>King, Imogene M.</t>
        </is>
      </c>
      <c r="N742" t="inlineStr">
        <is>
          <t>New York : Wiley, c1981.</t>
        </is>
      </c>
      <c r="O742" t="inlineStr">
        <is>
          <t>1981</t>
        </is>
      </c>
      <c r="Q742" t="inlineStr">
        <is>
          <t>eng</t>
        </is>
      </c>
      <c r="R742" t="inlineStr">
        <is>
          <t>nyu</t>
        </is>
      </c>
      <c r="T742" t="inlineStr">
        <is>
          <t xml:space="preserve">WY </t>
        </is>
      </c>
      <c r="U742" t="n">
        <v>37</v>
      </c>
      <c r="V742" t="n">
        <v>37</v>
      </c>
      <c r="W742" t="inlineStr">
        <is>
          <t>2001-11-08</t>
        </is>
      </c>
      <c r="X742" t="inlineStr">
        <is>
          <t>2001-11-08</t>
        </is>
      </c>
      <c r="Y742" t="inlineStr">
        <is>
          <t>1987-10-22</t>
        </is>
      </c>
      <c r="Z742" t="inlineStr">
        <is>
          <t>1987-10-22</t>
        </is>
      </c>
      <c r="AA742" t="n">
        <v>480</v>
      </c>
      <c r="AB742" t="n">
        <v>391</v>
      </c>
      <c r="AC742" t="n">
        <v>440</v>
      </c>
      <c r="AD742" t="n">
        <v>4</v>
      </c>
      <c r="AE742" t="n">
        <v>4</v>
      </c>
      <c r="AF742" t="n">
        <v>19</v>
      </c>
      <c r="AG742" t="n">
        <v>21</v>
      </c>
      <c r="AH742" t="n">
        <v>9</v>
      </c>
      <c r="AI742" t="n">
        <v>10</v>
      </c>
      <c r="AJ742" t="n">
        <v>5</v>
      </c>
      <c r="AK742" t="n">
        <v>5</v>
      </c>
      <c r="AL742" t="n">
        <v>8</v>
      </c>
      <c r="AM742" t="n">
        <v>10</v>
      </c>
      <c r="AN742" t="n">
        <v>2</v>
      </c>
      <c r="AO742" t="n">
        <v>2</v>
      </c>
      <c r="AP742" t="n">
        <v>0</v>
      </c>
      <c r="AQ742" t="n">
        <v>0</v>
      </c>
      <c r="AR742" t="inlineStr">
        <is>
          <t>No</t>
        </is>
      </c>
      <c r="AS742" t="inlineStr">
        <is>
          <t>Yes</t>
        </is>
      </c>
      <c r="AT742">
        <f>HYPERLINK("http://catalog.hathitrust.org/Record/004413592","HathiTrust Record")</f>
        <v/>
      </c>
      <c r="AU742">
        <f>HYPERLINK("https://creighton-primo.hosted.exlibrisgroup.com/primo-explore/search?tab=default_tab&amp;search_scope=EVERYTHING&amp;vid=01CRU&amp;lang=en_US&amp;offset=0&amp;query=any,contains,991000738679702656","Catalog Record")</f>
        <v/>
      </c>
      <c r="AV742">
        <f>HYPERLINK("http://www.worldcat.org/oclc/7276214","WorldCat Record")</f>
        <v/>
      </c>
      <c r="AW742" t="inlineStr">
        <is>
          <t>494100:eng</t>
        </is>
      </c>
      <c r="AX742" t="inlineStr">
        <is>
          <t>7276214</t>
        </is>
      </c>
      <c r="AY742" t="inlineStr">
        <is>
          <t>991000738679702656</t>
        </is>
      </c>
      <c r="AZ742" t="inlineStr">
        <is>
          <t>991000738679702656</t>
        </is>
      </c>
      <c r="BA742" t="inlineStr">
        <is>
          <t>2259954820002656</t>
        </is>
      </c>
      <c r="BB742" t="inlineStr">
        <is>
          <t>BOOK</t>
        </is>
      </c>
      <c r="BD742" t="inlineStr">
        <is>
          <t>9780471077954</t>
        </is>
      </c>
      <c r="BE742" t="inlineStr">
        <is>
          <t>30001000042665</t>
        </is>
      </c>
      <c r="BF742" t="inlineStr">
        <is>
          <t>893272939</t>
        </is>
      </c>
    </row>
    <row r="743">
      <c r="A743" t="inlineStr">
        <is>
          <t>No</t>
        </is>
      </c>
      <c r="B743" t="inlineStr">
        <is>
          <t>CUHSL</t>
        </is>
      </c>
      <c r="C743" t="inlineStr">
        <is>
          <t>SHELVES</t>
        </is>
      </c>
      <c r="D743" t="inlineStr">
        <is>
          <t>WY 86 K73 1989</t>
        </is>
      </c>
      <c r="E743" t="inlineStr">
        <is>
          <t>0                      WY 0086000K  73          1989</t>
        </is>
      </c>
      <c r="F743" t="inlineStr">
        <is>
          <t>Knowledge about care and caring : state of the art and future developments : proceedings of a Wingspread conference February 1-3, 1989, Wingspread Conference Center, Racine, Wisconsin / edited by Joanne S. Stevenson and Toni Tripp-Reimer.</t>
        </is>
      </c>
      <c r="H743" t="inlineStr">
        <is>
          <t>No</t>
        </is>
      </c>
      <c r="I743" t="inlineStr">
        <is>
          <t>1</t>
        </is>
      </c>
      <c r="J743" t="inlineStr">
        <is>
          <t>No</t>
        </is>
      </c>
      <c r="K743" t="inlineStr">
        <is>
          <t>No</t>
        </is>
      </c>
      <c r="L743" t="inlineStr">
        <is>
          <t>0</t>
        </is>
      </c>
      <c r="N743" t="inlineStr">
        <is>
          <t>Kansas City, Mo. : American Academy of Nursing, c1990.</t>
        </is>
      </c>
      <c r="O743" t="inlineStr">
        <is>
          <t>1990</t>
        </is>
      </c>
      <c r="Q743" t="inlineStr">
        <is>
          <t>eng</t>
        </is>
      </c>
      <c r="R743" t="inlineStr">
        <is>
          <t>mou</t>
        </is>
      </c>
      <c r="S743" t="inlineStr">
        <is>
          <t>NLN pub. no. G-177 2500</t>
        </is>
      </c>
      <c r="T743" t="inlineStr">
        <is>
          <t xml:space="preserve">WY </t>
        </is>
      </c>
      <c r="U743" t="n">
        <v>0</v>
      </c>
      <c r="V743" t="n">
        <v>0</v>
      </c>
      <c r="W743" t="inlineStr">
        <is>
          <t>2008-01-08</t>
        </is>
      </c>
      <c r="X743" t="inlineStr">
        <is>
          <t>2008-01-08</t>
        </is>
      </c>
      <c r="Y743" t="inlineStr">
        <is>
          <t>2000-06-15</t>
        </is>
      </c>
      <c r="Z743" t="inlineStr">
        <is>
          <t>2000-06-15</t>
        </is>
      </c>
      <c r="AA743" t="n">
        <v>177</v>
      </c>
      <c r="AB743" t="n">
        <v>151</v>
      </c>
      <c r="AC743" t="n">
        <v>159</v>
      </c>
      <c r="AD743" t="n">
        <v>1</v>
      </c>
      <c r="AE743" t="n">
        <v>1</v>
      </c>
      <c r="AF743" t="n">
        <v>9</v>
      </c>
      <c r="AG743" t="n">
        <v>9</v>
      </c>
      <c r="AH743" t="n">
        <v>5</v>
      </c>
      <c r="AI743" t="n">
        <v>5</v>
      </c>
      <c r="AJ743" t="n">
        <v>0</v>
      </c>
      <c r="AK743" t="n">
        <v>0</v>
      </c>
      <c r="AL743" t="n">
        <v>5</v>
      </c>
      <c r="AM743" t="n">
        <v>5</v>
      </c>
      <c r="AN743" t="n">
        <v>0</v>
      </c>
      <c r="AO743" t="n">
        <v>0</v>
      </c>
      <c r="AP743" t="n">
        <v>0</v>
      </c>
      <c r="AQ743" t="n">
        <v>0</v>
      </c>
      <c r="AR743" t="inlineStr">
        <is>
          <t>No</t>
        </is>
      </c>
      <c r="AS743" t="inlineStr">
        <is>
          <t>Yes</t>
        </is>
      </c>
      <c r="AT743">
        <f>HYPERLINK("http://catalog.hathitrust.org/Record/002228817","HathiTrust Record")</f>
        <v/>
      </c>
      <c r="AU743">
        <f>HYPERLINK("https://creighton-primo.hosted.exlibrisgroup.com/primo-explore/search?tab=default_tab&amp;search_scope=EVERYTHING&amp;vid=01CRU&amp;lang=en_US&amp;offset=0&amp;query=any,contains,991000224319702656","Catalog Record")</f>
        <v/>
      </c>
      <c r="AV743">
        <f>HYPERLINK("http://www.worldcat.org/oclc/22233313","WorldCat Record")</f>
        <v/>
      </c>
      <c r="AW743" t="inlineStr">
        <is>
          <t>2864374484:eng</t>
        </is>
      </c>
      <c r="AX743" t="inlineStr">
        <is>
          <t>22233313</t>
        </is>
      </c>
      <c r="AY743" t="inlineStr">
        <is>
          <t>991000224319702656</t>
        </is>
      </c>
      <c r="AZ743" t="inlineStr">
        <is>
          <t>991000224319702656</t>
        </is>
      </c>
      <c r="BA743" t="inlineStr">
        <is>
          <t>2271622810002656</t>
        </is>
      </c>
      <c r="BB743" t="inlineStr">
        <is>
          <t>BOOK</t>
        </is>
      </c>
      <c r="BE743" t="inlineStr">
        <is>
          <t>30001001884644</t>
        </is>
      </c>
      <c r="BF743" t="inlineStr">
        <is>
          <t>893821925</t>
        </is>
      </c>
    </row>
    <row r="744">
      <c r="A744" t="inlineStr">
        <is>
          <t>No</t>
        </is>
      </c>
      <c r="B744" t="inlineStr">
        <is>
          <t>CUHSL</t>
        </is>
      </c>
      <c r="C744" t="inlineStr">
        <is>
          <t>SHELVES</t>
        </is>
      </c>
      <c r="D744" t="inlineStr">
        <is>
          <t>WY 86 K92f 1981</t>
        </is>
      </c>
      <c r="E744" t="inlineStr">
        <is>
          <t>0                      WY 0086000K  92f         1981</t>
        </is>
      </c>
      <c r="F744" t="inlineStr">
        <is>
          <t>Foundations for holistic health nursing practices : the Renaissance nurse / Dolores Krieger ; with clinical papers by seven holistic health nurses.</t>
        </is>
      </c>
      <c r="H744" t="inlineStr">
        <is>
          <t>No</t>
        </is>
      </c>
      <c r="I744" t="inlineStr">
        <is>
          <t>1</t>
        </is>
      </c>
      <c r="J744" t="inlineStr">
        <is>
          <t>No</t>
        </is>
      </c>
      <c r="K744" t="inlineStr">
        <is>
          <t>No</t>
        </is>
      </c>
      <c r="L744" t="inlineStr">
        <is>
          <t>0</t>
        </is>
      </c>
      <c r="M744" t="inlineStr">
        <is>
          <t>Krieger, Dolores.</t>
        </is>
      </c>
      <c r="N744" t="inlineStr">
        <is>
          <t>Philadelphia : Lippincott, c1981.</t>
        </is>
      </c>
      <c r="O744" t="inlineStr">
        <is>
          <t>1981</t>
        </is>
      </c>
      <c r="Q744" t="inlineStr">
        <is>
          <t>eng</t>
        </is>
      </c>
      <c r="R744" t="inlineStr">
        <is>
          <t>xxu</t>
        </is>
      </c>
      <c r="T744" t="inlineStr">
        <is>
          <t xml:space="preserve">WY </t>
        </is>
      </c>
      <c r="U744" t="n">
        <v>4</v>
      </c>
      <c r="V744" t="n">
        <v>4</v>
      </c>
      <c r="W744" t="inlineStr">
        <is>
          <t>1993-02-22</t>
        </is>
      </c>
      <c r="X744" t="inlineStr">
        <is>
          <t>1993-02-22</t>
        </is>
      </c>
      <c r="Y744" t="inlineStr">
        <is>
          <t>1987-12-29</t>
        </is>
      </c>
      <c r="Z744" t="inlineStr">
        <is>
          <t>1987-12-29</t>
        </is>
      </c>
      <c r="AA744" t="n">
        <v>266</v>
      </c>
      <c r="AB744" t="n">
        <v>223</v>
      </c>
      <c r="AC744" t="n">
        <v>230</v>
      </c>
      <c r="AD744" t="n">
        <v>2</v>
      </c>
      <c r="AE744" t="n">
        <v>2</v>
      </c>
      <c r="AF744" t="n">
        <v>6</v>
      </c>
      <c r="AG744" t="n">
        <v>6</v>
      </c>
      <c r="AH744" t="n">
        <v>2</v>
      </c>
      <c r="AI744" t="n">
        <v>2</v>
      </c>
      <c r="AJ744" t="n">
        <v>0</v>
      </c>
      <c r="AK744" t="n">
        <v>0</v>
      </c>
      <c r="AL744" t="n">
        <v>4</v>
      </c>
      <c r="AM744" t="n">
        <v>4</v>
      </c>
      <c r="AN744" t="n">
        <v>1</v>
      </c>
      <c r="AO744" t="n">
        <v>1</v>
      </c>
      <c r="AP744" t="n">
        <v>0</v>
      </c>
      <c r="AQ744" t="n">
        <v>0</v>
      </c>
      <c r="AR744" t="inlineStr">
        <is>
          <t>No</t>
        </is>
      </c>
      <c r="AS744" t="inlineStr">
        <is>
          <t>Yes</t>
        </is>
      </c>
      <c r="AT744">
        <f>HYPERLINK("http://catalog.hathitrust.org/Record/000270285","HathiTrust Record")</f>
        <v/>
      </c>
      <c r="AU744">
        <f>HYPERLINK("https://creighton-primo.hosted.exlibrisgroup.com/primo-explore/search?tab=default_tab&amp;search_scope=EVERYTHING&amp;vid=01CRU&amp;lang=en_US&amp;offset=0&amp;query=any,contains,991001145399702656","Catalog Record")</f>
        <v/>
      </c>
      <c r="AV744">
        <f>HYPERLINK("http://www.worldcat.org/oclc/7204951","WorldCat Record")</f>
        <v/>
      </c>
      <c r="AW744" t="inlineStr">
        <is>
          <t>363389487:eng</t>
        </is>
      </c>
      <c r="AX744" t="inlineStr">
        <is>
          <t>7204951</t>
        </is>
      </c>
      <c r="AY744" t="inlineStr">
        <is>
          <t>991001145399702656</t>
        </is>
      </c>
      <c r="AZ744" t="inlineStr">
        <is>
          <t>991001145399702656</t>
        </is>
      </c>
      <c r="BA744" t="inlineStr">
        <is>
          <t>2271883800002656</t>
        </is>
      </c>
      <c r="BB744" t="inlineStr">
        <is>
          <t>BOOK</t>
        </is>
      </c>
      <c r="BD744" t="inlineStr">
        <is>
          <t>9780397543410</t>
        </is>
      </c>
      <c r="BE744" t="inlineStr">
        <is>
          <t>30001000291841</t>
        </is>
      </c>
      <c r="BF744" t="inlineStr">
        <is>
          <t>893820986</t>
        </is>
      </c>
    </row>
    <row r="745">
      <c r="A745" t="inlineStr">
        <is>
          <t>No</t>
        </is>
      </c>
      <c r="B745" t="inlineStr">
        <is>
          <t>CUHSL</t>
        </is>
      </c>
      <c r="C745" t="inlineStr">
        <is>
          <t>SHELVES</t>
        </is>
      </c>
      <c r="D745" t="inlineStr">
        <is>
          <t>WY 86 M449i 1981</t>
        </is>
      </c>
      <c r="E745" t="inlineStr">
        <is>
          <t>0                      WY 0086000M  449i        1981</t>
        </is>
      </c>
      <c r="F745" t="inlineStr">
        <is>
          <t>Implementing change in nursing / Ingeborg G. Mauksch, Michael H. Miller.</t>
        </is>
      </c>
      <c r="H745" t="inlineStr">
        <is>
          <t>No</t>
        </is>
      </c>
      <c r="I745" t="inlineStr">
        <is>
          <t>1</t>
        </is>
      </c>
      <c r="J745" t="inlineStr">
        <is>
          <t>No</t>
        </is>
      </c>
      <c r="K745" t="inlineStr">
        <is>
          <t>No</t>
        </is>
      </c>
      <c r="L745" t="inlineStr">
        <is>
          <t>0</t>
        </is>
      </c>
      <c r="M745" t="inlineStr">
        <is>
          <t>Mauksch, Ingeborg G.</t>
        </is>
      </c>
      <c r="N745" t="inlineStr">
        <is>
          <t>St. Louis : C.V. Mosby, c1981.</t>
        </is>
      </c>
      <c r="O745" t="inlineStr">
        <is>
          <t>1981</t>
        </is>
      </c>
      <c r="Q745" t="inlineStr">
        <is>
          <t>eng</t>
        </is>
      </c>
      <c r="R745" t="inlineStr">
        <is>
          <t>mou</t>
        </is>
      </c>
      <c r="T745" t="inlineStr">
        <is>
          <t xml:space="preserve">WY </t>
        </is>
      </c>
      <c r="U745" t="n">
        <v>1</v>
      </c>
      <c r="V745" t="n">
        <v>1</v>
      </c>
      <c r="W745" t="inlineStr">
        <is>
          <t>1991-11-04</t>
        </is>
      </c>
      <c r="X745" t="inlineStr">
        <is>
          <t>1991-11-04</t>
        </is>
      </c>
      <c r="Y745" t="inlineStr">
        <is>
          <t>1991-10-31</t>
        </is>
      </c>
      <c r="Z745" t="inlineStr">
        <is>
          <t>1991-10-31</t>
        </is>
      </c>
      <c r="AA745" t="n">
        <v>301</v>
      </c>
      <c r="AB745" t="n">
        <v>237</v>
      </c>
      <c r="AC745" t="n">
        <v>242</v>
      </c>
      <c r="AD745" t="n">
        <v>2</v>
      </c>
      <c r="AE745" t="n">
        <v>2</v>
      </c>
      <c r="AF745" t="n">
        <v>10</v>
      </c>
      <c r="AG745" t="n">
        <v>10</v>
      </c>
      <c r="AH745" t="n">
        <v>3</v>
      </c>
      <c r="AI745" t="n">
        <v>3</v>
      </c>
      <c r="AJ745" t="n">
        <v>2</v>
      </c>
      <c r="AK745" t="n">
        <v>2</v>
      </c>
      <c r="AL745" t="n">
        <v>4</v>
      </c>
      <c r="AM745" t="n">
        <v>4</v>
      </c>
      <c r="AN745" t="n">
        <v>2</v>
      </c>
      <c r="AO745" t="n">
        <v>2</v>
      </c>
      <c r="AP745" t="n">
        <v>0</v>
      </c>
      <c r="AQ745" t="n">
        <v>0</v>
      </c>
      <c r="AR745" t="inlineStr">
        <is>
          <t>No</t>
        </is>
      </c>
      <c r="AS745" t="inlineStr">
        <is>
          <t>Yes</t>
        </is>
      </c>
      <c r="AT745">
        <f>HYPERLINK("http://catalog.hathitrust.org/Record/000742701","HathiTrust Record")</f>
        <v/>
      </c>
      <c r="AU745">
        <f>HYPERLINK("https://creighton-primo.hosted.exlibrisgroup.com/primo-explore/search?tab=default_tab&amp;search_scope=EVERYTHING&amp;vid=01CRU&amp;lang=en_US&amp;offset=0&amp;query=any,contains,991001019969702656","Catalog Record")</f>
        <v/>
      </c>
      <c r="AV745">
        <f>HYPERLINK("http://www.worldcat.org/oclc/6357383","WorldCat Record")</f>
        <v/>
      </c>
      <c r="AW745" t="inlineStr">
        <is>
          <t>451259:eng</t>
        </is>
      </c>
      <c r="AX745" t="inlineStr">
        <is>
          <t>6357383</t>
        </is>
      </c>
      <c r="AY745" t="inlineStr">
        <is>
          <t>991001019969702656</t>
        </is>
      </c>
      <c r="AZ745" t="inlineStr">
        <is>
          <t>991001019969702656</t>
        </is>
      </c>
      <c r="BA745" t="inlineStr">
        <is>
          <t>2256036280002656</t>
        </is>
      </c>
      <c r="BB745" t="inlineStr">
        <is>
          <t>BOOK</t>
        </is>
      </c>
      <c r="BD745" t="inlineStr">
        <is>
          <t>9780801634765</t>
        </is>
      </c>
      <c r="BE745" t="inlineStr">
        <is>
          <t>30001002241430</t>
        </is>
      </c>
      <c r="BF745" t="inlineStr">
        <is>
          <t>893134185</t>
        </is>
      </c>
    </row>
    <row r="746">
      <c r="A746" t="inlineStr">
        <is>
          <t>No</t>
        </is>
      </c>
      <c r="B746" t="inlineStr">
        <is>
          <t>CUHSL</t>
        </is>
      </c>
      <c r="C746" t="inlineStr">
        <is>
          <t>SHELVES</t>
        </is>
      </c>
      <c r="D746" t="inlineStr">
        <is>
          <t>WY 86 M519t 1991</t>
        </is>
      </c>
      <c r="E746" t="inlineStr">
        <is>
          <t>0                      WY 0086000M  519t        1991</t>
        </is>
      </c>
      <c r="F746" t="inlineStr">
        <is>
          <t>Theoretical nursing : development and progress / Afaf Ibrahim Meleis.</t>
        </is>
      </c>
      <c r="H746" t="inlineStr">
        <is>
          <t>No</t>
        </is>
      </c>
      <c r="I746" t="inlineStr">
        <is>
          <t>1</t>
        </is>
      </c>
      <c r="J746" t="inlineStr">
        <is>
          <t>No</t>
        </is>
      </c>
      <c r="K746" t="inlineStr">
        <is>
          <t>Yes</t>
        </is>
      </c>
      <c r="L746" t="inlineStr">
        <is>
          <t>0</t>
        </is>
      </c>
      <c r="M746" t="inlineStr">
        <is>
          <t>Meleis, Afaf Ibrahim.</t>
        </is>
      </c>
      <c r="N746" t="inlineStr">
        <is>
          <t>Philadelphia, Pa. ; Lippincott : c1991.</t>
        </is>
      </c>
      <c r="O746" t="inlineStr">
        <is>
          <t>1991</t>
        </is>
      </c>
      <c r="P746" t="inlineStr">
        <is>
          <t>2nd ed.</t>
        </is>
      </c>
      <c r="Q746" t="inlineStr">
        <is>
          <t>eng</t>
        </is>
      </c>
      <c r="R746" t="inlineStr">
        <is>
          <t>xxu</t>
        </is>
      </c>
      <c r="T746" t="inlineStr">
        <is>
          <t xml:space="preserve">WY </t>
        </is>
      </c>
      <c r="U746" t="n">
        <v>57</v>
      </c>
      <c r="V746" t="n">
        <v>57</v>
      </c>
      <c r="W746" t="inlineStr">
        <is>
          <t>2004-09-16</t>
        </is>
      </c>
      <c r="X746" t="inlineStr">
        <is>
          <t>2004-09-16</t>
        </is>
      </c>
      <c r="Y746" t="inlineStr">
        <is>
          <t>1991-02-01</t>
        </is>
      </c>
      <c r="Z746" t="inlineStr">
        <is>
          <t>1991-02-01</t>
        </is>
      </c>
      <c r="AA746" t="n">
        <v>296</v>
      </c>
      <c r="AB746" t="n">
        <v>191</v>
      </c>
      <c r="AC746" t="n">
        <v>755</v>
      </c>
      <c r="AD746" t="n">
        <v>2</v>
      </c>
      <c r="AE746" t="n">
        <v>6</v>
      </c>
      <c r="AF746" t="n">
        <v>11</v>
      </c>
      <c r="AG746" t="n">
        <v>36</v>
      </c>
      <c r="AH746" t="n">
        <v>3</v>
      </c>
      <c r="AI746" t="n">
        <v>15</v>
      </c>
      <c r="AJ746" t="n">
        <v>2</v>
      </c>
      <c r="AK746" t="n">
        <v>7</v>
      </c>
      <c r="AL746" t="n">
        <v>8</v>
      </c>
      <c r="AM746" t="n">
        <v>16</v>
      </c>
      <c r="AN746" t="n">
        <v>1</v>
      </c>
      <c r="AO746" t="n">
        <v>5</v>
      </c>
      <c r="AP746" t="n">
        <v>0</v>
      </c>
      <c r="AQ746" t="n">
        <v>0</v>
      </c>
      <c r="AR746" t="inlineStr">
        <is>
          <t>No</t>
        </is>
      </c>
      <c r="AS746" t="inlineStr">
        <is>
          <t>Yes</t>
        </is>
      </c>
      <c r="AT746">
        <f>HYPERLINK("http://catalog.hathitrust.org/Record/002526719","HathiTrust Record")</f>
        <v/>
      </c>
      <c r="AU746">
        <f>HYPERLINK("https://creighton-primo.hosted.exlibrisgroup.com/primo-explore/search?tab=default_tab&amp;search_scope=EVERYTHING&amp;vid=01CRU&amp;lang=en_US&amp;offset=0&amp;query=any,contains,991000817599702656","Catalog Record")</f>
        <v/>
      </c>
      <c r="AV746">
        <f>HYPERLINK("http://www.worldcat.org/oclc/21973952","WorldCat Record")</f>
        <v/>
      </c>
      <c r="AW746" t="inlineStr">
        <is>
          <t>836669293:eng</t>
        </is>
      </c>
      <c r="AX746" t="inlineStr">
        <is>
          <t>21973952</t>
        </is>
      </c>
      <c r="AY746" t="inlineStr">
        <is>
          <t>991000817599702656</t>
        </is>
      </c>
      <c r="AZ746" t="inlineStr">
        <is>
          <t>991000817599702656</t>
        </is>
      </c>
      <c r="BA746" t="inlineStr">
        <is>
          <t>2261330270002656</t>
        </is>
      </c>
      <c r="BB746" t="inlineStr">
        <is>
          <t>BOOK</t>
        </is>
      </c>
      <c r="BD746" t="inlineStr">
        <is>
          <t>9780397548231</t>
        </is>
      </c>
      <c r="BE746" t="inlineStr">
        <is>
          <t>30001002086744</t>
        </is>
      </c>
      <c r="BF746" t="inlineStr">
        <is>
          <t>893455078</t>
        </is>
      </c>
    </row>
    <row r="747">
      <c r="A747" t="inlineStr">
        <is>
          <t>No</t>
        </is>
      </c>
      <c r="B747" t="inlineStr">
        <is>
          <t>CUHSL</t>
        </is>
      </c>
      <c r="C747" t="inlineStr">
        <is>
          <t>SHELVES</t>
        </is>
      </c>
      <c r="D747" t="inlineStr">
        <is>
          <t>WY 86 M519t 1997</t>
        </is>
      </c>
      <c r="E747" t="inlineStr">
        <is>
          <t>0                      WY 0086000M  519t        1997</t>
        </is>
      </c>
      <c r="F747" t="inlineStr">
        <is>
          <t>Theoretical nursing : development and progress / Afaf Ibrahim Meleis.</t>
        </is>
      </c>
      <c r="H747" t="inlineStr">
        <is>
          <t>No</t>
        </is>
      </c>
      <c r="I747" t="inlineStr">
        <is>
          <t>1</t>
        </is>
      </c>
      <c r="J747" t="inlineStr">
        <is>
          <t>No</t>
        </is>
      </c>
      <c r="K747" t="inlineStr">
        <is>
          <t>Yes</t>
        </is>
      </c>
      <c r="L747" t="inlineStr">
        <is>
          <t>0</t>
        </is>
      </c>
      <c r="M747" t="inlineStr">
        <is>
          <t>Meleis, Afaf Ibrahim.</t>
        </is>
      </c>
      <c r="N747" t="inlineStr">
        <is>
          <t>Philadelphia : Lippincott, c1997.</t>
        </is>
      </c>
      <c r="O747" t="inlineStr">
        <is>
          <t>1997</t>
        </is>
      </c>
      <c r="P747" t="inlineStr">
        <is>
          <t>3rd ed.</t>
        </is>
      </c>
      <c r="Q747" t="inlineStr">
        <is>
          <t>eng</t>
        </is>
      </c>
      <c r="R747" t="inlineStr">
        <is>
          <t>pau</t>
        </is>
      </c>
      <c r="T747" t="inlineStr">
        <is>
          <t xml:space="preserve">WY </t>
        </is>
      </c>
      <c r="U747" t="n">
        <v>6</v>
      </c>
      <c r="V747" t="n">
        <v>6</v>
      </c>
      <c r="W747" t="inlineStr">
        <is>
          <t>2007-07-24</t>
        </is>
      </c>
      <c r="X747" t="inlineStr">
        <is>
          <t>2007-07-24</t>
        </is>
      </c>
      <c r="Y747" t="inlineStr">
        <is>
          <t>1997-10-31</t>
        </is>
      </c>
      <c r="Z747" t="inlineStr">
        <is>
          <t>1997-10-31</t>
        </is>
      </c>
      <c r="AA747" t="n">
        <v>361</v>
      </c>
      <c r="AB747" t="n">
        <v>244</v>
      </c>
      <c r="AC747" t="n">
        <v>755</v>
      </c>
      <c r="AD747" t="n">
        <v>2</v>
      </c>
      <c r="AE747" t="n">
        <v>6</v>
      </c>
      <c r="AF747" t="n">
        <v>14</v>
      </c>
      <c r="AG747" t="n">
        <v>36</v>
      </c>
      <c r="AH747" t="n">
        <v>5</v>
      </c>
      <c r="AI747" t="n">
        <v>15</v>
      </c>
      <c r="AJ747" t="n">
        <v>2</v>
      </c>
      <c r="AK747" t="n">
        <v>7</v>
      </c>
      <c r="AL747" t="n">
        <v>9</v>
      </c>
      <c r="AM747" t="n">
        <v>16</v>
      </c>
      <c r="AN747" t="n">
        <v>1</v>
      </c>
      <c r="AO747" t="n">
        <v>5</v>
      </c>
      <c r="AP747" t="n">
        <v>0</v>
      </c>
      <c r="AQ747" t="n">
        <v>0</v>
      </c>
      <c r="AR747" t="inlineStr">
        <is>
          <t>No</t>
        </is>
      </c>
      <c r="AS747" t="inlineStr">
        <is>
          <t>Yes</t>
        </is>
      </c>
      <c r="AT747">
        <f>HYPERLINK("http://catalog.hathitrust.org/Record/003133831","HathiTrust Record")</f>
        <v/>
      </c>
      <c r="AU747">
        <f>HYPERLINK("https://creighton-primo.hosted.exlibrisgroup.com/primo-explore/search?tab=default_tab&amp;search_scope=EVERYTHING&amp;vid=01CRU&amp;lang=en_US&amp;offset=0&amp;query=any,contains,991001558739702656","Catalog Record")</f>
        <v/>
      </c>
      <c r="AV747">
        <f>HYPERLINK("http://www.worldcat.org/oclc/35650986","WorldCat Record")</f>
        <v/>
      </c>
      <c r="AW747" t="inlineStr">
        <is>
          <t>836669293:eng</t>
        </is>
      </c>
      <c r="AX747" t="inlineStr">
        <is>
          <t>35650986</t>
        </is>
      </c>
      <c r="AY747" t="inlineStr">
        <is>
          <t>991001558739702656</t>
        </is>
      </c>
      <c r="AZ747" t="inlineStr">
        <is>
          <t>991001558739702656</t>
        </is>
      </c>
      <c r="BA747" t="inlineStr">
        <is>
          <t>2258263820002656</t>
        </is>
      </c>
      <c r="BB747" t="inlineStr">
        <is>
          <t>BOOK</t>
        </is>
      </c>
      <c r="BD747" t="inlineStr">
        <is>
          <t>9780397552597</t>
        </is>
      </c>
      <c r="BE747" t="inlineStr">
        <is>
          <t>30001003603562</t>
        </is>
      </c>
      <c r="BF747" t="inlineStr">
        <is>
          <t>893638446</t>
        </is>
      </c>
    </row>
    <row r="748">
      <c r="A748" t="inlineStr">
        <is>
          <t>No</t>
        </is>
      </c>
      <c r="B748" t="inlineStr">
        <is>
          <t>CUHSL</t>
        </is>
      </c>
      <c r="C748" t="inlineStr">
        <is>
          <t>SHELVES</t>
        </is>
      </c>
      <c r="D748" t="inlineStr">
        <is>
          <t>WY 86 M661h 1999</t>
        </is>
      </c>
      <c r="E748" t="inlineStr">
        <is>
          <t>0                      WY 0086000M  661h        1999</t>
        </is>
      </c>
      <c r="F748" t="inlineStr">
        <is>
          <t>Health policy and politics : a nurse's guide / Jeri A. Milstead.</t>
        </is>
      </c>
      <c r="H748" t="inlineStr">
        <is>
          <t>No</t>
        </is>
      </c>
      <c r="I748" t="inlineStr">
        <is>
          <t>1</t>
        </is>
      </c>
      <c r="J748" t="inlineStr">
        <is>
          <t>No</t>
        </is>
      </c>
      <c r="K748" t="inlineStr">
        <is>
          <t>Yes</t>
        </is>
      </c>
      <c r="L748" t="inlineStr">
        <is>
          <t>0</t>
        </is>
      </c>
      <c r="M748" t="inlineStr">
        <is>
          <t>Milstead, Jeri A.</t>
        </is>
      </c>
      <c r="N748" t="inlineStr">
        <is>
          <t>Gaithersburg, Md : Aspen, c1999.</t>
        </is>
      </c>
      <c r="O748" t="inlineStr">
        <is>
          <t>1999</t>
        </is>
      </c>
      <c r="Q748" t="inlineStr">
        <is>
          <t>eng</t>
        </is>
      </c>
      <c r="R748" t="inlineStr">
        <is>
          <t>mdu</t>
        </is>
      </c>
      <c r="T748" t="inlineStr">
        <is>
          <t xml:space="preserve">WY </t>
        </is>
      </c>
      <c r="U748" t="n">
        <v>14</v>
      </c>
      <c r="V748" t="n">
        <v>14</v>
      </c>
      <c r="W748" t="inlineStr">
        <is>
          <t>2002-08-16</t>
        </is>
      </c>
      <c r="X748" t="inlineStr">
        <is>
          <t>2002-08-16</t>
        </is>
      </c>
      <c r="Y748" t="inlineStr">
        <is>
          <t>1999-02-19</t>
        </is>
      </c>
      <c r="Z748" t="inlineStr">
        <is>
          <t>1999-02-19</t>
        </is>
      </c>
      <c r="AA748" t="n">
        <v>219</v>
      </c>
      <c r="AB748" t="n">
        <v>199</v>
      </c>
      <c r="AC748" t="n">
        <v>807</v>
      </c>
      <c r="AD748" t="n">
        <v>1</v>
      </c>
      <c r="AE748" t="n">
        <v>4</v>
      </c>
      <c r="AF748" t="n">
        <v>3</v>
      </c>
      <c r="AG748" t="n">
        <v>33</v>
      </c>
      <c r="AH748" t="n">
        <v>1</v>
      </c>
      <c r="AI748" t="n">
        <v>14</v>
      </c>
      <c r="AJ748" t="n">
        <v>1</v>
      </c>
      <c r="AK748" t="n">
        <v>8</v>
      </c>
      <c r="AL748" t="n">
        <v>1</v>
      </c>
      <c r="AM748" t="n">
        <v>14</v>
      </c>
      <c r="AN748" t="n">
        <v>0</v>
      </c>
      <c r="AO748" t="n">
        <v>3</v>
      </c>
      <c r="AP748" t="n">
        <v>0</v>
      </c>
      <c r="AQ748" t="n">
        <v>1</v>
      </c>
      <c r="AR748" t="inlineStr">
        <is>
          <t>No</t>
        </is>
      </c>
      <c r="AS748" t="inlineStr">
        <is>
          <t>Yes</t>
        </is>
      </c>
      <c r="AT748">
        <f>HYPERLINK("http://catalog.hathitrust.org/Record/003330664","HathiTrust Record")</f>
        <v/>
      </c>
      <c r="AU748">
        <f>HYPERLINK("https://creighton-primo.hosted.exlibrisgroup.com/primo-explore/search?tab=default_tab&amp;search_scope=EVERYTHING&amp;vid=01CRU&amp;lang=en_US&amp;offset=0&amp;query=any,contains,991001559769702656","Catalog Record")</f>
        <v/>
      </c>
      <c r="AV748">
        <f>HYPERLINK("http://www.worldcat.org/oclc/39886987","WorldCat Record")</f>
        <v/>
      </c>
      <c r="AW748" t="inlineStr">
        <is>
          <t>903473825:eng</t>
        </is>
      </c>
      <c r="AX748" t="inlineStr">
        <is>
          <t>39886987</t>
        </is>
      </c>
      <c r="AY748" t="inlineStr">
        <is>
          <t>991001559769702656</t>
        </is>
      </c>
      <c r="AZ748" t="inlineStr">
        <is>
          <t>991001559769702656</t>
        </is>
      </c>
      <c r="BA748" t="inlineStr">
        <is>
          <t>2265927590002656</t>
        </is>
      </c>
      <c r="BB748" t="inlineStr">
        <is>
          <t>BOOK</t>
        </is>
      </c>
      <c r="BD748" t="inlineStr">
        <is>
          <t>9780834210554</t>
        </is>
      </c>
      <c r="BE748" t="inlineStr">
        <is>
          <t>30001004159598</t>
        </is>
      </c>
      <c r="BF748" t="inlineStr">
        <is>
          <t>893736711</t>
        </is>
      </c>
    </row>
    <row r="749">
      <c r="A749" t="inlineStr">
        <is>
          <t>No</t>
        </is>
      </c>
      <c r="B749" t="inlineStr">
        <is>
          <t>CUHSL</t>
        </is>
      </c>
      <c r="C749" t="inlineStr">
        <is>
          <t>SHELVES</t>
        </is>
      </c>
      <c r="D749" t="inlineStr">
        <is>
          <t>WY 86 N277s 1966</t>
        </is>
      </c>
      <c r="E749" t="inlineStr">
        <is>
          <t>0                      WY 0086000N  277s        1966</t>
        </is>
      </c>
      <c r="F749" t="inlineStr">
        <is>
          <t>The shifting scene - foundations for strength : papers presented at the Twenty-Second conference of the Council of Member Agencies of the Department of Baccalaureate and Higher Degree Programs held at Seattle, Washington, November 16-18, 1966.</t>
        </is>
      </c>
      <c r="H749" t="inlineStr">
        <is>
          <t>No</t>
        </is>
      </c>
      <c r="I749" t="inlineStr">
        <is>
          <t>1</t>
        </is>
      </c>
      <c r="J749" t="inlineStr">
        <is>
          <t>No</t>
        </is>
      </c>
      <c r="K749" t="inlineStr">
        <is>
          <t>No</t>
        </is>
      </c>
      <c r="L749" t="inlineStr">
        <is>
          <t>0</t>
        </is>
      </c>
      <c r="M749" t="inlineStr">
        <is>
          <t>National League for Nursing. Department of Baccalaureate and Higher Degree Programs. Council of Member Agencies.</t>
        </is>
      </c>
      <c r="N749" t="inlineStr">
        <is>
          <t>New York : National League for Nursing, Dept. of Baccalaureate and Higher Degree Programs, 1967.</t>
        </is>
      </c>
      <c r="O749" t="inlineStr">
        <is>
          <t>1967</t>
        </is>
      </c>
      <c r="Q749" t="inlineStr">
        <is>
          <t>eng</t>
        </is>
      </c>
      <c r="R749" t="inlineStr">
        <is>
          <t>nyu</t>
        </is>
      </c>
      <c r="S749" t="inlineStr">
        <is>
          <t>NLN pub. no. 15-1271</t>
        </is>
      </c>
      <c r="T749" t="inlineStr">
        <is>
          <t xml:space="preserve">WY </t>
        </is>
      </c>
      <c r="U749" t="n">
        <v>1</v>
      </c>
      <c r="V749" t="n">
        <v>1</v>
      </c>
      <c r="W749" t="inlineStr">
        <is>
          <t>1990-04-06</t>
        </is>
      </c>
      <c r="X749" t="inlineStr">
        <is>
          <t>1990-04-06</t>
        </is>
      </c>
      <c r="Y749" t="inlineStr">
        <is>
          <t>1987-10-20</t>
        </is>
      </c>
      <c r="Z749" t="inlineStr">
        <is>
          <t>1987-10-20</t>
        </is>
      </c>
      <c r="AA749" t="n">
        <v>30</v>
      </c>
      <c r="AB749" t="n">
        <v>28</v>
      </c>
      <c r="AC749" t="n">
        <v>32</v>
      </c>
      <c r="AD749" t="n">
        <v>1</v>
      </c>
      <c r="AE749" t="n">
        <v>1</v>
      </c>
      <c r="AF749" t="n">
        <v>2</v>
      </c>
      <c r="AG749" t="n">
        <v>2</v>
      </c>
      <c r="AH749" t="n">
        <v>0</v>
      </c>
      <c r="AI749" t="n">
        <v>0</v>
      </c>
      <c r="AJ749" t="n">
        <v>0</v>
      </c>
      <c r="AK749" t="n">
        <v>0</v>
      </c>
      <c r="AL749" t="n">
        <v>2</v>
      </c>
      <c r="AM749" t="n">
        <v>2</v>
      </c>
      <c r="AN749" t="n">
        <v>0</v>
      </c>
      <c r="AO749" t="n">
        <v>0</v>
      </c>
      <c r="AP749" t="n">
        <v>0</v>
      </c>
      <c r="AQ749" t="n">
        <v>0</v>
      </c>
      <c r="AR749" t="inlineStr">
        <is>
          <t>No</t>
        </is>
      </c>
      <c r="AS749" t="inlineStr">
        <is>
          <t>Yes</t>
        </is>
      </c>
      <c r="AT749">
        <f>HYPERLINK("http://catalog.hathitrust.org/Record/002072341","HathiTrust Record")</f>
        <v/>
      </c>
      <c r="AU749">
        <f>HYPERLINK("https://creighton-primo.hosted.exlibrisgroup.com/primo-explore/search?tab=default_tab&amp;search_scope=EVERYTHING&amp;vid=01CRU&amp;lang=en_US&amp;offset=0&amp;query=any,contains,991001366929702656","Catalog Record")</f>
        <v/>
      </c>
      <c r="AV749">
        <f>HYPERLINK("http://www.worldcat.org/oclc/4808828","WorldCat Record")</f>
        <v/>
      </c>
      <c r="AW749" t="inlineStr">
        <is>
          <t>1781725951:eng</t>
        </is>
      </c>
      <c r="AX749" t="inlineStr">
        <is>
          <t>4808828</t>
        </is>
      </c>
      <c r="AY749" t="inlineStr">
        <is>
          <t>991001366929702656</t>
        </is>
      </c>
      <c r="AZ749" t="inlineStr">
        <is>
          <t>991001366929702656</t>
        </is>
      </c>
      <c r="BA749" t="inlineStr">
        <is>
          <t>2271887000002656</t>
        </is>
      </c>
      <c r="BB749" t="inlineStr">
        <is>
          <t>BOOK</t>
        </is>
      </c>
      <c r="BE749" t="inlineStr">
        <is>
          <t>30001000461253</t>
        </is>
      </c>
      <c r="BF749" t="inlineStr">
        <is>
          <t>893460501</t>
        </is>
      </c>
    </row>
    <row r="750">
      <c r="A750" t="inlineStr">
        <is>
          <t>No</t>
        </is>
      </c>
      <c r="B750" t="inlineStr">
        <is>
          <t>CUHSL</t>
        </is>
      </c>
      <c r="C750" t="inlineStr">
        <is>
          <t>SHELVES</t>
        </is>
      </c>
      <c r="D750" t="inlineStr">
        <is>
          <t>WY 86 N489 1995</t>
        </is>
      </c>
      <c r="E750" t="inlineStr">
        <is>
          <t>0                      WY 0086000N  489         1995</t>
        </is>
      </c>
      <c r="F750" t="inlineStr">
        <is>
          <t>The Neuman systems model / [edited by] Betty Neuman.</t>
        </is>
      </c>
      <c r="H750" t="inlineStr">
        <is>
          <t>No</t>
        </is>
      </c>
      <c r="I750" t="inlineStr">
        <is>
          <t>1</t>
        </is>
      </c>
      <c r="J750" t="inlineStr">
        <is>
          <t>No</t>
        </is>
      </c>
      <c r="K750" t="inlineStr">
        <is>
          <t>Yes</t>
        </is>
      </c>
      <c r="L750" t="inlineStr">
        <is>
          <t>0</t>
        </is>
      </c>
      <c r="N750" t="inlineStr">
        <is>
          <t>Norwalk, Conn. : Appleton &amp; Lange, c1995.</t>
        </is>
      </c>
      <c r="O750" t="inlineStr">
        <is>
          <t>1995</t>
        </is>
      </c>
      <c r="P750" t="inlineStr">
        <is>
          <t>3rd ed.</t>
        </is>
      </c>
      <c r="Q750" t="inlineStr">
        <is>
          <t>eng</t>
        </is>
      </c>
      <c r="R750" t="inlineStr">
        <is>
          <t>ctu</t>
        </is>
      </c>
      <c r="T750" t="inlineStr">
        <is>
          <t xml:space="preserve">WY </t>
        </is>
      </c>
      <c r="U750" t="n">
        <v>33</v>
      </c>
      <c r="V750" t="n">
        <v>33</v>
      </c>
      <c r="W750" t="inlineStr">
        <is>
          <t>2003-06-30</t>
        </is>
      </c>
      <c r="X750" t="inlineStr">
        <is>
          <t>2003-06-30</t>
        </is>
      </c>
      <c r="Y750" t="inlineStr">
        <is>
          <t>1994-12-06</t>
        </is>
      </c>
      <c r="Z750" t="inlineStr">
        <is>
          <t>1994-12-06</t>
        </is>
      </c>
      <c r="AA750" t="n">
        <v>318</v>
      </c>
      <c r="AB750" t="n">
        <v>239</v>
      </c>
      <c r="AC750" t="n">
        <v>681</v>
      </c>
      <c r="AD750" t="n">
        <v>2</v>
      </c>
      <c r="AE750" t="n">
        <v>5</v>
      </c>
      <c r="AF750" t="n">
        <v>13</v>
      </c>
      <c r="AG750" t="n">
        <v>31</v>
      </c>
      <c r="AH750" t="n">
        <v>4</v>
      </c>
      <c r="AI750" t="n">
        <v>13</v>
      </c>
      <c r="AJ750" t="n">
        <v>2</v>
      </c>
      <c r="AK750" t="n">
        <v>6</v>
      </c>
      <c r="AL750" t="n">
        <v>9</v>
      </c>
      <c r="AM750" t="n">
        <v>17</v>
      </c>
      <c r="AN750" t="n">
        <v>1</v>
      </c>
      <c r="AO750" t="n">
        <v>2</v>
      </c>
      <c r="AP750" t="n">
        <v>0</v>
      </c>
      <c r="AQ750" t="n">
        <v>0</v>
      </c>
      <c r="AR750" t="inlineStr">
        <is>
          <t>No</t>
        </is>
      </c>
      <c r="AS750" t="inlineStr">
        <is>
          <t>Yes</t>
        </is>
      </c>
      <c r="AT750">
        <f>HYPERLINK("http://catalog.hathitrust.org/Record/002907166","HathiTrust Record")</f>
        <v/>
      </c>
      <c r="AU750">
        <f>HYPERLINK("https://creighton-primo.hosted.exlibrisgroup.com/primo-explore/search?tab=default_tab&amp;search_scope=EVERYTHING&amp;vid=01CRU&amp;lang=en_US&amp;offset=0&amp;query=any,contains,991000683009702656","Catalog Record")</f>
        <v/>
      </c>
      <c r="AV750">
        <f>HYPERLINK("http://www.worldcat.org/oclc/30913866","WorldCat Record")</f>
        <v/>
      </c>
      <c r="AW750" t="inlineStr">
        <is>
          <t>342049492:eng</t>
        </is>
      </c>
      <c r="AX750" t="inlineStr">
        <is>
          <t>30913866</t>
        </is>
      </c>
      <c r="AY750" t="inlineStr">
        <is>
          <t>991000683009702656</t>
        </is>
      </c>
      <c r="AZ750" t="inlineStr">
        <is>
          <t>991000683009702656</t>
        </is>
      </c>
      <c r="BA750" t="inlineStr">
        <is>
          <t>2267661890002656</t>
        </is>
      </c>
      <c r="BB750" t="inlineStr">
        <is>
          <t>BOOK</t>
        </is>
      </c>
      <c r="BD750" t="inlineStr">
        <is>
          <t>9780838567012</t>
        </is>
      </c>
      <c r="BE750" t="inlineStr">
        <is>
          <t>30001002698092</t>
        </is>
      </c>
      <c r="BF750" t="inlineStr">
        <is>
          <t>893815146</t>
        </is>
      </c>
    </row>
    <row r="751">
      <c r="A751" t="inlineStr">
        <is>
          <t>No</t>
        </is>
      </c>
      <c r="B751" t="inlineStr">
        <is>
          <t>CUHSL</t>
        </is>
      </c>
      <c r="C751" t="inlineStr">
        <is>
          <t>SHELVES</t>
        </is>
      </c>
      <c r="D751" t="inlineStr">
        <is>
          <t>WY 86 N532 1986</t>
        </is>
      </c>
      <c r="E751" t="inlineStr">
        <is>
          <t>0                      WY 0086000N  532         1986</t>
        </is>
      </c>
      <c r="F751" t="inlineStr">
        <is>
          <t>New approaches to theory development / Patricia Moccia, editor.</t>
        </is>
      </c>
      <c r="H751" t="inlineStr">
        <is>
          <t>No</t>
        </is>
      </c>
      <c r="I751" t="inlineStr">
        <is>
          <t>1</t>
        </is>
      </c>
      <c r="J751" t="inlineStr">
        <is>
          <t>No</t>
        </is>
      </c>
      <c r="K751" t="inlineStr">
        <is>
          <t>No</t>
        </is>
      </c>
      <c r="L751" t="inlineStr">
        <is>
          <t>0</t>
        </is>
      </c>
      <c r="N751" t="inlineStr">
        <is>
          <t>New York : National League for Nursing, c1986.</t>
        </is>
      </c>
      <c r="O751" t="inlineStr">
        <is>
          <t>1986</t>
        </is>
      </c>
      <c r="Q751" t="inlineStr">
        <is>
          <t>eng</t>
        </is>
      </c>
      <c r="R751" t="inlineStr">
        <is>
          <t>xxu</t>
        </is>
      </c>
      <c r="S751" t="inlineStr">
        <is>
          <t>NLN pub. no. 15-1992</t>
        </is>
      </c>
      <c r="T751" t="inlineStr">
        <is>
          <t xml:space="preserve">WY </t>
        </is>
      </c>
      <c r="U751" t="n">
        <v>5</v>
      </c>
      <c r="V751" t="n">
        <v>5</v>
      </c>
      <c r="W751" t="inlineStr">
        <is>
          <t>1993-10-13</t>
        </is>
      </c>
      <c r="X751" t="inlineStr">
        <is>
          <t>1993-10-13</t>
        </is>
      </c>
      <c r="Y751" t="inlineStr">
        <is>
          <t>1987-10-29</t>
        </is>
      </c>
      <c r="Z751" t="inlineStr">
        <is>
          <t>1987-10-29</t>
        </is>
      </c>
      <c r="AA751" t="n">
        <v>269</v>
      </c>
      <c r="AB751" t="n">
        <v>219</v>
      </c>
      <c r="AC751" t="n">
        <v>221</v>
      </c>
      <c r="AD751" t="n">
        <v>3</v>
      </c>
      <c r="AE751" t="n">
        <v>3</v>
      </c>
      <c r="AF751" t="n">
        <v>10</v>
      </c>
      <c r="AG751" t="n">
        <v>10</v>
      </c>
      <c r="AH751" t="n">
        <v>4</v>
      </c>
      <c r="AI751" t="n">
        <v>4</v>
      </c>
      <c r="AJ751" t="n">
        <v>1</v>
      </c>
      <c r="AK751" t="n">
        <v>1</v>
      </c>
      <c r="AL751" t="n">
        <v>5</v>
      </c>
      <c r="AM751" t="n">
        <v>5</v>
      </c>
      <c r="AN751" t="n">
        <v>1</v>
      </c>
      <c r="AO751" t="n">
        <v>1</v>
      </c>
      <c r="AP751" t="n">
        <v>0</v>
      </c>
      <c r="AQ751" t="n">
        <v>0</v>
      </c>
      <c r="AR751" t="inlineStr">
        <is>
          <t>No</t>
        </is>
      </c>
      <c r="AS751" t="inlineStr">
        <is>
          <t>Yes</t>
        </is>
      </c>
      <c r="AT751">
        <f>HYPERLINK("http://catalog.hathitrust.org/Record/002721599","HathiTrust Record")</f>
        <v/>
      </c>
      <c r="AU751">
        <f>HYPERLINK("https://creighton-primo.hosted.exlibrisgroup.com/primo-explore/search?tab=default_tab&amp;search_scope=EVERYTHING&amp;vid=01CRU&amp;lang=en_US&amp;offset=0&amp;query=any,contains,991001373439702656","Catalog Record")</f>
        <v/>
      </c>
      <c r="AV751">
        <f>HYPERLINK("http://www.worldcat.org/oclc/13580802","WorldCat Record")</f>
        <v/>
      </c>
      <c r="AW751" t="inlineStr">
        <is>
          <t>474564902:eng</t>
        </is>
      </c>
      <c r="AX751" t="inlineStr">
        <is>
          <t>13580802</t>
        </is>
      </c>
      <c r="AY751" t="inlineStr">
        <is>
          <t>991001373439702656</t>
        </is>
      </c>
      <c r="AZ751" t="inlineStr">
        <is>
          <t>991001373439702656</t>
        </is>
      </c>
      <c r="BA751" t="inlineStr">
        <is>
          <t>2256423980002656</t>
        </is>
      </c>
      <c r="BB751" t="inlineStr">
        <is>
          <t>BOOK</t>
        </is>
      </c>
      <c r="BD751" t="inlineStr">
        <is>
          <t>9780887372186</t>
        </is>
      </c>
      <c r="BE751" t="inlineStr">
        <is>
          <t>30001000462020</t>
        </is>
      </c>
      <c r="BF751" t="inlineStr">
        <is>
          <t>893552417</t>
        </is>
      </c>
    </row>
    <row r="752">
      <c r="A752" t="inlineStr">
        <is>
          <t>No</t>
        </is>
      </c>
      <c r="B752" t="inlineStr">
        <is>
          <t>CUHSL</t>
        </is>
      </c>
      <c r="C752" t="inlineStr">
        <is>
          <t>SHELVES</t>
        </is>
      </c>
      <c r="D752" t="inlineStr">
        <is>
          <t>WY 86 N554t 1979</t>
        </is>
      </c>
      <c r="E752" t="inlineStr">
        <is>
          <t>0                      WY 0086000N  554t        1979</t>
        </is>
      </c>
      <c r="F752" t="inlineStr">
        <is>
          <t>Theory development in nursing / Margaret A. Newman.</t>
        </is>
      </c>
      <c r="H752" t="inlineStr">
        <is>
          <t>No</t>
        </is>
      </c>
      <c r="I752" t="inlineStr">
        <is>
          <t>1</t>
        </is>
      </c>
      <c r="J752" t="inlineStr">
        <is>
          <t>No</t>
        </is>
      </c>
      <c r="K752" t="inlineStr">
        <is>
          <t>No</t>
        </is>
      </c>
      <c r="L752" t="inlineStr">
        <is>
          <t>0</t>
        </is>
      </c>
      <c r="M752" t="inlineStr">
        <is>
          <t>Newman, Margaret A.</t>
        </is>
      </c>
      <c r="N752" t="inlineStr">
        <is>
          <t>Philadelphia : Davis, c1979.</t>
        </is>
      </c>
      <c r="O752" t="inlineStr">
        <is>
          <t>1979</t>
        </is>
      </c>
      <c r="Q752" t="inlineStr">
        <is>
          <t>eng</t>
        </is>
      </c>
      <c r="R752" t="inlineStr">
        <is>
          <t xml:space="preserve">xx </t>
        </is>
      </c>
      <c r="T752" t="inlineStr">
        <is>
          <t xml:space="preserve">WY </t>
        </is>
      </c>
      <c r="U752" t="n">
        <v>4</v>
      </c>
      <c r="V752" t="n">
        <v>4</v>
      </c>
      <c r="W752" t="inlineStr">
        <is>
          <t>1993-10-20</t>
        </is>
      </c>
      <c r="X752" t="inlineStr">
        <is>
          <t>1993-10-20</t>
        </is>
      </c>
      <c r="Y752" t="inlineStr">
        <is>
          <t>1987-10-22</t>
        </is>
      </c>
      <c r="Z752" t="inlineStr">
        <is>
          <t>1987-10-22</t>
        </is>
      </c>
      <c r="AA752" t="n">
        <v>330</v>
      </c>
      <c r="AB752" t="n">
        <v>286</v>
      </c>
      <c r="AC752" t="n">
        <v>290</v>
      </c>
      <c r="AD752" t="n">
        <v>5</v>
      </c>
      <c r="AE752" t="n">
        <v>5</v>
      </c>
      <c r="AF752" t="n">
        <v>19</v>
      </c>
      <c r="AG752" t="n">
        <v>19</v>
      </c>
      <c r="AH752" t="n">
        <v>7</v>
      </c>
      <c r="AI752" t="n">
        <v>7</v>
      </c>
      <c r="AJ752" t="n">
        <v>4</v>
      </c>
      <c r="AK752" t="n">
        <v>4</v>
      </c>
      <c r="AL752" t="n">
        <v>6</v>
      </c>
      <c r="AM752" t="n">
        <v>6</v>
      </c>
      <c r="AN752" t="n">
        <v>4</v>
      </c>
      <c r="AO752" t="n">
        <v>4</v>
      </c>
      <c r="AP752" t="n">
        <v>0</v>
      </c>
      <c r="AQ752" t="n">
        <v>0</v>
      </c>
      <c r="AR752" t="inlineStr">
        <is>
          <t>No</t>
        </is>
      </c>
      <c r="AS752" t="inlineStr">
        <is>
          <t>Yes</t>
        </is>
      </c>
      <c r="AT752">
        <f>HYPERLINK("http://catalog.hathitrust.org/Record/000299493","HathiTrust Record")</f>
        <v/>
      </c>
      <c r="AU752">
        <f>HYPERLINK("https://creighton-primo.hosted.exlibrisgroup.com/primo-explore/search?tab=default_tab&amp;search_scope=EVERYTHING&amp;vid=01CRU&amp;lang=en_US&amp;offset=0&amp;query=any,contains,991000738759702656","Catalog Record")</f>
        <v/>
      </c>
      <c r="AV752">
        <f>HYPERLINK("http://www.worldcat.org/oclc/4857802","WorldCat Record")</f>
        <v/>
      </c>
      <c r="AW752" t="inlineStr">
        <is>
          <t>455880:eng</t>
        </is>
      </c>
      <c r="AX752" t="inlineStr">
        <is>
          <t>4857802</t>
        </is>
      </c>
      <c r="AY752" t="inlineStr">
        <is>
          <t>991000738759702656</t>
        </is>
      </c>
      <c r="AZ752" t="inlineStr">
        <is>
          <t>991000738759702656</t>
        </is>
      </c>
      <c r="BA752" t="inlineStr">
        <is>
          <t>2260592040002656</t>
        </is>
      </c>
      <c r="BB752" t="inlineStr">
        <is>
          <t>BOOK</t>
        </is>
      </c>
      <c r="BD752" t="inlineStr">
        <is>
          <t>9780803665200</t>
        </is>
      </c>
      <c r="BE752" t="inlineStr">
        <is>
          <t>30001000042673</t>
        </is>
      </c>
      <c r="BF752" t="inlineStr">
        <is>
          <t>893373565</t>
        </is>
      </c>
    </row>
    <row r="753">
      <c r="A753" t="inlineStr">
        <is>
          <t>No</t>
        </is>
      </c>
      <c r="B753" t="inlineStr">
        <is>
          <t>CUHSL</t>
        </is>
      </c>
      <c r="C753" t="inlineStr">
        <is>
          <t>SHELVES</t>
        </is>
      </c>
      <c r="D753" t="inlineStr">
        <is>
          <t>WY 86 N9738 1986</t>
        </is>
      </c>
      <c r="E753" t="inlineStr">
        <is>
          <t>0                      WY 0086000N  9738        1986</t>
        </is>
      </c>
      <c r="F753" t="inlineStr">
        <is>
          <t>Nursing theorists and their work / [edited by] Ann Marriner.</t>
        </is>
      </c>
      <c r="H753" t="inlineStr">
        <is>
          <t>No</t>
        </is>
      </c>
      <c r="I753" t="inlineStr">
        <is>
          <t>1</t>
        </is>
      </c>
      <c r="J753" t="inlineStr">
        <is>
          <t>No</t>
        </is>
      </c>
      <c r="K753" t="inlineStr">
        <is>
          <t>Yes</t>
        </is>
      </c>
      <c r="L753" t="inlineStr">
        <is>
          <t>0</t>
        </is>
      </c>
      <c r="N753" t="inlineStr">
        <is>
          <t>St. Louis : Mosby, c1986.</t>
        </is>
      </c>
      <c r="O753" t="inlineStr">
        <is>
          <t>1986</t>
        </is>
      </c>
      <c r="Q753" t="inlineStr">
        <is>
          <t>eng</t>
        </is>
      </c>
      <c r="R753" t="inlineStr">
        <is>
          <t>xxu</t>
        </is>
      </c>
      <c r="T753" t="inlineStr">
        <is>
          <t xml:space="preserve">WY </t>
        </is>
      </c>
      <c r="U753" t="n">
        <v>55</v>
      </c>
      <c r="V753" t="n">
        <v>55</v>
      </c>
      <c r="W753" t="inlineStr">
        <is>
          <t>2005-09-06</t>
        </is>
      </c>
      <c r="X753" t="inlineStr">
        <is>
          <t>2005-09-06</t>
        </is>
      </c>
      <c r="Y753" t="inlineStr">
        <is>
          <t>1987-10-22</t>
        </is>
      </c>
      <c r="Z753" t="inlineStr">
        <is>
          <t>1987-10-22</t>
        </is>
      </c>
      <c r="AA753" t="n">
        <v>293</v>
      </c>
      <c r="AB753" t="n">
        <v>224</v>
      </c>
      <c r="AC753" t="n">
        <v>1470</v>
      </c>
      <c r="AD753" t="n">
        <v>3</v>
      </c>
      <c r="AE753" t="n">
        <v>13</v>
      </c>
      <c r="AF753" t="n">
        <v>9</v>
      </c>
      <c r="AG753" t="n">
        <v>47</v>
      </c>
      <c r="AH753" t="n">
        <v>2</v>
      </c>
      <c r="AI753" t="n">
        <v>17</v>
      </c>
      <c r="AJ753" t="n">
        <v>3</v>
      </c>
      <c r="AK753" t="n">
        <v>8</v>
      </c>
      <c r="AL753" t="n">
        <v>4</v>
      </c>
      <c r="AM753" t="n">
        <v>17</v>
      </c>
      <c r="AN753" t="n">
        <v>1</v>
      </c>
      <c r="AO753" t="n">
        <v>10</v>
      </c>
      <c r="AP753" t="n">
        <v>0</v>
      </c>
      <c r="AQ753" t="n">
        <v>1</v>
      </c>
      <c r="AR753" t="inlineStr">
        <is>
          <t>No</t>
        </is>
      </c>
      <c r="AS753" t="inlineStr">
        <is>
          <t>Yes</t>
        </is>
      </c>
      <c r="AT753">
        <f>HYPERLINK("http://catalog.hathitrust.org/Record/000427504","HathiTrust Record")</f>
        <v/>
      </c>
      <c r="AU753">
        <f>HYPERLINK("https://creighton-primo.hosted.exlibrisgroup.com/primo-explore/search?tab=default_tab&amp;search_scope=EVERYTHING&amp;vid=01CRU&amp;lang=en_US&amp;offset=0&amp;query=any,contains,991000738719702656","Catalog Record")</f>
        <v/>
      </c>
      <c r="AV753">
        <f>HYPERLINK("http://www.worldcat.org/oclc/12370780","WorldCat Record")</f>
        <v/>
      </c>
      <c r="AW753" t="inlineStr">
        <is>
          <t>4917693168:eng</t>
        </is>
      </c>
      <c r="AX753" t="inlineStr">
        <is>
          <t>12370780</t>
        </is>
      </c>
      <c r="AY753" t="inlineStr">
        <is>
          <t>991000738719702656</t>
        </is>
      </c>
      <c r="AZ753" t="inlineStr">
        <is>
          <t>991000738719702656</t>
        </is>
      </c>
      <c r="BA753" t="inlineStr">
        <is>
          <t>2266780370002656</t>
        </is>
      </c>
      <c r="BB753" t="inlineStr">
        <is>
          <t>BOOK</t>
        </is>
      </c>
      <c r="BD753" t="inlineStr">
        <is>
          <t>9780801631627</t>
        </is>
      </c>
      <c r="BE753" t="inlineStr">
        <is>
          <t>30001000042657</t>
        </is>
      </c>
      <c r="BF753" t="inlineStr">
        <is>
          <t>893148141</t>
        </is>
      </c>
    </row>
    <row r="754">
      <c r="A754" t="inlineStr">
        <is>
          <t>No</t>
        </is>
      </c>
      <c r="B754" t="inlineStr">
        <is>
          <t>CUHSL</t>
        </is>
      </c>
      <c r="C754" t="inlineStr">
        <is>
          <t>SHELVES</t>
        </is>
      </c>
      <c r="D754" t="inlineStr">
        <is>
          <t>WY 86 N9738 1994</t>
        </is>
      </c>
      <c r="E754" t="inlineStr">
        <is>
          <t>0                      WY 0086000N  9738        1994</t>
        </is>
      </c>
      <c r="F754" t="inlineStr">
        <is>
          <t>Nursing theorists and their work / [edited by] Ann Marriner-Tomey.</t>
        </is>
      </c>
      <c r="H754" t="inlineStr">
        <is>
          <t>No</t>
        </is>
      </c>
      <c r="I754" t="inlineStr">
        <is>
          <t>1</t>
        </is>
      </c>
      <c r="J754" t="inlineStr">
        <is>
          <t>No</t>
        </is>
      </c>
      <c r="K754" t="inlineStr">
        <is>
          <t>Yes</t>
        </is>
      </c>
      <c r="L754" t="inlineStr">
        <is>
          <t>0</t>
        </is>
      </c>
      <c r="N754" t="inlineStr">
        <is>
          <t>St. Louis : Mosby, c1994.</t>
        </is>
      </c>
      <c r="O754" t="inlineStr">
        <is>
          <t>1994</t>
        </is>
      </c>
      <c r="P754" t="inlineStr">
        <is>
          <t>3rd ed.</t>
        </is>
      </c>
      <c r="Q754" t="inlineStr">
        <is>
          <t>eng</t>
        </is>
      </c>
      <c r="R754" t="inlineStr">
        <is>
          <t>mou</t>
        </is>
      </c>
      <c r="T754" t="inlineStr">
        <is>
          <t xml:space="preserve">WY </t>
        </is>
      </c>
      <c r="U754" t="n">
        <v>59</v>
      </c>
      <c r="V754" t="n">
        <v>59</v>
      </c>
      <c r="W754" t="inlineStr">
        <is>
          <t>2005-09-06</t>
        </is>
      </c>
      <c r="X754" t="inlineStr">
        <is>
          <t>2005-09-06</t>
        </is>
      </c>
      <c r="Y754" t="inlineStr">
        <is>
          <t>1995-08-14</t>
        </is>
      </c>
      <c r="Z754" t="inlineStr">
        <is>
          <t>1995-08-14</t>
        </is>
      </c>
      <c r="AA754" t="n">
        <v>413</v>
      </c>
      <c r="AB754" t="n">
        <v>311</v>
      </c>
      <c r="AC754" t="n">
        <v>1470</v>
      </c>
      <c r="AD754" t="n">
        <v>2</v>
      </c>
      <c r="AE754" t="n">
        <v>13</v>
      </c>
      <c r="AF754" t="n">
        <v>8</v>
      </c>
      <c r="AG754" t="n">
        <v>47</v>
      </c>
      <c r="AH754" t="n">
        <v>4</v>
      </c>
      <c r="AI754" t="n">
        <v>17</v>
      </c>
      <c r="AJ754" t="n">
        <v>2</v>
      </c>
      <c r="AK754" t="n">
        <v>8</v>
      </c>
      <c r="AL754" t="n">
        <v>4</v>
      </c>
      <c r="AM754" t="n">
        <v>17</v>
      </c>
      <c r="AN754" t="n">
        <v>1</v>
      </c>
      <c r="AO754" t="n">
        <v>10</v>
      </c>
      <c r="AP754" t="n">
        <v>0</v>
      </c>
      <c r="AQ754" t="n">
        <v>1</v>
      </c>
      <c r="AR754" t="inlineStr">
        <is>
          <t>No</t>
        </is>
      </c>
      <c r="AS754" t="inlineStr">
        <is>
          <t>Yes</t>
        </is>
      </c>
      <c r="AT754">
        <f>HYPERLINK("http://catalog.hathitrust.org/Record/002967594","HathiTrust Record")</f>
        <v/>
      </c>
      <c r="AU754">
        <f>HYPERLINK("https://creighton-primo.hosted.exlibrisgroup.com/primo-explore/search?tab=default_tab&amp;search_scope=EVERYTHING&amp;vid=01CRU&amp;lang=en_US&amp;offset=0&amp;query=any,contains,991001403609702656","Catalog Record")</f>
        <v/>
      </c>
      <c r="AV754">
        <f>HYPERLINK("http://www.worldcat.org/oclc/27849140","WorldCat Record")</f>
        <v/>
      </c>
      <c r="AW754" t="inlineStr">
        <is>
          <t>4917693168:eng</t>
        </is>
      </c>
      <c r="AX754" t="inlineStr">
        <is>
          <t>27849140</t>
        </is>
      </c>
      <c r="AY754" t="inlineStr">
        <is>
          <t>991001403609702656</t>
        </is>
      </c>
      <c r="AZ754" t="inlineStr">
        <is>
          <t>991001403609702656</t>
        </is>
      </c>
      <c r="BA754" t="inlineStr">
        <is>
          <t>2267179420002656</t>
        </is>
      </c>
      <c r="BB754" t="inlineStr">
        <is>
          <t>BOOK</t>
        </is>
      </c>
      <c r="BD754" t="inlineStr">
        <is>
          <t>9780801667640</t>
        </is>
      </c>
      <c r="BE754" t="inlineStr">
        <is>
          <t>30001003149301</t>
        </is>
      </c>
      <c r="BF754" t="inlineStr">
        <is>
          <t>893268461</t>
        </is>
      </c>
    </row>
    <row r="755">
      <c r="A755" t="inlineStr">
        <is>
          <t>No</t>
        </is>
      </c>
      <c r="B755" t="inlineStr">
        <is>
          <t>CUHSL</t>
        </is>
      </c>
      <c r="C755" t="inlineStr">
        <is>
          <t>SHELVES</t>
        </is>
      </c>
      <c r="D755" t="inlineStr">
        <is>
          <t>WY 86 N9738 1998</t>
        </is>
      </c>
      <c r="E755" t="inlineStr">
        <is>
          <t>0                      WY 0086000N  9738        1998</t>
        </is>
      </c>
      <c r="F755" t="inlineStr">
        <is>
          <t>Nursing theorists and their work / [edited by] Ann Marriner Tomey, Martha Raile Alligood.</t>
        </is>
      </c>
      <c r="H755" t="inlineStr">
        <is>
          <t>No</t>
        </is>
      </c>
      <c r="I755" t="inlineStr">
        <is>
          <t>1</t>
        </is>
      </c>
      <c r="J755" t="inlineStr">
        <is>
          <t>No</t>
        </is>
      </c>
      <c r="K755" t="inlineStr">
        <is>
          <t>Yes</t>
        </is>
      </c>
      <c r="L755" t="inlineStr">
        <is>
          <t>0</t>
        </is>
      </c>
      <c r="N755" t="inlineStr">
        <is>
          <t>St. Louis, Mo. : Mosby, c1998.</t>
        </is>
      </c>
      <c r="O755" t="inlineStr">
        <is>
          <t>1998</t>
        </is>
      </c>
      <c r="P755" t="inlineStr">
        <is>
          <t>4th ed.</t>
        </is>
      </c>
      <c r="Q755" t="inlineStr">
        <is>
          <t>eng</t>
        </is>
      </c>
      <c r="R755" t="inlineStr">
        <is>
          <t>mou</t>
        </is>
      </c>
      <c r="T755" t="inlineStr">
        <is>
          <t xml:space="preserve">WY </t>
        </is>
      </c>
      <c r="U755" t="n">
        <v>9</v>
      </c>
      <c r="V755" t="n">
        <v>9</v>
      </c>
      <c r="W755" t="inlineStr">
        <is>
          <t>2007-04-13</t>
        </is>
      </c>
      <c r="X755" t="inlineStr">
        <is>
          <t>2007-04-13</t>
        </is>
      </c>
      <c r="Y755" t="inlineStr">
        <is>
          <t>1997-11-25</t>
        </is>
      </c>
      <c r="Z755" t="inlineStr">
        <is>
          <t>1997-11-25</t>
        </is>
      </c>
      <c r="AA755" t="n">
        <v>506</v>
      </c>
      <c r="AB755" t="n">
        <v>396</v>
      </c>
      <c r="AC755" t="n">
        <v>1470</v>
      </c>
      <c r="AD755" t="n">
        <v>3</v>
      </c>
      <c r="AE755" t="n">
        <v>13</v>
      </c>
      <c r="AF755" t="n">
        <v>13</v>
      </c>
      <c r="AG755" t="n">
        <v>47</v>
      </c>
      <c r="AH755" t="n">
        <v>4</v>
      </c>
      <c r="AI755" t="n">
        <v>17</v>
      </c>
      <c r="AJ755" t="n">
        <v>1</v>
      </c>
      <c r="AK755" t="n">
        <v>8</v>
      </c>
      <c r="AL755" t="n">
        <v>7</v>
      </c>
      <c r="AM755" t="n">
        <v>17</v>
      </c>
      <c r="AN755" t="n">
        <v>2</v>
      </c>
      <c r="AO755" t="n">
        <v>10</v>
      </c>
      <c r="AP755" t="n">
        <v>0</v>
      </c>
      <c r="AQ755" t="n">
        <v>1</v>
      </c>
      <c r="AR755" t="inlineStr">
        <is>
          <t>No</t>
        </is>
      </c>
      <c r="AS755" t="inlineStr">
        <is>
          <t>Yes</t>
        </is>
      </c>
      <c r="AT755">
        <f>HYPERLINK("http://catalog.hathitrust.org/Record/003196458","HathiTrust Record")</f>
        <v/>
      </c>
      <c r="AU755">
        <f>HYPERLINK("https://creighton-primo.hosted.exlibrisgroup.com/primo-explore/search?tab=default_tab&amp;search_scope=EVERYTHING&amp;vid=01CRU&amp;lang=en_US&amp;offset=0&amp;query=any,contains,991001277149702656","Catalog Record")</f>
        <v/>
      </c>
      <c r="AV755">
        <f>HYPERLINK("http://www.worldcat.org/oclc/36648249","WorldCat Record")</f>
        <v/>
      </c>
      <c r="AW755" t="inlineStr">
        <is>
          <t>4917693168:eng</t>
        </is>
      </c>
      <c r="AX755" t="inlineStr">
        <is>
          <t>36648249</t>
        </is>
      </c>
      <c r="AY755" t="inlineStr">
        <is>
          <t>991001277149702656</t>
        </is>
      </c>
      <c r="AZ755" t="inlineStr">
        <is>
          <t>991001277149702656</t>
        </is>
      </c>
      <c r="BA755" t="inlineStr">
        <is>
          <t>2266026210002656</t>
        </is>
      </c>
      <c r="BB755" t="inlineStr">
        <is>
          <t>BOOK</t>
        </is>
      </c>
      <c r="BD755" t="inlineStr">
        <is>
          <t>9780815144212</t>
        </is>
      </c>
      <c r="BE755" t="inlineStr">
        <is>
          <t>30001003700012</t>
        </is>
      </c>
      <c r="BF755" t="inlineStr">
        <is>
          <t>893557777</t>
        </is>
      </c>
    </row>
    <row r="756">
      <c r="A756" t="inlineStr">
        <is>
          <t>No</t>
        </is>
      </c>
      <c r="B756" t="inlineStr">
        <is>
          <t>CUHSL</t>
        </is>
      </c>
      <c r="C756" t="inlineStr">
        <is>
          <t>SHELVES</t>
        </is>
      </c>
      <c r="D756" t="inlineStr">
        <is>
          <t>WY 86 N974 1990</t>
        </is>
      </c>
      <c r="E756" t="inlineStr">
        <is>
          <t>0                      WY 0086000N  974         1990</t>
        </is>
      </c>
      <c r="F756" t="inlineStr">
        <is>
          <t>Nursing theories in practice / Marilyn E. Parker, editor.</t>
        </is>
      </c>
      <c r="H756" t="inlineStr">
        <is>
          <t>No</t>
        </is>
      </c>
      <c r="I756" t="inlineStr">
        <is>
          <t>1</t>
        </is>
      </c>
      <c r="J756" t="inlineStr">
        <is>
          <t>No</t>
        </is>
      </c>
      <c r="K756" t="inlineStr">
        <is>
          <t>No</t>
        </is>
      </c>
      <c r="L756" t="inlineStr">
        <is>
          <t>0</t>
        </is>
      </c>
      <c r="N756" t="inlineStr">
        <is>
          <t>New York, NY : National League for Nursing, c1990.</t>
        </is>
      </c>
      <c r="O756" t="inlineStr">
        <is>
          <t>1990</t>
        </is>
      </c>
      <c r="Q756" t="inlineStr">
        <is>
          <t>eng</t>
        </is>
      </c>
      <c r="R756" t="inlineStr">
        <is>
          <t>nyu</t>
        </is>
      </c>
      <c r="S756" t="inlineStr">
        <is>
          <t>NLN pub. no. 15-2350.</t>
        </is>
      </c>
      <c r="T756" t="inlineStr">
        <is>
          <t xml:space="preserve">WY </t>
        </is>
      </c>
      <c r="U756" t="n">
        <v>4</v>
      </c>
      <c r="V756" t="n">
        <v>4</v>
      </c>
      <c r="W756" t="inlineStr">
        <is>
          <t>2005-09-06</t>
        </is>
      </c>
      <c r="X756" t="inlineStr">
        <is>
          <t>2005-09-06</t>
        </is>
      </c>
      <c r="Y756" t="inlineStr">
        <is>
          <t>2000-06-15</t>
        </is>
      </c>
      <c r="Z756" t="inlineStr">
        <is>
          <t>2000-06-15</t>
        </is>
      </c>
      <c r="AA756" t="n">
        <v>514</v>
      </c>
      <c r="AB756" t="n">
        <v>438</v>
      </c>
      <c r="AC756" t="n">
        <v>440</v>
      </c>
      <c r="AD756" t="n">
        <v>6</v>
      </c>
      <c r="AE756" t="n">
        <v>6</v>
      </c>
      <c r="AF756" t="n">
        <v>26</v>
      </c>
      <c r="AG756" t="n">
        <v>26</v>
      </c>
      <c r="AH756" t="n">
        <v>9</v>
      </c>
      <c r="AI756" t="n">
        <v>9</v>
      </c>
      <c r="AJ756" t="n">
        <v>4</v>
      </c>
      <c r="AK756" t="n">
        <v>4</v>
      </c>
      <c r="AL756" t="n">
        <v>11</v>
      </c>
      <c r="AM756" t="n">
        <v>11</v>
      </c>
      <c r="AN756" t="n">
        <v>5</v>
      </c>
      <c r="AO756" t="n">
        <v>5</v>
      </c>
      <c r="AP756" t="n">
        <v>0</v>
      </c>
      <c r="AQ756" t="n">
        <v>0</v>
      </c>
      <c r="AR756" t="inlineStr">
        <is>
          <t>No</t>
        </is>
      </c>
      <c r="AS756" t="inlineStr">
        <is>
          <t>Yes</t>
        </is>
      </c>
      <c r="AT756">
        <f>HYPERLINK("http://catalog.hathitrust.org/Record/002503264","HathiTrust Record")</f>
        <v/>
      </c>
      <c r="AU756">
        <f>HYPERLINK("https://creighton-primo.hosted.exlibrisgroup.com/primo-explore/search?tab=default_tab&amp;search_scope=EVERYTHING&amp;vid=01CRU&amp;lang=en_US&amp;offset=0&amp;query=any,contains,991000227959702656","Catalog Record")</f>
        <v/>
      </c>
      <c r="AV756">
        <f>HYPERLINK("http://www.worldcat.org/oclc/25871338","WorldCat Record")</f>
        <v/>
      </c>
      <c r="AW756" t="inlineStr">
        <is>
          <t>180835671:eng</t>
        </is>
      </c>
      <c r="AX756" t="inlineStr">
        <is>
          <t>25871338</t>
        </is>
      </c>
      <c r="AY756" t="inlineStr">
        <is>
          <t>991000227959702656</t>
        </is>
      </c>
      <c r="AZ756" t="inlineStr">
        <is>
          <t>991000227959702656</t>
        </is>
      </c>
      <c r="BA756" t="inlineStr">
        <is>
          <t>2256306360002656</t>
        </is>
      </c>
      <c r="BB756" t="inlineStr">
        <is>
          <t>BOOK</t>
        </is>
      </c>
      <c r="BD756" t="inlineStr">
        <is>
          <t>9780887374975</t>
        </is>
      </c>
      <c r="BE756" t="inlineStr">
        <is>
          <t>30001002087866</t>
        </is>
      </c>
      <c r="BF756" t="inlineStr">
        <is>
          <t>893832726</t>
        </is>
      </c>
    </row>
    <row r="757">
      <c r="A757" t="inlineStr">
        <is>
          <t>No</t>
        </is>
      </c>
      <c r="B757" t="inlineStr">
        <is>
          <t>CUHSL</t>
        </is>
      </c>
      <c r="C757" t="inlineStr">
        <is>
          <t>SHELVES</t>
        </is>
      </c>
      <c r="D757" t="inlineStr">
        <is>
          <t>WY86 N9755 1985</t>
        </is>
      </c>
      <c r="E757" t="inlineStr">
        <is>
          <t>0                      WY 0086000N  9755        1985</t>
        </is>
      </c>
      <c r="F757" t="inlineStr">
        <is>
          <t>Nursing theories : the base for professional nursing practice / Julia B. George, editor ; the Nursing Theories Conference Group.</t>
        </is>
      </c>
      <c r="H757" t="inlineStr">
        <is>
          <t>No</t>
        </is>
      </c>
      <c r="I757" t="inlineStr">
        <is>
          <t>1</t>
        </is>
      </c>
      <c r="J757" t="inlineStr">
        <is>
          <t>No</t>
        </is>
      </c>
      <c r="K757" t="inlineStr">
        <is>
          <t>Yes</t>
        </is>
      </c>
      <c r="L757" t="inlineStr">
        <is>
          <t>0</t>
        </is>
      </c>
      <c r="N757" t="inlineStr">
        <is>
          <t>Englewood Cliffs, N.J. : Prentice-Hall, c1985.</t>
        </is>
      </c>
      <c r="O757" t="inlineStr">
        <is>
          <t>1985</t>
        </is>
      </c>
      <c r="P757" t="inlineStr">
        <is>
          <t>2nd ed.</t>
        </is>
      </c>
      <c r="Q757" t="inlineStr">
        <is>
          <t>eng</t>
        </is>
      </c>
      <c r="R757" t="inlineStr">
        <is>
          <t>xxu</t>
        </is>
      </c>
      <c r="T757" t="inlineStr">
        <is>
          <t xml:space="preserve">WY </t>
        </is>
      </c>
      <c r="U757" t="n">
        <v>39</v>
      </c>
      <c r="V757" t="n">
        <v>39</v>
      </c>
      <c r="W757" t="inlineStr">
        <is>
          <t>1997-03-06</t>
        </is>
      </c>
      <c r="X757" t="inlineStr">
        <is>
          <t>1997-03-06</t>
        </is>
      </c>
      <c r="Y757" t="inlineStr">
        <is>
          <t>1987-10-22</t>
        </is>
      </c>
      <c r="Z757" t="inlineStr">
        <is>
          <t>1987-10-22</t>
        </is>
      </c>
      <c r="AA757" t="n">
        <v>342</v>
      </c>
      <c r="AB757" t="n">
        <v>231</v>
      </c>
      <c r="AC757" t="n">
        <v>1017</v>
      </c>
      <c r="AD757" t="n">
        <v>6</v>
      </c>
      <c r="AE757" t="n">
        <v>9</v>
      </c>
      <c r="AF757" t="n">
        <v>15</v>
      </c>
      <c r="AG757" t="n">
        <v>34</v>
      </c>
      <c r="AH757" t="n">
        <v>5</v>
      </c>
      <c r="AI757" t="n">
        <v>13</v>
      </c>
      <c r="AJ757" t="n">
        <v>1</v>
      </c>
      <c r="AK757" t="n">
        <v>7</v>
      </c>
      <c r="AL757" t="n">
        <v>6</v>
      </c>
      <c r="AM757" t="n">
        <v>14</v>
      </c>
      <c r="AN757" t="n">
        <v>4</v>
      </c>
      <c r="AO757" t="n">
        <v>6</v>
      </c>
      <c r="AP757" t="n">
        <v>0</v>
      </c>
      <c r="AQ757" t="n">
        <v>0</v>
      </c>
      <c r="AR757" t="inlineStr">
        <is>
          <t>No</t>
        </is>
      </c>
      <c r="AS757" t="inlineStr">
        <is>
          <t>Yes</t>
        </is>
      </c>
      <c r="AT757">
        <f>HYPERLINK("http://catalog.hathitrust.org/Record/000650802","HathiTrust Record")</f>
        <v/>
      </c>
      <c r="AU757">
        <f>HYPERLINK("https://creighton-primo.hosted.exlibrisgroup.com/primo-explore/search?tab=default_tab&amp;search_scope=EVERYTHING&amp;vid=01CRU&amp;lang=en_US&amp;offset=0&amp;query=any,contains,991000738629702656","Catalog Record")</f>
        <v/>
      </c>
      <c r="AV757">
        <f>HYPERLINK("http://www.worldcat.org/oclc/11468885","WorldCat Record")</f>
        <v/>
      </c>
      <c r="AW757" t="inlineStr">
        <is>
          <t>793912824:eng</t>
        </is>
      </c>
      <c r="AX757" t="inlineStr">
        <is>
          <t>11468885</t>
        </is>
      </c>
      <c r="AY757" t="inlineStr">
        <is>
          <t>991000738629702656</t>
        </is>
      </c>
      <c r="AZ757" t="inlineStr">
        <is>
          <t>991000738629702656</t>
        </is>
      </c>
      <c r="BA757" t="inlineStr">
        <is>
          <t>2261661040002656</t>
        </is>
      </c>
      <c r="BB757" t="inlineStr">
        <is>
          <t>BOOK</t>
        </is>
      </c>
      <c r="BD757" t="inlineStr">
        <is>
          <t>9780136274070</t>
        </is>
      </c>
      <c r="BE757" t="inlineStr">
        <is>
          <t>30001000042640</t>
        </is>
      </c>
      <c r="BF757" t="inlineStr">
        <is>
          <t>893148140</t>
        </is>
      </c>
    </row>
    <row r="758">
      <c r="A758" t="inlineStr">
        <is>
          <t>No</t>
        </is>
      </c>
      <c r="B758" t="inlineStr">
        <is>
          <t>CUHSL</t>
        </is>
      </c>
      <c r="C758" t="inlineStr">
        <is>
          <t>SHELVES</t>
        </is>
      </c>
      <c r="D758" t="inlineStr">
        <is>
          <t>WY 86 N9755 1990</t>
        </is>
      </c>
      <c r="E758" t="inlineStr">
        <is>
          <t>0                      WY 0086000N  9755        1990</t>
        </is>
      </c>
      <c r="F758" t="inlineStr">
        <is>
          <t>Nursing theories : the base for professional nursing practice / editor, Julia B. George.</t>
        </is>
      </c>
      <c r="H758" t="inlineStr">
        <is>
          <t>No</t>
        </is>
      </c>
      <c r="I758" t="inlineStr">
        <is>
          <t>1</t>
        </is>
      </c>
      <c r="J758" t="inlineStr">
        <is>
          <t>No</t>
        </is>
      </c>
      <c r="K758" t="inlineStr">
        <is>
          <t>Yes</t>
        </is>
      </c>
      <c r="L758" t="inlineStr">
        <is>
          <t>0</t>
        </is>
      </c>
      <c r="N758" t="inlineStr">
        <is>
          <t>Norwalk, Conn. : Appleton &amp; Lange, c1990.</t>
        </is>
      </c>
      <c r="O758" t="inlineStr">
        <is>
          <t>1990</t>
        </is>
      </c>
      <c r="P758" t="inlineStr">
        <is>
          <t>3rd ed.</t>
        </is>
      </c>
      <c r="Q758" t="inlineStr">
        <is>
          <t>eng</t>
        </is>
      </c>
      <c r="R758" t="inlineStr">
        <is>
          <t>xxu</t>
        </is>
      </c>
      <c r="T758" t="inlineStr">
        <is>
          <t xml:space="preserve">WY </t>
        </is>
      </c>
      <c r="U758" t="n">
        <v>37</v>
      </c>
      <c r="V758" t="n">
        <v>37</v>
      </c>
      <c r="W758" t="inlineStr">
        <is>
          <t>2008-01-23</t>
        </is>
      </c>
      <c r="X758" t="inlineStr">
        <is>
          <t>2008-01-23</t>
        </is>
      </c>
      <c r="Y758" t="inlineStr">
        <is>
          <t>1990-08-08</t>
        </is>
      </c>
      <c r="Z758" t="inlineStr">
        <is>
          <t>1990-08-08</t>
        </is>
      </c>
      <c r="AA758" t="n">
        <v>397</v>
      </c>
      <c r="AB758" t="n">
        <v>314</v>
      </c>
      <c r="AC758" t="n">
        <v>1017</v>
      </c>
      <c r="AD758" t="n">
        <v>4</v>
      </c>
      <c r="AE758" t="n">
        <v>9</v>
      </c>
      <c r="AF758" t="n">
        <v>16</v>
      </c>
      <c r="AG758" t="n">
        <v>34</v>
      </c>
      <c r="AH758" t="n">
        <v>5</v>
      </c>
      <c r="AI758" t="n">
        <v>13</v>
      </c>
      <c r="AJ758" t="n">
        <v>4</v>
      </c>
      <c r="AK758" t="n">
        <v>7</v>
      </c>
      <c r="AL758" t="n">
        <v>8</v>
      </c>
      <c r="AM758" t="n">
        <v>14</v>
      </c>
      <c r="AN758" t="n">
        <v>3</v>
      </c>
      <c r="AO758" t="n">
        <v>6</v>
      </c>
      <c r="AP758" t="n">
        <v>0</v>
      </c>
      <c r="AQ758" t="n">
        <v>0</v>
      </c>
      <c r="AR758" t="inlineStr">
        <is>
          <t>No</t>
        </is>
      </c>
      <c r="AS758" t="inlineStr">
        <is>
          <t>Yes</t>
        </is>
      </c>
      <c r="AT758">
        <f>HYPERLINK("http://catalog.hathitrust.org/Record/001827631","HathiTrust Record")</f>
        <v/>
      </c>
      <c r="AU758">
        <f>HYPERLINK("https://creighton-primo.hosted.exlibrisgroup.com/primo-explore/search?tab=default_tab&amp;search_scope=EVERYTHING&amp;vid=01CRU&amp;lang=en_US&amp;offset=0&amp;query=any,contains,991001452299702656","Catalog Record")</f>
        <v/>
      </c>
      <c r="AV758">
        <f>HYPERLINK("http://www.worldcat.org/oclc/19630779","WorldCat Record")</f>
        <v/>
      </c>
      <c r="AW758" t="inlineStr">
        <is>
          <t>793912824:eng</t>
        </is>
      </c>
      <c r="AX758" t="inlineStr">
        <is>
          <t>19630779</t>
        </is>
      </c>
      <c r="AY758" t="inlineStr">
        <is>
          <t>991001452299702656</t>
        </is>
      </c>
      <c r="AZ758" t="inlineStr">
        <is>
          <t>991001452299702656</t>
        </is>
      </c>
      <c r="BA758" t="inlineStr">
        <is>
          <t>2271700150002656</t>
        </is>
      </c>
      <c r="BB758" t="inlineStr">
        <is>
          <t>BOOK</t>
        </is>
      </c>
      <c r="BD758" t="inlineStr">
        <is>
          <t>9780838570517</t>
        </is>
      </c>
      <c r="BE758" t="inlineStr">
        <is>
          <t>30001001883521</t>
        </is>
      </c>
      <c r="BF758" t="inlineStr">
        <is>
          <t>893557998</t>
        </is>
      </c>
    </row>
    <row r="759">
      <c r="A759" t="inlineStr">
        <is>
          <t>No</t>
        </is>
      </c>
      <c r="B759" t="inlineStr">
        <is>
          <t>CUHSL</t>
        </is>
      </c>
      <c r="C759" t="inlineStr">
        <is>
          <t>SHELVES</t>
        </is>
      </c>
      <c r="D759" t="inlineStr">
        <is>
          <t>WY86 N9758 2002</t>
        </is>
      </c>
      <c r="E759" t="inlineStr">
        <is>
          <t>0                      WY 0086000N  9758        2002</t>
        </is>
      </c>
      <c r="F759" t="inlineStr">
        <is>
          <t>Nursing theory : utilization &amp; application / [edited by] Martha Raile Alligood, Ann Marriner Tomey.</t>
        </is>
      </c>
      <c r="H759" t="inlineStr">
        <is>
          <t>No</t>
        </is>
      </c>
      <c r="I759" t="inlineStr">
        <is>
          <t>1</t>
        </is>
      </c>
      <c r="J759" t="inlineStr">
        <is>
          <t>No</t>
        </is>
      </c>
      <c r="K759" t="inlineStr">
        <is>
          <t>Yes</t>
        </is>
      </c>
      <c r="L759" t="inlineStr">
        <is>
          <t>0</t>
        </is>
      </c>
      <c r="N759" t="inlineStr">
        <is>
          <t>St. Louis : Mosby, c2002.</t>
        </is>
      </c>
      <c r="O759" t="inlineStr">
        <is>
          <t>2002</t>
        </is>
      </c>
      <c r="P759" t="inlineStr">
        <is>
          <t>2nd ed.</t>
        </is>
      </c>
      <c r="Q759" t="inlineStr">
        <is>
          <t>eng</t>
        </is>
      </c>
      <c r="R759" t="inlineStr">
        <is>
          <t>mou</t>
        </is>
      </c>
      <c r="T759" t="inlineStr">
        <is>
          <t xml:space="preserve">WY </t>
        </is>
      </c>
      <c r="U759" t="n">
        <v>3</v>
      </c>
      <c r="V759" t="n">
        <v>3</v>
      </c>
      <c r="W759" t="inlineStr">
        <is>
          <t>2010-10-09</t>
        </is>
      </c>
      <c r="X759" t="inlineStr">
        <is>
          <t>2010-10-09</t>
        </is>
      </c>
      <c r="Y759" t="inlineStr">
        <is>
          <t>2006-01-19</t>
        </is>
      </c>
      <c r="Z759" t="inlineStr">
        <is>
          <t>2006-01-19</t>
        </is>
      </c>
      <c r="AA759" t="n">
        <v>397</v>
      </c>
      <c r="AB759" t="n">
        <v>298</v>
      </c>
      <c r="AC759" t="n">
        <v>824</v>
      </c>
      <c r="AD759" t="n">
        <v>2</v>
      </c>
      <c r="AE759" t="n">
        <v>7</v>
      </c>
      <c r="AF759" t="n">
        <v>9</v>
      </c>
      <c r="AG759" t="n">
        <v>35</v>
      </c>
      <c r="AH759" t="n">
        <v>3</v>
      </c>
      <c r="AI759" t="n">
        <v>15</v>
      </c>
      <c r="AJ759" t="n">
        <v>1</v>
      </c>
      <c r="AK759" t="n">
        <v>7</v>
      </c>
      <c r="AL759" t="n">
        <v>5</v>
      </c>
      <c r="AM759" t="n">
        <v>15</v>
      </c>
      <c r="AN759" t="n">
        <v>1</v>
      </c>
      <c r="AO759" t="n">
        <v>5</v>
      </c>
      <c r="AP759" t="n">
        <v>0</v>
      </c>
      <c r="AQ759" t="n">
        <v>0</v>
      </c>
      <c r="AR759" t="inlineStr">
        <is>
          <t>No</t>
        </is>
      </c>
      <c r="AS759" t="inlineStr">
        <is>
          <t>Yes</t>
        </is>
      </c>
      <c r="AT759">
        <f>HYPERLINK("http://catalog.hathitrust.org/Record/003563615","HathiTrust Record")</f>
        <v/>
      </c>
      <c r="AU759">
        <f>HYPERLINK("https://creighton-primo.hosted.exlibrisgroup.com/primo-explore/search?tab=default_tab&amp;search_scope=EVERYTHING&amp;vid=01CRU&amp;lang=en_US&amp;offset=0&amp;query=any,contains,991000456259702656","Catalog Record")</f>
        <v/>
      </c>
      <c r="AV759">
        <f>HYPERLINK("http://www.worldcat.org/oclc/46785598","WorldCat Record")</f>
        <v/>
      </c>
      <c r="AW759" t="inlineStr">
        <is>
          <t>3768404941:eng</t>
        </is>
      </c>
      <c r="AX759" t="inlineStr">
        <is>
          <t>46785598</t>
        </is>
      </c>
      <c r="AY759" t="inlineStr">
        <is>
          <t>991000456259702656</t>
        </is>
      </c>
      <c r="AZ759" t="inlineStr">
        <is>
          <t>991000456259702656</t>
        </is>
      </c>
      <c r="BA759" t="inlineStr">
        <is>
          <t>2263294360002656</t>
        </is>
      </c>
      <c r="BB759" t="inlineStr">
        <is>
          <t>BOOK</t>
        </is>
      </c>
      <c r="BD759" t="inlineStr">
        <is>
          <t>9780323011945</t>
        </is>
      </c>
      <c r="BE759" t="inlineStr">
        <is>
          <t>30001004912194</t>
        </is>
      </c>
      <c r="BF759" t="inlineStr">
        <is>
          <t>893269471</t>
        </is>
      </c>
    </row>
    <row r="760">
      <c r="A760" t="inlineStr">
        <is>
          <t>No</t>
        </is>
      </c>
      <c r="B760" t="inlineStr">
        <is>
          <t>CUHSL</t>
        </is>
      </c>
      <c r="C760" t="inlineStr">
        <is>
          <t>SHELVES</t>
        </is>
      </c>
      <c r="D760" t="inlineStr">
        <is>
          <t>WY 86 O65p 1991</t>
        </is>
      </c>
      <c r="E760" t="inlineStr">
        <is>
          <t>0                      WY 0086000O  65p         1991</t>
        </is>
      </c>
      <c r="F760" t="inlineStr">
        <is>
          <t>Professional nursing practice : a conceptual approach / Marilyn H. Oermann, with contributors.</t>
        </is>
      </c>
      <c r="H760" t="inlineStr">
        <is>
          <t>No</t>
        </is>
      </c>
      <c r="I760" t="inlineStr">
        <is>
          <t>1</t>
        </is>
      </c>
      <c r="J760" t="inlineStr">
        <is>
          <t>No</t>
        </is>
      </c>
      <c r="K760" t="inlineStr">
        <is>
          <t>No</t>
        </is>
      </c>
      <c r="L760" t="inlineStr">
        <is>
          <t>0</t>
        </is>
      </c>
      <c r="M760" t="inlineStr">
        <is>
          <t>Oermann, Marilyn H.</t>
        </is>
      </c>
      <c r="N760" t="inlineStr">
        <is>
          <t>Philadelphia : Lippincott, c1991.</t>
        </is>
      </c>
      <c r="O760" t="inlineStr">
        <is>
          <t>1991</t>
        </is>
      </c>
      <c r="Q760" t="inlineStr">
        <is>
          <t>eng</t>
        </is>
      </c>
      <c r="R760" t="inlineStr">
        <is>
          <t>pau</t>
        </is>
      </c>
      <c r="T760" t="inlineStr">
        <is>
          <t xml:space="preserve">WY </t>
        </is>
      </c>
      <c r="U760" t="n">
        <v>6</v>
      </c>
      <c r="V760" t="n">
        <v>6</v>
      </c>
      <c r="W760" t="inlineStr">
        <is>
          <t>1998-11-05</t>
        </is>
      </c>
      <c r="X760" t="inlineStr">
        <is>
          <t>1998-11-05</t>
        </is>
      </c>
      <c r="Y760" t="inlineStr">
        <is>
          <t>1995-09-07</t>
        </is>
      </c>
      <c r="Z760" t="inlineStr">
        <is>
          <t>1995-09-07</t>
        </is>
      </c>
      <c r="AA760" t="n">
        <v>236</v>
      </c>
      <c r="AB760" t="n">
        <v>171</v>
      </c>
      <c r="AC760" t="n">
        <v>260</v>
      </c>
      <c r="AD760" t="n">
        <v>3</v>
      </c>
      <c r="AE760" t="n">
        <v>3</v>
      </c>
      <c r="AF760" t="n">
        <v>6</v>
      </c>
      <c r="AG760" t="n">
        <v>8</v>
      </c>
      <c r="AH760" t="n">
        <v>2</v>
      </c>
      <c r="AI760" t="n">
        <v>2</v>
      </c>
      <c r="AJ760" t="n">
        <v>2</v>
      </c>
      <c r="AK760" t="n">
        <v>2</v>
      </c>
      <c r="AL760" t="n">
        <v>4</v>
      </c>
      <c r="AM760" t="n">
        <v>6</v>
      </c>
      <c r="AN760" t="n">
        <v>1</v>
      </c>
      <c r="AO760" t="n">
        <v>1</v>
      </c>
      <c r="AP760" t="n">
        <v>0</v>
      </c>
      <c r="AQ760" t="n">
        <v>0</v>
      </c>
      <c r="AR760" t="inlineStr">
        <is>
          <t>No</t>
        </is>
      </c>
      <c r="AS760" t="inlineStr">
        <is>
          <t>Yes</t>
        </is>
      </c>
      <c r="AT760">
        <f>HYPERLINK("http://catalog.hathitrust.org/Record/002235323","HathiTrust Record")</f>
        <v/>
      </c>
      <c r="AU760">
        <f>HYPERLINK("https://creighton-primo.hosted.exlibrisgroup.com/primo-explore/search?tab=default_tab&amp;search_scope=EVERYTHING&amp;vid=01CRU&amp;lang=en_US&amp;offset=0&amp;query=any,contains,991001489859702656","Catalog Record")</f>
        <v/>
      </c>
      <c r="AV760">
        <f>HYPERLINK("http://www.worldcat.org/oclc/21759187","WorldCat Record")</f>
        <v/>
      </c>
      <c r="AW760" t="inlineStr">
        <is>
          <t>39847932:eng</t>
        </is>
      </c>
      <c r="AX760" t="inlineStr">
        <is>
          <t>21759187</t>
        </is>
      </c>
      <c r="AY760" t="inlineStr">
        <is>
          <t>991001489859702656</t>
        </is>
      </c>
      <c r="AZ760" t="inlineStr">
        <is>
          <t>991001489859702656</t>
        </is>
      </c>
      <c r="BA760" t="inlineStr">
        <is>
          <t>2264808820002656</t>
        </is>
      </c>
      <c r="BB760" t="inlineStr">
        <is>
          <t>BOOK</t>
        </is>
      </c>
      <c r="BD760" t="inlineStr">
        <is>
          <t>9780397548514</t>
        </is>
      </c>
      <c r="BE760" t="inlineStr">
        <is>
          <t>30001003260033</t>
        </is>
      </c>
      <c r="BF760" t="inlineStr">
        <is>
          <t>893149276</t>
        </is>
      </c>
    </row>
    <row r="761">
      <c r="A761" t="inlineStr">
        <is>
          <t>No</t>
        </is>
      </c>
      <c r="B761" t="inlineStr">
        <is>
          <t>CUHSL</t>
        </is>
      </c>
      <c r="C761" t="inlineStr">
        <is>
          <t>SHELVES</t>
        </is>
      </c>
      <c r="D761" t="inlineStr">
        <is>
          <t>WY 86 P316 1993</t>
        </is>
      </c>
      <c r="E761" t="inlineStr">
        <is>
          <t>0                      WY 0086000P  316         1993</t>
        </is>
      </c>
      <c r="F761" t="inlineStr">
        <is>
          <t>Patterns of nursing theories in practice / Marilyn E. Parker, editor.</t>
        </is>
      </c>
      <c r="H761" t="inlineStr">
        <is>
          <t>No</t>
        </is>
      </c>
      <c r="I761" t="inlineStr">
        <is>
          <t>1</t>
        </is>
      </c>
      <c r="J761" t="inlineStr">
        <is>
          <t>No</t>
        </is>
      </c>
      <c r="K761" t="inlineStr">
        <is>
          <t>No</t>
        </is>
      </c>
      <c r="L761" t="inlineStr">
        <is>
          <t>0</t>
        </is>
      </c>
      <c r="N761" t="inlineStr">
        <is>
          <t>New York : National League for Nursing Press, c1993.</t>
        </is>
      </c>
      <c r="O761" t="inlineStr">
        <is>
          <t>1993</t>
        </is>
      </c>
      <c r="Q761" t="inlineStr">
        <is>
          <t>eng</t>
        </is>
      </c>
      <c r="R761" t="inlineStr">
        <is>
          <t>nyu</t>
        </is>
      </c>
      <c r="S761" t="inlineStr">
        <is>
          <t>NLN pub. no. 15-2548.</t>
        </is>
      </c>
      <c r="T761" t="inlineStr">
        <is>
          <t xml:space="preserve">WY </t>
        </is>
      </c>
      <c r="U761" t="n">
        <v>2</v>
      </c>
      <c r="V761" t="n">
        <v>2</v>
      </c>
      <c r="W761" t="inlineStr">
        <is>
          <t>2008-01-31</t>
        </is>
      </c>
      <c r="X761" t="inlineStr">
        <is>
          <t>2008-01-31</t>
        </is>
      </c>
      <c r="Y761" t="inlineStr">
        <is>
          <t>2000-06-15</t>
        </is>
      </c>
      <c r="Z761" t="inlineStr">
        <is>
          <t>2000-06-15</t>
        </is>
      </c>
      <c r="AA761" t="n">
        <v>429</v>
      </c>
      <c r="AB761" t="n">
        <v>364</v>
      </c>
      <c r="AC761" t="n">
        <v>371</v>
      </c>
      <c r="AD761" t="n">
        <v>5</v>
      </c>
      <c r="AE761" t="n">
        <v>5</v>
      </c>
      <c r="AF761" t="n">
        <v>22</v>
      </c>
      <c r="AG761" t="n">
        <v>22</v>
      </c>
      <c r="AH761" t="n">
        <v>9</v>
      </c>
      <c r="AI761" t="n">
        <v>9</v>
      </c>
      <c r="AJ761" t="n">
        <v>4</v>
      </c>
      <c r="AK761" t="n">
        <v>4</v>
      </c>
      <c r="AL761" t="n">
        <v>9</v>
      </c>
      <c r="AM761" t="n">
        <v>9</v>
      </c>
      <c r="AN761" t="n">
        <v>3</v>
      </c>
      <c r="AO761" t="n">
        <v>3</v>
      </c>
      <c r="AP761" t="n">
        <v>0</v>
      </c>
      <c r="AQ761" t="n">
        <v>0</v>
      </c>
      <c r="AR761" t="inlineStr">
        <is>
          <t>No</t>
        </is>
      </c>
      <c r="AS761" t="inlineStr">
        <is>
          <t>Yes</t>
        </is>
      </c>
      <c r="AT761">
        <f>HYPERLINK("http://catalog.hathitrust.org/Record/002720069","HathiTrust Record")</f>
        <v/>
      </c>
      <c r="AU761">
        <f>HYPERLINK("https://creighton-primo.hosted.exlibrisgroup.com/primo-explore/search?tab=default_tab&amp;search_scope=EVERYTHING&amp;vid=01CRU&amp;lang=en_US&amp;offset=0&amp;query=any,contains,991000238959702656","Catalog Record")</f>
        <v/>
      </c>
      <c r="AV761">
        <f>HYPERLINK("http://www.worldcat.org/oclc/27812276","WorldCat Record")</f>
        <v/>
      </c>
      <c r="AW761" t="inlineStr">
        <is>
          <t>3857378845:eng</t>
        </is>
      </c>
      <c r="AX761" t="inlineStr">
        <is>
          <t>27812276</t>
        </is>
      </c>
      <c r="AY761" t="inlineStr">
        <is>
          <t>991000238959702656</t>
        </is>
      </c>
      <c r="AZ761" t="inlineStr">
        <is>
          <t>991000238959702656</t>
        </is>
      </c>
      <c r="BA761" t="inlineStr">
        <is>
          <t>2256366370002656</t>
        </is>
      </c>
      <c r="BB761" t="inlineStr">
        <is>
          <t>BOOK</t>
        </is>
      </c>
      <c r="BD761" t="inlineStr">
        <is>
          <t>9780887376009</t>
        </is>
      </c>
      <c r="BE761" t="inlineStr">
        <is>
          <t>30001002657858</t>
        </is>
      </c>
      <c r="BF761" t="inlineStr">
        <is>
          <t>893466156</t>
        </is>
      </c>
    </row>
    <row r="762">
      <c r="A762" t="inlineStr">
        <is>
          <t>No</t>
        </is>
      </c>
      <c r="B762" t="inlineStr">
        <is>
          <t>CUHSL</t>
        </is>
      </c>
      <c r="C762" t="inlineStr">
        <is>
          <t>SHELVES</t>
        </is>
      </c>
      <c r="D762" t="inlineStr">
        <is>
          <t>WY 86 P316 1997</t>
        </is>
      </c>
      <c r="E762" t="inlineStr">
        <is>
          <t>0                      WY 0086000P  316         1997</t>
        </is>
      </c>
      <c r="F762" t="inlineStr">
        <is>
          <t>Patterns of Rogerian knowing / edited by Mary Madrid.</t>
        </is>
      </c>
      <c r="H762" t="inlineStr">
        <is>
          <t>No</t>
        </is>
      </c>
      <c r="I762" t="inlineStr">
        <is>
          <t>1</t>
        </is>
      </c>
      <c r="J762" t="inlineStr">
        <is>
          <t>No</t>
        </is>
      </c>
      <c r="K762" t="inlineStr">
        <is>
          <t>No</t>
        </is>
      </c>
      <c r="L762" t="inlineStr">
        <is>
          <t>0</t>
        </is>
      </c>
      <c r="N762" t="inlineStr">
        <is>
          <t>New York : National League for Nursing Press, c1997.</t>
        </is>
      </c>
      <c r="O762" t="inlineStr">
        <is>
          <t>1997</t>
        </is>
      </c>
      <c r="Q762" t="inlineStr">
        <is>
          <t>eng</t>
        </is>
      </c>
      <c r="R762" t="inlineStr">
        <is>
          <t>nyu</t>
        </is>
      </c>
      <c r="S762" t="inlineStr">
        <is>
          <t>NLN pub. no. 15-6886</t>
        </is>
      </c>
      <c r="T762" t="inlineStr">
        <is>
          <t xml:space="preserve">WY </t>
        </is>
      </c>
      <c r="U762" t="n">
        <v>1</v>
      </c>
      <c r="V762" t="n">
        <v>1</v>
      </c>
      <c r="W762" t="inlineStr">
        <is>
          <t>2005-09-06</t>
        </is>
      </c>
      <c r="X762" t="inlineStr">
        <is>
          <t>2005-09-06</t>
        </is>
      </c>
      <c r="Y762" t="inlineStr">
        <is>
          <t>2000-06-15</t>
        </is>
      </c>
      <c r="Z762" t="inlineStr">
        <is>
          <t>2000-06-15</t>
        </is>
      </c>
      <c r="AA762" t="n">
        <v>310</v>
      </c>
      <c r="AB762" t="n">
        <v>269</v>
      </c>
      <c r="AC762" t="n">
        <v>271</v>
      </c>
      <c r="AD762" t="n">
        <v>4</v>
      </c>
      <c r="AE762" t="n">
        <v>4</v>
      </c>
      <c r="AF762" t="n">
        <v>26</v>
      </c>
      <c r="AG762" t="n">
        <v>26</v>
      </c>
      <c r="AH762" t="n">
        <v>11</v>
      </c>
      <c r="AI762" t="n">
        <v>11</v>
      </c>
      <c r="AJ762" t="n">
        <v>7</v>
      </c>
      <c r="AK762" t="n">
        <v>7</v>
      </c>
      <c r="AL762" t="n">
        <v>11</v>
      </c>
      <c r="AM762" t="n">
        <v>11</v>
      </c>
      <c r="AN762" t="n">
        <v>2</v>
      </c>
      <c r="AO762" t="n">
        <v>2</v>
      </c>
      <c r="AP762" t="n">
        <v>0</v>
      </c>
      <c r="AQ762" t="n">
        <v>0</v>
      </c>
      <c r="AR762" t="inlineStr">
        <is>
          <t>No</t>
        </is>
      </c>
      <c r="AS762" t="inlineStr">
        <is>
          <t>Yes</t>
        </is>
      </c>
      <c r="AT762">
        <f>HYPERLINK("http://catalog.hathitrust.org/Record/003126714","HathiTrust Record")</f>
        <v/>
      </c>
      <c r="AU762">
        <f>HYPERLINK("https://creighton-primo.hosted.exlibrisgroup.com/primo-explore/search?tab=default_tab&amp;search_scope=EVERYTHING&amp;vid=01CRU&amp;lang=en_US&amp;offset=0&amp;query=any,contains,991000264579702656","Catalog Record")</f>
        <v/>
      </c>
      <c r="AV762">
        <f>HYPERLINK("http://www.worldcat.org/oclc/36074289","WorldCat Record")</f>
        <v/>
      </c>
      <c r="AW762" t="inlineStr">
        <is>
          <t>647824:eng</t>
        </is>
      </c>
      <c r="AX762" t="inlineStr">
        <is>
          <t>36074289</t>
        </is>
      </c>
      <c r="AY762" t="inlineStr">
        <is>
          <t>991000264579702656</t>
        </is>
      </c>
      <c r="AZ762" t="inlineStr">
        <is>
          <t>991000264579702656</t>
        </is>
      </c>
      <c r="BA762" t="inlineStr">
        <is>
          <t>2263955020002656</t>
        </is>
      </c>
      <c r="BB762" t="inlineStr">
        <is>
          <t>BOOK</t>
        </is>
      </c>
      <c r="BD762" t="inlineStr">
        <is>
          <t>9780887376887</t>
        </is>
      </c>
      <c r="BE762" t="inlineStr">
        <is>
          <t>30001003564913</t>
        </is>
      </c>
      <c r="BF762" t="inlineStr">
        <is>
          <t>893354131</t>
        </is>
      </c>
    </row>
    <row r="763">
      <c r="A763" t="inlineStr">
        <is>
          <t>No</t>
        </is>
      </c>
      <c r="B763" t="inlineStr">
        <is>
          <t>CUHSL</t>
        </is>
      </c>
      <c r="C763" t="inlineStr">
        <is>
          <t>SHELVES</t>
        </is>
      </c>
      <c r="D763" t="inlineStr">
        <is>
          <t>WY 86 P467 1992</t>
        </is>
      </c>
      <c r="E763" t="inlineStr">
        <is>
          <t>0                      WY 0086000P  467         1992</t>
        </is>
      </c>
      <c r="F763" t="inlineStr">
        <is>
          <t>Perspectives on nursing theory / edited by Leslie H. Nicoll.</t>
        </is>
      </c>
      <c r="H763" t="inlineStr">
        <is>
          <t>No</t>
        </is>
      </c>
      <c r="I763" t="inlineStr">
        <is>
          <t>1</t>
        </is>
      </c>
      <c r="J763" t="inlineStr">
        <is>
          <t>No</t>
        </is>
      </c>
      <c r="K763" t="inlineStr">
        <is>
          <t>Yes</t>
        </is>
      </c>
      <c r="L763" t="inlineStr">
        <is>
          <t>0</t>
        </is>
      </c>
      <c r="N763" t="inlineStr">
        <is>
          <t>Philadelphia : Lippincott, c1992.</t>
        </is>
      </c>
      <c r="O763" t="inlineStr">
        <is>
          <t>1992</t>
        </is>
      </c>
      <c r="P763" t="inlineStr">
        <is>
          <t>2nd ed.</t>
        </is>
      </c>
      <c r="Q763" t="inlineStr">
        <is>
          <t>eng</t>
        </is>
      </c>
      <c r="R763" t="inlineStr">
        <is>
          <t>pau</t>
        </is>
      </c>
      <c r="T763" t="inlineStr">
        <is>
          <t xml:space="preserve">WY </t>
        </is>
      </c>
      <c r="U763" t="n">
        <v>24</v>
      </c>
      <c r="V763" t="n">
        <v>24</v>
      </c>
      <c r="W763" t="inlineStr">
        <is>
          <t>2007-04-16</t>
        </is>
      </c>
      <c r="X763" t="inlineStr">
        <is>
          <t>2007-04-16</t>
        </is>
      </c>
      <c r="Y763" t="inlineStr">
        <is>
          <t>1992-04-23</t>
        </is>
      </c>
      <c r="Z763" t="inlineStr">
        <is>
          <t>1992-04-23</t>
        </is>
      </c>
      <c r="AA763" t="n">
        <v>276</v>
      </c>
      <c r="AB763" t="n">
        <v>195</v>
      </c>
      <c r="AC763" t="n">
        <v>720</v>
      </c>
      <c r="AD763" t="n">
        <v>2</v>
      </c>
      <c r="AE763" t="n">
        <v>7</v>
      </c>
      <c r="AF763" t="n">
        <v>8</v>
      </c>
      <c r="AG763" t="n">
        <v>30</v>
      </c>
      <c r="AH763" t="n">
        <v>2</v>
      </c>
      <c r="AI763" t="n">
        <v>12</v>
      </c>
      <c r="AJ763" t="n">
        <v>1</v>
      </c>
      <c r="AK763" t="n">
        <v>4</v>
      </c>
      <c r="AL763" t="n">
        <v>5</v>
      </c>
      <c r="AM763" t="n">
        <v>15</v>
      </c>
      <c r="AN763" t="n">
        <v>1</v>
      </c>
      <c r="AO763" t="n">
        <v>5</v>
      </c>
      <c r="AP763" t="n">
        <v>0</v>
      </c>
      <c r="AQ763" t="n">
        <v>0</v>
      </c>
      <c r="AR763" t="inlineStr">
        <is>
          <t>No</t>
        </is>
      </c>
      <c r="AS763" t="inlineStr">
        <is>
          <t>Yes</t>
        </is>
      </c>
      <c r="AT763">
        <f>HYPERLINK("http://catalog.hathitrust.org/Record/002527134","HathiTrust Record")</f>
        <v/>
      </c>
      <c r="AU763">
        <f>HYPERLINK("https://creighton-primo.hosted.exlibrisgroup.com/primo-explore/search?tab=default_tab&amp;search_scope=EVERYTHING&amp;vid=01CRU&amp;lang=en_US&amp;offset=0&amp;query=any,contains,991001302559702656","Catalog Record")</f>
        <v/>
      </c>
      <c r="AV763">
        <f>HYPERLINK("http://www.worldcat.org/oclc/24319051","WorldCat Record")</f>
        <v/>
      </c>
      <c r="AW763" t="inlineStr">
        <is>
          <t>1071477736:eng</t>
        </is>
      </c>
      <c r="AX763" t="inlineStr">
        <is>
          <t>24319051</t>
        </is>
      </c>
      <c r="AY763" t="inlineStr">
        <is>
          <t>991001302559702656</t>
        </is>
      </c>
      <c r="AZ763" t="inlineStr">
        <is>
          <t>991001302559702656</t>
        </is>
      </c>
      <c r="BA763" t="inlineStr">
        <is>
          <t>2272104950002656</t>
        </is>
      </c>
      <c r="BB763" t="inlineStr">
        <is>
          <t>BOOK</t>
        </is>
      </c>
      <c r="BD763" t="inlineStr">
        <is>
          <t>9780397549115</t>
        </is>
      </c>
      <c r="BE763" t="inlineStr">
        <is>
          <t>30001002412411</t>
        </is>
      </c>
      <c r="BF763" t="inlineStr">
        <is>
          <t>893369309</t>
        </is>
      </c>
    </row>
    <row r="764">
      <c r="A764" t="inlineStr">
        <is>
          <t>No</t>
        </is>
      </c>
      <c r="B764" t="inlineStr">
        <is>
          <t>CUHSL</t>
        </is>
      </c>
      <c r="C764" t="inlineStr">
        <is>
          <t>SHELVES</t>
        </is>
      </c>
      <c r="D764" t="inlineStr">
        <is>
          <t>WY86 P467 2004</t>
        </is>
      </c>
      <c r="E764" t="inlineStr">
        <is>
          <t>0                      WY 0086000P  467         2004</t>
        </is>
      </c>
      <c r="F764" t="inlineStr">
        <is>
          <t>Perspectives on nursing theory / edited by Pamela G. Reed, Nelma B. Crawford Shearer ; Leslie H. Nicoll, editor emerita.</t>
        </is>
      </c>
      <c r="H764" t="inlineStr">
        <is>
          <t>No</t>
        </is>
      </c>
      <c r="I764" t="inlineStr">
        <is>
          <t>1</t>
        </is>
      </c>
      <c r="J764" t="inlineStr">
        <is>
          <t>No</t>
        </is>
      </c>
      <c r="K764" t="inlineStr">
        <is>
          <t>Yes</t>
        </is>
      </c>
      <c r="L764" t="inlineStr">
        <is>
          <t>0</t>
        </is>
      </c>
      <c r="N764" t="inlineStr">
        <is>
          <t>Philadelphia : Lippincott Williams &amp; Wilkins, c2004.</t>
        </is>
      </c>
      <c r="O764" t="inlineStr">
        <is>
          <t>2004</t>
        </is>
      </c>
      <c r="P764" t="inlineStr">
        <is>
          <t>4th ed.</t>
        </is>
      </c>
      <c r="Q764" t="inlineStr">
        <is>
          <t>eng</t>
        </is>
      </c>
      <c r="R764" t="inlineStr">
        <is>
          <t>pau</t>
        </is>
      </c>
      <c r="T764" t="inlineStr">
        <is>
          <t xml:space="preserve">WY </t>
        </is>
      </c>
      <c r="U764" t="n">
        <v>2</v>
      </c>
      <c r="V764" t="n">
        <v>2</v>
      </c>
      <c r="W764" t="inlineStr">
        <is>
          <t>2008-01-04</t>
        </is>
      </c>
      <c r="X764" t="inlineStr">
        <is>
          <t>2008-01-04</t>
        </is>
      </c>
      <c r="Y764" t="inlineStr">
        <is>
          <t>2006-10-26</t>
        </is>
      </c>
      <c r="Z764" t="inlineStr">
        <is>
          <t>2006-10-26</t>
        </is>
      </c>
      <c r="AA764" t="n">
        <v>329</v>
      </c>
      <c r="AB764" t="n">
        <v>231</v>
      </c>
      <c r="AC764" t="n">
        <v>720</v>
      </c>
      <c r="AD764" t="n">
        <v>2</v>
      </c>
      <c r="AE764" t="n">
        <v>7</v>
      </c>
      <c r="AF764" t="n">
        <v>12</v>
      </c>
      <c r="AG764" t="n">
        <v>30</v>
      </c>
      <c r="AH764" t="n">
        <v>7</v>
      </c>
      <c r="AI764" t="n">
        <v>12</v>
      </c>
      <c r="AJ764" t="n">
        <v>0</v>
      </c>
      <c r="AK764" t="n">
        <v>4</v>
      </c>
      <c r="AL764" t="n">
        <v>7</v>
      </c>
      <c r="AM764" t="n">
        <v>15</v>
      </c>
      <c r="AN764" t="n">
        <v>1</v>
      </c>
      <c r="AO764" t="n">
        <v>5</v>
      </c>
      <c r="AP764" t="n">
        <v>0</v>
      </c>
      <c r="AQ764" t="n">
        <v>0</v>
      </c>
      <c r="AR764" t="inlineStr">
        <is>
          <t>No</t>
        </is>
      </c>
      <c r="AS764" t="inlineStr">
        <is>
          <t>No</t>
        </is>
      </c>
      <c r="AU764">
        <f>HYPERLINK("https://creighton-primo.hosted.exlibrisgroup.com/primo-explore/search?tab=default_tab&amp;search_scope=EVERYTHING&amp;vid=01CRU&amp;lang=en_US&amp;offset=0&amp;query=any,contains,991000560999702656","Catalog Record")</f>
        <v/>
      </c>
      <c r="AV764">
        <f>HYPERLINK("http://www.worldcat.org/oclc/51978032","WorldCat Record")</f>
        <v/>
      </c>
      <c r="AW764" t="inlineStr">
        <is>
          <t>1071477736:eng</t>
        </is>
      </c>
      <c r="AX764" t="inlineStr">
        <is>
          <t>51978032</t>
        </is>
      </c>
      <c r="AY764" t="inlineStr">
        <is>
          <t>991000560999702656</t>
        </is>
      </c>
      <c r="AZ764" t="inlineStr">
        <is>
          <t>991000560999702656</t>
        </is>
      </c>
      <c r="BA764" t="inlineStr">
        <is>
          <t>2260853210002656</t>
        </is>
      </c>
      <c r="BB764" t="inlineStr">
        <is>
          <t>BOOK</t>
        </is>
      </c>
      <c r="BD764" t="inlineStr">
        <is>
          <t>9780781747431</t>
        </is>
      </c>
      <c r="BE764" t="inlineStr">
        <is>
          <t>30001005176724</t>
        </is>
      </c>
      <c r="BF764" t="inlineStr">
        <is>
          <t>893829777</t>
        </is>
      </c>
    </row>
    <row r="765">
      <c r="A765" t="inlineStr">
        <is>
          <t>No</t>
        </is>
      </c>
      <c r="B765" t="inlineStr">
        <is>
          <t>CUHSL</t>
        </is>
      </c>
      <c r="C765" t="inlineStr">
        <is>
          <t>SHELVES</t>
        </is>
      </c>
      <c r="D765" t="inlineStr">
        <is>
          <t>WY86 P4675 1999</t>
        </is>
      </c>
      <c r="E765" t="inlineStr">
        <is>
          <t>0                      WY 0086000P  4675        1999</t>
        </is>
      </c>
      <c r="F765" t="inlineStr">
        <is>
          <t>Perspectives on philosophy of science in nursing : an historical and contemporary anthology / edited by E. Carol Polifroni, Marylouise Welch.</t>
        </is>
      </c>
      <c r="H765" t="inlineStr">
        <is>
          <t>No</t>
        </is>
      </c>
      <c r="I765" t="inlineStr">
        <is>
          <t>1</t>
        </is>
      </c>
      <c r="J765" t="inlineStr">
        <is>
          <t>No</t>
        </is>
      </c>
      <c r="K765" t="inlineStr">
        <is>
          <t>No</t>
        </is>
      </c>
      <c r="L765" t="inlineStr">
        <is>
          <t>0</t>
        </is>
      </c>
      <c r="N765" t="inlineStr">
        <is>
          <t>Philadelphia : Lippincott, c1999.</t>
        </is>
      </c>
      <c r="O765" t="inlineStr">
        <is>
          <t>1999</t>
        </is>
      </c>
      <c r="Q765" t="inlineStr">
        <is>
          <t>eng</t>
        </is>
      </c>
      <c r="R765" t="inlineStr">
        <is>
          <t>pau</t>
        </is>
      </c>
      <c r="T765" t="inlineStr">
        <is>
          <t xml:space="preserve">WY </t>
        </is>
      </c>
      <c r="U765" t="n">
        <v>2</v>
      </c>
      <c r="V765" t="n">
        <v>2</v>
      </c>
      <c r="W765" t="inlineStr">
        <is>
          <t>2003-05-27</t>
        </is>
      </c>
      <c r="X765" t="inlineStr">
        <is>
          <t>2003-05-27</t>
        </is>
      </c>
      <c r="Y765" t="inlineStr">
        <is>
          <t>2002-06-27</t>
        </is>
      </c>
      <c r="Z765" t="inlineStr">
        <is>
          <t>2002-06-27</t>
        </is>
      </c>
      <c r="AA765" t="n">
        <v>278</v>
      </c>
      <c r="AB765" t="n">
        <v>186</v>
      </c>
      <c r="AC765" t="n">
        <v>186</v>
      </c>
      <c r="AD765" t="n">
        <v>1</v>
      </c>
      <c r="AE765" t="n">
        <v>1</v>
      </c>
      <c r="AF765" t="n">
        <v>10</v>
      </c>
      <c r="AG765" t="n">
        <v>10</v>
      </c>
      <c r="AH765" t="n">
        <v>4</v>
      </c>
      <c r="AI765" t="n">
        <v>4</v>
      </c>
      <c r="AJ765" t="n">
        <v>2</v>
      </c>
      <c r="AK765" t="n">
        <v>2</v>
      </c>
      <c r="AL765" t="n">
        <v>7</v>
      </c>
      <c r="AM765" t="n">
        <v>7</v>
      </c>
      <c r="AN765" t="n">
        <v>0</v>
      </c>
      <c r="AO765" t="n">
        <v>0</v>
      </c>
      <c r="AP765" t="n">
        <v>0</v>
      </c>
      <c r="AQ765" t="n">
        <v>0</v>
      </c>
      <c r="AR765" t="inlineStr">
        <is>
          <t>No</t>
        </is>
      </c>
      <c r="AS765" t="inlineStr">
        <is>
          <t>No</t>
        </is>
      </c>
      <c r="AU765">
        <f>HYPERLINK("https://creighton-primo.hosted.exlibrisgroup.com/primo-explore/search?tab=default_tab&amp;search_scope=EVERYTHING&amp;vid=01CRU&amp;lang=en_US&amp;offset=0&amp;query=any,contains,991000318649702656","Catalog Record")</f>
        <v/>
      </c>
      <c r="AV765">
        <f>HYPERLINK("http://www.worldcat.org/oclc/38562389","WorldCat Record")</f>
        <v/>
      </c>
      <c r="AW765" t="inlineStr">
        <is>
          <t>894467279:eng</t>
        </is>
      </c>
      <c r="AX765" t="inlineStr">
        <is>
          <t>38562389</t>
        </is>
      </c>
      <c r="AY765" t="inlineStr">
        <is>
          <t>991000318649702656</t>
        </is>
      </c>
      <c r="AZ765" t="inlineStr">
        <is>
          <t>991000318649702656</t>
        </is>
      </c>
      <c r="BA765" t="inlineStr">
        <is>
          <t>2265751640002656</t>
        </is>
      </c>
      <c r="BB765" t="inlineStr">
        <is>
          <t>BOOK</t>
        </is>
      </c>
      <c r="BD765" t="inlineStr">
        <is>
          <t>9780781712019</t>
        </is>
      </c>
      <c r="BE765" t="inlineStr">
        <is>
          <t>30001004442473</t>
        </is>
      </c>
      <c r="BF765" t="inlineStr">
        <is>
          <t>893553415</t>
        </is>
      </c>
    </row>
    <row r="766">
      <c r="A766" t="inlineStr">
        <is>
          <t>No</t>
        </is>
      </c>
      <c r="B766" t="inlineStr">
        <is>
          <t>CUHSL</t>
        </is>
      </c>
      <c r="C766" t="inlineStr">
        <is>
          <t>SHELVES</t>
        </is>
      </c>
      <c r="D766" t="inlineStr">
        <is>
          <t>WY 86 P569 1999</t>
        </is>
      </c>
      <c r="E766" t="inlineStr">
        <is>
          <t>0                      WY 0086000P  569         1999</t>
        </is>
      </c>
      <c r="F766" t="inlineStr">
        <is>
          <t>Philosophical and theoretical perspectives for advanced nursing practice / edited by Janet W. Kenney.</t>
        </is>
      </c>
      <c r="H766" t="inlineStr">
        <is>
          <t>No</t>
        </is>
      </c>
      <c r="I766" t="inlineStr">
        <is>
          <t>2</t>
        </is>
      </c>
      <c r="J766" t="inlineStr">
        <is>
          <t>No</t>
        </is>
      </c>
      <c r="K766" t="inlineStr">
        <is>
          <t>Yes</t>
        </is>
      </c>
      <c r="L766" t="inlineStr">
        <is>
          <t>0</t>
        </is>
      </c>
      <c r="N766" t="inlineStr">
        <is>
          <t>Sudbury, Mass. : Jones and Bartlett Publishers, c1999.</t>
        </is>
      </c>
      <c r="O766" t="inlineStr">
        <is>
          <t>1999</t>
        </is>
      </c>
      <c r="P766" t="inlineStr">
        <is>
          <t>2nd ed.</t>
        </is>
      </c>
      <c r="Q766" t="inlineStr">
        <is>
          <t>eng</t>
        </is>
      </c>
      <c r="R766" t="inlineStr">
        <is>
          <t>mau</t>
        </is>
      </c>
      <c r="S766" t="inlineStr">
        <is>
          <t>The Jones and Bartlett series in nursing</t>
        </is>
      </c>
      <c r="T766" t="inlineStr">
        <is>
          <t xml:space="preserve">WY </t>
        </is>
      </c>
      <c r="U766" t="n">
        <v>2</v>
      </c>
      <c r="V766" t="n">
        <v>2</v>
      </c>
      <c r="W766" t="inlineStr">
        <is>
          <t>2005-10-24</t>
        </is>
      </c>
      <c r="X766" t="inlineStr">
        <is>
          <t>2005-10-24</t>
        </is>
      </c>
      <c r="Y766" t="inlineStr">
        <is>
          <t>2002-07-02</t>
        </is>
      </c>
      <c r="Z766" t="inlineStr">
        <is>
          <t>2002-07-02</t>
        </is>
      </c>
      <c r="AA766" t="n">
        <v>255</v>
      </c>
      <c r="AB766" t="n">
        <v>202</v>
      </c>
      <c r="AC766" t="n">
        <v>1597</v>
      </c>
      <c r="AD766" t="n">
        <v>1</v>
      </c>
      <c r="AE766" t="n">
        <v>5</v>
      </c>
      <c r="AF766" t="n">
        <v>10</v>
      </c>
      <c r="AG766" t="n">
        <v>45</v>
      </c>
      <c r="AH766" t="n">
        <v>5</v>
      </c>
      <c r="AI766" t="n">
        <v>23</v>
      </c>
      <c r="AJ766" t="n">
        <v>2</v>
      </c>
      <c r="AK766" t="n">
        <v>9</v>
      </c>
      <c r="AL766" t="n">
        <v>6</v>
      </c>
      <c r="AM766" t="n">
        <v>19</v>
      </c>
      <c r="AN766" t="n">
        <v>0</v>
      </c>
      <c r="AO766" t="n">
        <v>3</v>
      </c>
      <c r="AP766" t="n">
        <v>0</v>
      </c>
      <c r="AQ766" t="n">
        <v>0</v>
      </c>
      <c r="AR766" t="inlineStr">
        <is>
          <t>No</t>
        </is>
      </c>
      <c r="AS766" t="inlineStr">
        <is>
          <t>Yes</t>
        </is>
      </c>
      <c r="AT766">
        <f>HYPERLINK("http://catalog.hathitrust.org/Record/003324746","HathiTrust Record")</f>
        <v/>
      </c>
      <c r="AU766">
        <f>HYPERLINK("https://creighton-primo.hosted.exlibrisgroup.com/primo-explore/search?tab=default_tab&amp;search_scope=EVERYTHING&amp;vid=01CRU&amp;lang=en_US&amp;offset=0&amp;query=any,contains,991001553389702656","Catalog Record")</f>
        <v/>
      </c>
      <c r="AV766">
        <f>HYPERLINK("http://www.worldcat.org/oclc/39891445","WorldCat Record")</f>
        <v/>
      </c>
      <c r="AW766" t="inlineStr">
        <is>
          <t>864032673:eng</t>
        </is>
      </c>
      <c r="AX766" t="inlineStr">
        <is>
          <t>39891445</t>
        </is>
      </c>
      <c r="AY766" t="inlineStr">
        <is>
          <t>991001553389702656</t>
        </is>
      </c>
      <c r="AZ766" t="inlineStr">
        <is>
          <t>991001553389702656</t>
        </is>
      </c>
      <c r="BA766" t="inlineStr">
        <is>
          <t>2261745960002656</t>
        </is>
      </c>
      <c r="BB766" t="inlineStr">
        <is>
          <t>BOOK</t>
        </is>
      </c>
      <c r="BD766" t="inlineStr">
        <is>
          <t>9780763709174</t>
        </is>
      </c>
      <c r="BE766" t="inlineStr">
        <is>
          <t>30001004445336</t>
        </is>
      </c>
      <c r="BF766" t="inlineStr">
        <is>
          <t>893552630</t>
        </is>
      </c>
    </row>
    <row r="767">
      <c r="A767" t="inlineStr">
        <is>
          <t>No</t>
        </is>
      </c>
      <c r="B767" t="inlineStr">
        <is>
          <t>CUHSL</t>
        </is>
      </c>
      <c r="C767" t="inlineStr">
        <is>
          <t>SHELVES</t>
        </is>
      </c>
      <c r="D767" t="inlineStr">
        <is>
          <t>WY 86 R888t 1981</t>
        </is>
      </c>
      <c r="E767" t="inlineStr">
        <is>
          <t>0                      WY 0086000R  888t        1981</t>
        </is>
      </c>
      <c r="F767" t="inlineStr">
        <is>
          <t>Theory construction in nursing : an adaptation model / Callista Roy, Sharon L. Roberts.</t>
        </is>
      </c>
      <c r="H767" t="inlineStr">
        <is>
          <t>No</t>
        </is>
      </c>
      <c r="I767" t="inlineStr">
        <is>
          <t>1</t>
        </is>
      </c>
      <c r="J767" t="inlineStr">
        <is>
          <t>No</t>
        </is>
      </c>
      <c r="K767" t="inlineStr">
        <is>
          <t>No</t>
        </is>
      </c>
      <c r="L767" t="inlineStr">
        <is>
          <t>0</t>
        </is>
      </c>
      <c r="M767" t="inlineStr">
        <is>
          <t>Roy, Callista.</t>
        </is>
      </c>
      <c r="N767" t="inlineStr">
        <is>
          <t>Englewood Cliffs, N.J. : Prentice-Hall, c1981.</t>
        </is>
      </c>
      <c r="O767" t="inlineStr">
        <is>
          <t>1981</t>
        </is>
      </c>
      <c r="Q767" t="inlineStr">
        <is>
          <t>eng</t>
        </is>
      </c>
      <c r="R767" t="inlineStr">
        <is>
          <t>xxu</t>
        </is>
      </c>
      <c r="T767" t="inlineStr">
        <is>
          <t xml:space="preserve">WY </t>
        </is>
      </c>
      <c r="U767" t="n">
        <v>18</v>
      </c>
      <c r="V767" t="n">
        <v>18</v>
      </c>
      <c r="W767" t="inlineStr">
        <is>
          <t>2006-07-15</t>
        </is>
      </c>
      <c r="X767" t="inlineStr">
        <is>
          <t>2006-07-15</t>
        </is>
      </c>
      <c r="Y767" t="inlineStr">
        <is>
          <t>1987-10-22</t>
        </is>
      </c>
      <c r="Z767" t="inlineStr">
        <is>
          <t>1987-10-22</t>
        </is>
      </c>
      <c r="AA767" t="n">
        <v>379</v>
      </c>
      <c r="AB767" t="n">
        <v>307</v>
      </c>
      <c r="AC767" t="n">
        <v>309</v>
      </c>
      <c r="AD767" t="n">
        <v>3</v>
      </c>
      <c r="AE767" t="n">
        <v>3</v>
      </c>
      <c r="AF767" t="n">
        <v>20</v>
      </c>
      <c r="AG767" t="n">
        <v>20</v>
      </c>
      <c r="AH767" t="n">
        <v>7</v>
      </c>
      <c r="AI767" t="n">
        <v>7</v>
      </c>
      <c r="AJ767" t="n">
        <v>6</v>
      </c>
      <c r="AK767" t="n">
        <v>6</v>
      </c>
      <c r="AL767" t="n">
        <v>8</v>
      </c>
      <c r="AM767" t="n">
        <v>8</v>
      </c>
      <c r="AN767" t="n">
        <v>2</v>
      </c>
      <c r="AO767" t="n">
        <v>2</v>
      </c>
      <c r="AP767" t="n">
        <v>0</v>
      </c>
      <c r="AQ767" t="n">
        <v>0</v>
      </c>
      <c r="AR767" t="inlineStr">
        <is>
          <t>No</t>
        </is>
      </c>
      <c r="AS767" t="inlineStr">
        <is>
          <t>Yes</t>
        </is>
      </c>
      <c r="AT767">
        <f>HYPERLINK("http://catalog.hathitrust.org/Record/000224142","HathiTrust Record")</f>
        <v/>
      </c>
      <c r="AU767">
        <f>HYPERLINK("https://creighton-primo.hosted.exlibrisgroup.com/primo-explore/search?tab=default_tab&amp;search_scope=EVERYTHING&amp;vid=01CRU&amp;lang=en_US&amp;offset=0&amp;query=any,contains,991000738599702656","Catalog Record")</f>
        <v/>
      </c>
      <c r="AV767">
        <f>HYPERLINK("http://www.worldcat.org/oclc/6861787","WorldCat Record")</f>
        <v/>
      </c>
      <c r="AW767" t="inlineStr">
        <is>
          <t>363545260:eng</t>
        </is>
      </c>
      <c r="AX767" t="inlineStr">
        <is>
          <t>6861787</t>
        </is>
      </c>
      <c r="AY767" t="inlineStr">
        <is>
          <t>991000738599702656</t>
        </is>
      </c>
      <c r="AZ767" t="inlineStr">
        <is>
          <t>991000738599702656</t>
        </is>
      </c>
      <c r="BA767" t="inlineStr">
        <is>
          <t>2258548090002656</t>
        </is>
      </c>
      <c r="BB767" t="inlineStr">
        <is>
          <t>BOOK</t>
        </is>
      </c>
      <c r="BD767" t="inlineStr">
        <is>
          <t>9780139136573</t>
        </is>
      </c>
      <c r="BE767" t="inlineStr">
        <is>
          <t>30001000042632</t>
        </is>
      </c>
      <c r="BF767" t="inlineStr">
        <is>
          <t>893834293</t>
        </is>
      </c>
    </row>
    <row r="768">
      <c r="A768" t="inlineStr">
        <is>
          <t>No</t>
        </is>
      </c>
      <c r="B768" t="inlineStr">
        <is>
          <t>CUHSL</t>
        </is>
      </c>
      <c r="C768" t="inlineStr">
        <is>
          <t>SHELVES</t>
        </is>
      </c>
      <c r="D768" t="inlineStr">
        <is>
          <t>WY 86 S638i 1989</t>
        </is>
      </c>
      <c r="E768" t="inlineStr">
        <is>
          <t>0                      WY 0086000S  638i        1989</t>
        </is>
      </c>
      <c r="F768" t="inlineStr">
        <is>
          <t>Interdisciplinary guide to the literature for human caring / Janet Smerke.</t>
        </is>
      </c>
      <c r="H768" t="inlineStr">
        <is>
          <t>No</t>
        </is>
      </c>
      <c r="I768" t="inlineStr">
        <is>
          <t>1</t>
        </is>
      </c>
      <c r="J768" t="inlineStr">
        <is>
          <t>No</t>
        </is>
      </c>
      <c r="K768" t="inlineStr">
        <is>
          <t>No</t>
        </is>
      </c>
      <c r="L768" t="inlineStr">
        <is>
          <t>0</t>
        </is>
      </c>
      <c r="M768" t="inlineStr">
        <is>
          <t>Smerke, Janet Marie.</t>
        </is>
      </c>
      <c r="N768" t="inlineStr">
        <is>
          <t>New York, NY : National League for Nursing, c1989.</t>
        </is>
      </c>
      <c r="O768" t="inlineStr">
        <is>
          <t>1989</t>
        </is>
      </c>
      <c r="Q768" t="inlineStr">
        <is>
          <t>eng</t>
        </is>
      </c>
      <c r="R768" t="inlineStr">
        <is>
          <t>nyu</t>
        </is>
      </c>
      <c r="S768" t="inlineStr">
        <is>
          <t>NLN pub. no. 15-2331.</t>
        </is>
      </c>
      <c r="T768" t="inlineStr">
        <is>
          <t xml:space="preserve">WY </t>
        </is>
      </c>
      <c r="U768" t="n">
        <v>0</v>
      </c>
      <c r="V768" t="n">
        <v>0</v>
      </c>
      <c r="W768" t="inlineStr">
        <is>
          <t>2002-07-21</t>
        </is>
      </c>
      <c r="X768" t="inlineStr">
        <is>
          <t>2002-07-21</t>
        </is>
      </c>
      <c r="Y768" t="inlineStr">
        <is>
          <t>2000-06-15</t>
        </is>
      </c>
      <c r="Z768" t="inlineStr">
        <is>
          <t>2000-06-15</t>
        </is>
      </c>
      <c r="AA768" t="n">
        <v>213</v>
      </c>
      <c r="AB768" t="n">
        <v>183</v>
      </c>
      <c r="AC768" t="n">
        <v>190</v>
      </c>
      <c r="AD768" t="n">
        <v>3</v>
      </c>
      <c r="AE768" t="n">
        <v>3</v>
      </c>
      <c r="AF768" t="n">
        <v>12</v>
      </c>
      <c r="AG768" t="n">
        <v>12</v>
      </c>
      <c r="AH768" t="n">
        <v>3</v>
      </c>
      <c r="AI768" t="n">
        <v>3</v>
      </c>
      <c r="AJ768" t="n">
        <v>3</v>
      </c>
      <c r="AK768" t="n">
        <v>3</v>
      </c>
      <c r="AL768" t="n">
        <v>6</v>
      </c>
      <c r="AM768" t="n">
        <v>6</v>
      </c>
      <c r="AN768" t="n">
        <v>1</v>
      </c>
      <c r="AO768" t="n">
        <v>1</v>
      </c>
      <c r="AP768" t="n">
        <v>0</v>
      </c>
      <c r="AQ768" t="n">
        <v>0</v>
      </c>
      <c r="AR768" t="inlineStr">
        <is>
          <t>No</t>
        </is>
      </c>
      <c r="AS768" t="inlineStr">
        <is>
          <t>Yes</t>
        </is>
      </c>
      <c r="AT768">
        <f>HYPERLINK("http://catalog.hathitrust.org/Record/002508482","HathiTrust Record")</f>
        <v/>
      </c>
      <c r="AU768">
        <f>HYPERLINK("https://creighton-primo.hosted.exlibrisgroup.com/primo-explore/search?tab=default_tab&amp;search_scope=EVERYTHING&amp;vid=01CRU&amp;lang=en_US&amp;offset=0&amp;query=any,contains,991000220389702656","Catalog Record")</f>
        <v/>
      </c>
      <c r="AV768">
        <f>HYPERLINK("http://www.worldcat.org/oclc/22541739","WorldCat Record")</f>
        <v/>
      </c>
      <c r="AW768" t="inlineStr">
        <is>
          <t>24566548:eng</t>
        </is>
      </c>
      <c r="AX768" t="inlineStr">
        <is>
          <t>22541739</t>
        </is>
      </c>
      <c r="AY768" t="inlineStr">
        <is>
          <t>991000220389702656</t>
        </is>
      </c>
      <c r="AZ768" t="inlineStr">
        <is>
          <t>991000220389702656</t>
        </is>
      </c>
      <c r="BA768" t="inlineStr">
        <is>
          <t>2258210210002656</t>
        </is>
      </c>
      <c r="BB768" t="inlineStr">
        <is>
          <t>BOOK</t>
        </is>
      </c>
      <c r="BD768" t="inlineStr">
        <is>
          <t>9780887374784</t>
        </is>
      </c>
      <c r="BE768" t="inlineStr">
        <is>
          <t>30001001799859</t>
        </is>
      </c>
      <c r="BF768" t="inlineStr">
        <is>
          <t>893547523</t>
        </is>
      </c>
    </row>
    <row r="769">
      <c r="A769" t="inlineStr">
        <is>
          <t>No</t>
        </is>
      </c>
      <c r="B769" t="inlineStr">
        <is>
          <t>CUHSL</t>
        </is>
      </c>
      <c r="C769" t="inlineStr">
        <is>
          <t>SHELVES</t>
        </is>
      </c>
      <c r="D769" t="inlineStr">
        <is>
          <t>WY 86 S851i 1993</t>
        </is>
      </c>
      <c r="E769" t="inlineStr">
        <is>
          <t>0                      WY 0086000S  851i        1993</t>
        </is>
      </c>
      <c r="F769" t="inlineStr">
        <is>
          <t>Integrating social support in nursing / Miriam J. Stewart.</t>
        </is>
      </c>
      <c r="H769" t="inlineStr">
        <is>
          <t>No</t>
        </is>
      </c>
      <c r="I769" t="inlineStr">
        <is>
          <t>1</t>
        </is>
      </c>
      <c r="J769" t="inlineStr">
        <is>
          <t>No</t>
        </is>
      </c>
      <c r="K769" t="inlineStr">
        <is>
          <t>No</t>
        </is>
      </c>
      <c r="L769" t="inlineStr">
        <is>
          <t>0</t>
        </is>
      </c>
      <c r="M769" t="inlineStr">
        <is>
          <t>Stewart, Miriam (Miriam Joyce)</t>
        </is>
      </c>
      <c r="N769" t="inlineStr">
        <is>
          <t>Newbury Park : Sage Publications, c1993.</t>
        </is>
      </c>
      <c r="O769" t="inlineStr">
        <is>
          <t>1993</t>
        </is>
      </c>
      <c r="Q769" t="inlineStr">
        <is>
          <t>eng</t>
        </is>
      </c>
      <c r="R769" t="inlineStr">
        <is>
          <t>cau</t>
        </is>
      </c>
      <c r="T769" t="inlineStr">
        <is>
          <t xml:space="preserve">WY </t>
        </is>
      </c>
      <c r="U769" t="n">
        <v>7</v>
      </c>
      <c r="V769" t="n">
        <v>7</v>
      </c>
      <c r="W769" t="inlineStr">
        <is>
          <t>1997-03-04</t>
        </is>
      </c>
      <c r="X769" t="inlineStr">
        <is>
          <t>1997-03-04</t>
        </is>
      </c>
      <c r="Y769" t="inlineStr">
        <is>
          <t>1993-06-21</t>
        </is>
      </c>
      <c r="Z769" t="inlineStr">
        <is>
          <t>1993-06-21</t>
        </is>
      </c>
      <c r="AA769" t="n">
        <v>290</v>
      </c>
      <c r="AB769" t="n">
        <v>218</v>
      </c>
      <c r="AC769" t="n">
        <v>225</v>
      </c>
      <c r="AD769" t="n">
        <v>3</v>
      </c>
      <c r="AE769" t="n">
        <v>3</v>
      </c>
      <c r="AF769" t="n">
        <v>17</v>
      </c>
      <c r="AG769" t="n">
        <v>17</v>
      </c>
      <c r="AH769" t="n">
        <v>6</v>
      </c>
      <c r="AI769" t="n">
        <v>6</v>
      </c>
      <c r="AJ769" t="n">
        <v>4</v>
      </c>
      <c r="AK769" t="n">
        <v>4</v>
      </c>
      <c r="AL769" t="n">
        <v>11</v>
      </c>
      <c r="AM769" t="n">
        <v>11</v>
      </c>
      <c r="AN769" t="n">
        <v>2</v>
      </c>
      <c r="AO769" t="n">
        <v>2</v>
      </c>
      <c r="AP769" t="n">
        <v>0</v>
      </c>
      <c r="AQ769" t="n">
        <v>0</v>
      </c>
      <c r="AR769" t="inlineStr">
        <is>
          <t>No</t>
        </is>
      </c>
      <c r="AS769" t="inlineStr">
        <is>
          <t>Yes</t>
        </is>
      </c>
      <c r="AT769">
        <f>HYPERLINK("http://catalog.hathitrust.org/Record/002698802","HathiTrust Record")</f>
        <v/>
      </c>
      <c r="AU769">
        <f>HYPERLINK("https://creighton-primo.hosted.exlibrisgroup.com/primo-explore/search?tab=default_tab&amp;search_scope=EVERYTHING&amp;vid=01CRU&amp;lang=en_US&amp;offset=0&amp;query=any,contains,991001480929702656","Catalog Record")</f>
        <v/>
      </c>
      <c r="AV769">
        <f>HYPERLINK("http://www.worldcat.org/oclc/27894685","WorldCat Record")</f>
        <v/>
      </c>
      <c r="AW769" t="inlineStr">
        <is>
          <t>352005:eng</t>
        </is>
      </c>
      <c r="AX769" t="inlineStr">
        <is>
          <t>27894685</t>
        </is>
      </c>
      <c r="AY769" t="inlineStr">
        <is>
          <t>991001480929702656</t>
        </is>
      </c>
      <c r="AZ769" t="inlineStr">
        <is>
          <t>991001480929702656</t>
        </is>
      </c>
      <c r="BA769" t="inlineStr">
        <is>
          <t>2261371970002656</t>
        </is>
      </c>
      <c r="BB769" t="inlineStr">
        <is>
          <t>BOOK</t>
        </is>
      </c>
      <c r="BD769" t="inlineStr">
        <is>
          <t>9780803942738</t>
        </is>
      </c>
      <c r="BE769" t="inlineStr">
        <is>
          <t>30001002569426</t>
        </is>
      </c>
      <c r="BF769" t="inlineStr">
        <is>
          <t>893455840</t>
        </is>
      </c>
    </row>
    <row r="770">
      <c r="A770" t="inlineStr">
        <is>
          <t>No</t>
        </is>
      </c>
      <c r="B770" t="inlineStr">
        <is>
          <t>CUHSL</t>
        </is>
      </c>
      <c r="C770" t="inlineStr">
        <is>
          <t>SHELVES</t>
        </is>
      </c>
      <c r="D770" t="inlineStr">
        <is>
          <t>WY 86 T396 1977</t>
        </is>
      </c>
      <c r="E770" t="inlineStr">
        <is>
          <t>0                      WY 0086000T  396         1977</t>
        </is>
      </c>
      <c r="F770" t="inlineStr">
        <is>
          <t>Theory development : what, why, how?</t>
        </is>
      </c>
      <c r="H770" t="inlineStr">
        <is>
          <t>No</t>
        </is>
      </c>
      <c r="I770" t="inlineStr">
        <is>
          <t>1</t>
        </is>
      </c>
      <c r="J770" t="inlineStr">
        <is>
          <t>No</t>
        </is>
      </c>
      <c r="K770" t="inlineStr">
        <is>
          <t>No</t>
        </is>
      </c>
      <c r="L770" t="inlineStr">
        <is>
          <t>0</t>
        </is>
      </c>
      <c r="N770" t="inlineStr">
        <is>
          <t>New York : National League for Nursing, c1978.</t>
        </is>
      </c>
      <c r="O770" t="inlineStr">
        <is>
          <t>1977</t>
        </is>
      </c>
      <c r="Q770" t="inlineStr">
        <is>
          <t>eng</t>
        </is>
      </c>
      <c r="R770" t="inlineStr">
        <is>
          <t>nyu</t>
        </is>
      </c>
      <c r="S770" t="inlineStr">
        <is>
          <t>NLN pub. no. 15-1708</t>
        </is>
      </c>
      <c r="T770" t="inlineStr">
        <is>
          <t xml:space="preserve">WY </t>
        </is>
      </c>
      <c r="U770" t="n">
        <v>8</v>
      </c>
      <c r="V770" t="n">
        <v>8</v>
      </c>
      <c r="W770" t="inlineStr">
        <is>
          <t>1994-09-09</t>
        </is>
      </c>
      <c r="X770" t="inlineStr">
        <is>
          <t>1994-09-09</t>
        </is>
      </c>
      <c r="Y770" t="inlineStr">
        <is>
          <t>1988-10-13</t>
        </is>
      </c>
      <c r="Z770" t="inlineStr">
        <is>
          <t>1988-10-13</t>
        </is>
      </c>
      <c r="AA770" t="n">
        <v>200</v>
      </c>
      <c r="AB770" t="n">
        <v>171</v>
      </c>
      <c r="AC770" t="n">
        <v>179</v>
      </c>
      <c r="AD770" t="n">
        <v>2</v>
      </c>
      <c r="AE770" t="n">
        <v>2</v>
      </c>
      <c r="AF770" t="n">
        <v>10</v>
      </c>
      <c r="AG770" t="n">
        <v>10</v>
      </c>
      <c r="AH770" t="n">
        <v>3</v>
      </c>
      <c r="AI770" t="n">
        <v>3</v>
      </c>
      <c r="AJ770" t="n">
        <v>4</v>
      </c>
      <c r="AK770" t="n">
        <v>4</v>
      </c>
      <c r="AL770" t="n">
        <v>5</v>
      </c>
      <c r="AM770" t="n">
        <v>5</v>
      </c>
      <c r="AN770" t="n">
        <v>0</v>
      </c>
      <c r="AO770" t="n">
        <v>0</v>
      </c>
      <c r="AP770" t="n">
        <v>0</v>
      </c>
      <c r="AQ770" t="n">
        <v>0</v>
      </c>
      <c r="AR770" t="inlineStr">
        <is>
          <t>No</t>
        </is>
      </c>
      <c r="AS770" t="inlineStr">
        <is>
          <t>Yes</t>
        </is>
      </c>
      <c r="AT770">
        <f>HYPERLINK("http://catalog.hathitrust.org/Record/000690514","HathiTrust Record")</f>
        <v/>
      </c>
      <c r="AU770">
        <f>HYPERLINK("https://creighton-primo.hosted.exlibrisgroup.com/primo-explore/search?tab=default_tab&amp;search_scope=EVERYTHING&amp;vid=01CRU&amp;lang=en_US&amp;offset=0&amp;query=any,contains,991001099789702656","Catalog Record")</f>
        <v/>
      </c>
      <c r="AV770">
        <f>HYPERLINK("http://www.worldcat.org/oclc/4467920","WorldCat Record")</f>
        <v/>
      </c>
      <c r="AW770" t="inlineStr">
        <is>
          <t>14684086:eng</t>
        </is>
      </c>
      <c r="AX770" t="inlineStr">
        <is>
          <t>4467920</t>
        </is>
      </c>
      <c r="AY770" t="inlineStr">
        <is>
          <t>991001099789702656</t>
        </is>
      </c>
      <c r="AZ770" t="inlineStr">
        <is>
          <t>991001099789702656</t>
        </is>
      </c>
      <c r="BA770" t="inlineStr">
        <is>
          <t>2256049340002656</t>
        </is>
      </c>
      <c r="BB770" t="inlineStr">
        <is>
          <t>BOOK</t>
        </is>
      </c>
      <c r="BE770" t="inlineStr">
        <is>
          <t>30001001606567</t>
        </is>
      </c>
      <c r="BF770" t="inlineStr">
        <is>
          <t>893736207</t>
        </is>
      </c>
    </row>
    <row r="771">
      <c r="A771" t="inlineStr">
        <is>
          <t>No</t>
        </is>
      </c>
      <c r="B771" t="inlineStr">
        <is>
          <t>CUHSL</t>
        </is>
      </c>
      <c r="C771" t="inlineStr">
        <is>
          <t>SHELVES</t>
        </is>
      </c>
      <c r="D771" t="inlineStr">
        <is>
          <t>WY 86 V831 1990</t>
        </is>
      </c>
      <c r="E771" t="inlineStr">
        <is>
          <t>0                      WY 0086000V  831         1990</t>
        </is>
      </c>
      <c r="F771" t="inlineStr">
        <is>
          <t>Visions of Rogers' science-based nursing / Elizabeth Ann Manhart Barrett, editor.</t>
        </is>
      </c>
      <c r="H771" t="inlineStr">
        <is>
          <t>No</t>
        </is>
      </c>
      <c r="I771" t="inlineStr">
        <is>
          <t>1</t>
        </is>
      </c>
      <c r="J771" t="inlineStr">
        <is>
          <t>No</t>
        </is>
      </c>
      <c r="K771" t="inlineStr">
        <is>
          <t>No</t>
        </is>
      </c>
      <c r="L771" t="inlineStr">
        <is>
          <t>0</t>
        </is>
      </c>
      <c r="N771" t="inlineStr">
        <is>
          <t>New York : National League for Nursing, c1990.</t>
        </is>
      </c>
      <c r="O771" t="inlineStr">
        <is>
          <t>1990</t>
        </is>
      </c>
      <c r="Q771" t="inlineStr">
        <is>
          <t>eng</t>
        </is>
      </c>
      <c r="R771" t="inlineStr">
        <is>
          <t>nyu</t>
        </is>
      </c>
      <c r="T771" t="inlineStr">
        <is>
          <t xml:space="preserve">WY </t>
        </is>
      </c>
      <c r="U771" t="n">
        <v>29</v>
      </c>
      <c r="V771" t="n">
        <v>29</v>
      </c>
      <c r="W771" t="inlineStr">
        <is>
          <t>2005-09-06</t>
        </is>
      </c>
      <c r="X771" t="inlineStr">
        <is>
          <t>2005-09-06</t>
        </is>
      </c>
      <c r="Y771" t="inlineStr">
        <is>
          <t>1990-01-31</t>
        </is>
      </c>
      <c r="Z771" t="inlineStr">
        <is>
          <t>1990-01-31</t>
        </is>
      </c>
      <c r="AA771" t="n">
        <v>484</v>
      </c>
      <c r="AB771" t="n">
        <v>420</v>
      </c>
      <c r="AC771" t="n">
        <v>427</v>
      </c>
      <c r="AD771" t="n">
        <v>4</v>
      </c>
      <c r="AE771" t="n">
        <v>4</v>
      </c>
      <c r="AF771" t="n">
        <v>25</v>
      </c>
      <c r="AG771" t="n">
        <v>25</v>
      </c>
      <c r="AH771" t="n">
        <v>10</v>
      </c>
      <c r="AI771" t="n">
        <v>10</v>
      </c>
      <c r="AJ771" t="n">
        <v>5</v>
      </c>
      <c r="AK771" t="n">
        <v>5</v>
      </c>
      <c r="AL771" t="n">
        <v>12</v>
      </c>
      <c r="AM771" t="n">
        <v>12</v>
      </c>
      <c r="AN771" t="n">
        <v>2</v>
      </c>
      <c r="AO771" t="n">
        <v>2</v>
      </c>
      <c r="AP771" t="n">
        <v>0</v>
      </c>
      <c r="AQ771" t="n">
        <v>0</v>
      </c>
      <c r="AR771" t="inlineStr">
        <is>
          <t>No</t>
        </is>
      </c>
      <c r="AS771" t="inlineStr">
        <is>
          <t>Yes</t>
        </is>
      </c>
      <c r="AT771">
        <f>HYPERLINK("http://catalog.hathitrust.org/Record/002506779","HathiTrust Record")</f>
        <v/>
      </c>
      <c r="AU771">
        <f>HYPERLINK("https://creighton-primo.hosted.exlibrisgroup.com/primo-explore/search?tab=default_tab&amp;search_scope=EVERYTHING&amp;vid=01CRU&amp;lang=en_US&amp;offset=0&amp;query=any,contains,991001386349702656","Catalog Record")</f>
        <v/>
      </c>
      <c r="AV771">
        <f>HYPERLINK("http://www.worldcat.org/oclc/22008079","WorldCat Record")</f>
        <v/>
      </c>
      <c r="AW771" t="inlineStr">
        <is>
          <t>355360153:eng</t>
        </is>
      </c>
      <c r="AX771" t="inlineStr">
        <is>
          <t>22008079</t>
        </is>
      </c>
      <c r="AY771" t="inlineStr">
        <is>
          <t>991001386349702656</t>
        </is>
      </c>
      <c r="AZ771" t="inlineStr">
        <is>
          <t>991001386349702656</t>
        </is>
      </c>
      <c r="BA771" t="inlineStr">
        <is>
          <t>2259852630002656</t>
        </is>
      </c>
      <c r="BB771" t="inlineStr">
        <is>
          <t>BOOK</t>
        </is>
      </c>
      <c r="BD771" t="inlineStr">
        <is>
          <t>9780887374470</t>
        </is>
      </c>
      <c r="BE771" t="inlineStr">
        <is>
          <t>30001001799842</t>
        </is>
      </c>
      <c r="BF771" t="inlineStr">
        <is>
          <t>893374492</t>
        </is>
      </c>
    </row>
    <row r="772">
      <c r="A772" t="inlineStr">
        <is>
          <t>No</t>
        </is>
      </c>
      <c r="B772" t="inlineStr">
        <is>
          <t>CUHSL</t>
        </is>
      </c>
      <c r="C772" t="inlineStr">
        <is>
          <t>SHELVES</t>
        </is>
      </c>
      <c r="D772" t="inlineStr">
        <is>
          <t>WY 86 W181s 1988</t>
        </is>
      </c>
      <c r="E772" t="inlineStr">
        <is>
          <t>0                      WY 0086000W  181s        1988</t>
        </is>
      </c>
      <c r="F772" t="inlineStr">
        <is>
          <t>Strategies for theory construction in nursing / Lorraine Olszewski Walker, Kay Coalson Avant.</t>
        </is>
      </c>
      <c r="H772" t="inlineStr">
        <is>
          <t>No</t>
        </is>
      </c>
      <c r="I772" t="inlineStr">
        <is>
          <t>1</t>
        </is>
      </c>
      <c r="J772" t="inlineStr">
        <is>
          <t>No</t>
        </is>
      </c>
      <c r="K772" t="inlineStr">
        <is>
          <t>Yes</t>
        </is>
      </c>
      <c r="L772" t="inlineStr">
        <is>
          <t>0</t>
        </is>
      </c>
      <c r="M772" t="inlineStr">
        <is>
          <t>Walker, Lorraine Olszewski.</t>
        </is>
      </c>
      <c r="N772" t="inlineStr">
        <is>
          <t>Norwalk, Conn. : Appleton &amp; Lange, c1988.</t>
        </is>
      </c>
      <c r="O772" t="inlineStr">
        <is>
          <t>1988</t>
        </is>
      </c>
      <c r="P772" t="inlineStr">
        <is>
          <t>2nd ed.</t>
        </is>
      </c>
      <c r="Q772" t="inlineStr">
        <is>
          <t>eng</t>
        </is>
      </c>
      <c r="R772" t="inlineStr">
        <is>
          <t>xxu</t>
        </is>
      </c>
      <c r="T772" t="inlineStr">
        <is>
          <t xml:space="preserve">WY </t>
        </is>
      </c>
      <c r="U772" t="n">
        <v>26</v>
      </c>
      <c r="V772" t="n">
        <v>26</v>
      </c>
      <c r="W772" t="inlineStr">
        <is>
          <t>2008-11-14</t>
        </is>
      </c>
      <c r="X772" t="inlineStr">
        <is>
          <t>2008-11-14</t>
        </is>
      </c>
      <c r="Y772" t="inlineStr">
        <is>
          <t>1988-08-22</t>
        </is>
      </c>
      <c r="Z772" t="inlineStr">
        <is>
          <t>1988-08-22</t>
        </is>
      </c>
      <c r="AA772" t="n">
        <v>249</v>
      </c>
      <c r="AB772" t="n">
        <v>181</v>
      </c>
      <c r="AC772" t="n">
        <v>608</v>
      </c>
      <c r="AD772" t="n">
        <v>2</v>
      </c>
      <c r="AE772" t="n">
        <v>6</v>
      </c>
      <c r="AF772" t="n">
        <v>7</v>
      </c>
      <c r="AG772" t="n">
        <v>32</v>
      </c>
      <c r="AH772" t="n">
        <v>2</v>
      </c>
      <c r="AI772" t="n">
        <v>12</v>
      </c>
      <c r="AJ772" t="n">
        <v>1</v>
      </c>
      <c r="AK772" t="n">
        <v>6</v>
      </c>
      <c r="AL772" t="n">
        <v>3</v>
      </c>
      <c r="AM772" t="n">
        <v>15</v>
      </c>
      <c r="AN772" t="n">
        <v>1</v>
      </c>
      <c r="AO772" t="n">
        <v>5</v>
      </c>
      <c r="AP772" t="n">
        <v>0</v>
      </c>
      <c r="AQ772" t="n">
        <v>0</v>
      </c>
      <c r="AR772" t="inlineStr">
        <is>
          <t>No</t>
        </is>
      </c>
      <c r="AS772" t="inlineStr">
        <is>
          <t>No</t>
        </is>
      </c>
      <c r="AU772">
        <f>HYPERLINK("https://creighton-primo.hosted.exlibrisgroup.com/primo-explore/search?tab=default_tab&amp;search_scope=EVERYTHING&amp;vid=01CRU&amp;lang=en_US&amp;offset=0&amp;query=any,contains,991001422719702656","Catalog Record")</f>
        <v/>
      </c>
      <c r="AV772">
        <f>HYPERLINK("http://www.worldcat.org/oclc/18259747","WorldCat Record")</f>
        <v/>
      </c>
      <c r="AW772" t="inlineStr">
        <is>
          <t>13895835:eng</t>
        </is>
      </c>
      <c r="AX772" t="inlineStr">
        <is>
          <t>18259747</t>
        </is>
      </c>
      <c r="AY772" t="inlineStr">
        <is>
          <t>991001422719702656</t>
        </is>
      </c>
      <c r="AZ772" t="inlineStr">
        <is>
          <t>991001422719702656</t>
        </is>
      </c>
      <c r="BA772" t="inlineStr">
        <is>
          <t>2263270780002656</t>
        </is>
      </c>
      <c r="BB772" t="inlineStr">
        <is>
          <t>BOOK</t>
        </is>
      </c>
      <c r="BD772" t="inlineStr">
        <is>
          <t>9780838586808</t>
        </is>
      </c>
      <c r="BE772" t="inlineStr">
        <is>
          <t>30001001182874</t>
        </is>
      </c>
      <c r="BF772" t="inlineStr">
        <is>
          <t>893369381</t>
        </is>
      </c>
    </row>
    <row r="773">
      <c r="A773" t="inlineStr">
        <is>
          <t>No</t>
        </is>
      </c>
      <c r="B773" t="inlineStr">
        <is>
          <t>CUHSL</t>
        </is>
      </c>
      <c r="C773" t="inlineStr">
        <is>
          <t>SHELVES</t>
        </is>
      </c>
      <c r="D773" t="inlineStr">
        <is>
          <t>WY 86 W181s 1995</t>
        </is>
      </c>
      <c r="E773" t="inlineStr">
        <is>
          <t>0                      WY 0086000W  181s        1995</t>
        </is>
      </c>
      <c r="F773" t="inlineStr">
        <is>
          <t>Strategies for theory construction in nursing / Lorraine Olszewski Walker, Kay Coalson Avant.</t>
        </is>
      </c>
      <c r="H773" t="inlineStr">
        <is>
          <t>No</t>
        </is>
      </c>
      <c r="I773" t="inlineStr">
        <is>
          <t>1</t>
        </is>
      </c>
      <c r="J773" t="inlineStr">
        <is>
          <t>No</t>
        </is>
      </c>
      <c r="K773" t="inlineStr">
        <is>
          <t>Yes</t>
        </is>
      </c>
      <c r="L773" t="inlineStr">
        <is>
          <t>0</t>
        </is>
      </c>
      <c r="M773" t="inlineStr">
        <is>
          <t>Walker, Lorraine Olszewski.</t>
        </is>
      </c>
      <c r="N773" t="inlineStr">
        <is>
          <t>Norwalk, CT : Appleton &amp; Lange, c1995.</t>
        </is>
      </c>
      <c r="O773" t="inlineStr">
        <is>
          <t>1995</t>
        </is>
      </c>
      <c r="P773" t="inlineStr">
        <is>
          <t>3rd ed.</t>
        </is>
      </c>
      <c r="Q773" t="inlineStr">
        <is>
          <t>eng</t>
        </is>
      </c>
      <c r="R773" t="inlineStr">
        <is>
          <t>ctu</t>
        </is>
      </c>
      <c r="T773" t="inlineStr">
        <is>
          <t xml:space="preserve">WY </t>
        </is>
      </c>
      <c r="U773" t="n">
        <v>50</v>
      </c>
      <c r="V773" t="n">
        <v>50</v>
      </c>
      <c r="W773" t="inlineStr">
        <is>
          <t>2000-11-21</t>
        </is>
      </c>
      <c r="X773" t="inlineStr">
        <is>
          <t>2000-11-21</t>
        </is>
      </c>
      <c r="Y773" t="inlineStr">
        <is>
          <t>1995-02-15</t>
        </is>
      </c>
      <c r="Z773" t="inlineStr">
        <is>
          <t>1995-02-15</t>
        </is>
      </c>
      <c r="AA773" t="n">
        <v>349</v>
      </c>
      <c r="AB773" t="n">
        <v>250</v>
      </c>
      <c r="AC773" t="n">
        <v>608</v>
      </c>
      <c r="AD773" t="n">
        <v>1</v>
      </c>
      <c r="AE773" t="n">
        <v>6</v>
      </c>
      <c r="AF773" t="n">
        <v>14</v>
      </c>
      <c r="AG773" t="n">
        <v>32</v>
      </c>
      <c r="AH773" t="n">
        <v>6</v>
      </c>
      <c r="AI773" t="n">
        <v>12</v>
      </c>
      <c r="AJ773" t="n">
        <v>2</v>
      </c>
      <c r="AK773" t="n">
        <v>6</v>
      </c>
      <c r="AL773" t="n">
        <v>10</v>
      </c>
      <c r="AM773" t="n">
        <v>15</v>
      </c>
      <c r="AN773" t="n">
        <v>0</v>
      </c>
      <c r="AO773" t="n">
        <v>5</v>
      </c>
      <c r="AP773" t="n">
        <v>0</v>
      </c>
      <c r="AQ773" t="n">
        <v>0</v>
      </c>
      <c r="AR773" t="inlineStr">
        <is>
          <t>No</t>
        </is>
      </c>
      <c r="AS773" t="inlineStr">
        <is>
          <t>Yes</t>
        </is>
      </c>
      <c r="AT773">
        <f>HYPERLINK("http://catalog.hathitrust.org/Record/004572256","HathiTrust Record")</f>
        <v/>
      </c>
      <c r="AU773">
        <f>HYPERLINK("https://creighton-primo.hosted.exlibrisgroup.com/primo-explore/search?tab=default_tab&amp;search_scope=EVERYTHING&amp;vid=01CRU&amp;lang=en_US&amp;offset=0&amp;query=any,contains,991000688879702656","Catalog Record")</f>
        <v/>
      </c>
      <c r="AV773">
        <f>HYPERLINK("http://www.worldcat.org/oclc/30033685","WorldCat Record")</f>
        <v/>
      </c>
      <c r="AW773" t="inlineStr">
        <is>
          <t>13895835:eng</t>
        </is>
      </c>
      <c r="AX773" t="inlineStr">
        <is>
          <t>30033685</t>
        </is>
      </c>
      <c r="AY773" t="inlineStr">
        <is>
          <t>991000688879702656</t>
        </is>
      </c>
      <c r="AZ773" t="inlineStr">
        <is>
          <t>991000688879702656</t>
        </is>
      </c>
      <c r="BA773" t="inlineStr">
        <is>
          <t>2272208910002656</t>
        </is>
      </c>
      <c r="BB773" t="inlineStr">
        <is>
          <t>BOOK</t>
        </is>
      </c>
      <c r="BD773" t="inlineStr">
        <is>
          <t>9780838586884</t>
        </is>
      </c>
      <c r="BE773" t="inlineStr">
        <is>
          <t>30001002699736</t>
        </is>
      </c>
      <c r="BF773" t="inlineStr">
        <is>
          <t>893267147</t>
        </is>
      </c>
    </row>
    <row r="774">
      <c r="A774" t="inlineStr">
        <is>
          <t>No</t>
        </is>
      </c>
      <c r="B774" t="inlineStr">
        <is>
          <t>CUHSL</t>
        </is>
      </c>
      <c r="C774" t="inlineStr">
        <is>
          <t>SHELVES</t>
        </is>
      </c>
      <c r="D774" t="inlineStr">
        <is>
          <t>WY86 W181s 2005</t>
        </is>
      </c>
      <c r="E774" t="inlineStr">
        <is>
          <t>0                      WY 0086000W  181s        2005</t>
        </is>
      </c>
      <c r="F774" t="inlineStr">
        <is>
          <t>Strategies for theory construction in nursing / Lorraine Olszewski Walker, Kay Coalson Avant.</t>
        </is>
      </c>
      <c r="H774" t="inlineStr">
        <is>
          <t>No</t>
        </is>
      </c>
      <c r="I774" t="inlineStr">
        <is>
          <t>1</t>
        </is>
      </c>
      <c r="J774" t="inlineStr">
        <is>
          <t>No</t>
        </is>
      </c>
      <c r="K774" t="inlineStr">
        <is>
          <t>Yes</t>
        </is>
      </c>
      <c r="L774" t="inlineStr">
        <is>
          <t>0</t>
        </is>
      </c>
      <c r="M774" t="inlineStr">
        <is>
          <t>Walker, Lorraine Olszewski.</t>
        </is>
      </c>
      <c r="N774" t="inlineStr">
        <is>
          <t>Upper Saddle River, N.J. : Pearson/Prentice Hall, c2005.</t>
        </is>
      </c>
      <c r="O774" t="inlineStr">
        <is>
          <t>2005</t>
        </is>
      </c>
      <c r="P774" t="inlineStr">
        <is>
          <t>4th ed.</t>
        </is>
      </c>
      <c r="Q774" t="inlineStr">
        <is>
          <t>eng</t>
        </is>
      </c>
      <c r="R774" t="inlineStr">
        <is>
          <t>nju</t>
        </is>
      </c>
      <c r="T774" t="inlineStr">
        <is>
          <t xml:space="preserve">WY </t>
        </is>
      </c>
      <c r="U774" t="n">
        <v>3</v>
      </c>
      <c r="V774" t="n">
        <v>3</v>
      </c>
      <c r="W774" t="inlineStr">
        <is>
          <t>2007-08-27</t>
        </is>
      </c>
      <c r="X774" t="inlineStr">
        <is>
          <t>2007-08-27</t>
        </is>
      </c>
      <c r="Y774" t="inlineStr">
        <is>
          <t>2006-12-01</t>
        </is>
      </c>
      <c r="Z774" t="inlineStr">
        <is>
          <t>2006-12-01</t>
        </is>
      </c>
      <c r="AA774" t="n">
        <v>345</v>
      </c>
      <c r="AB774" t="n">
        <v>244</v>
      </c>
      <c r="AC774" t="n">
        <v>608</v>
      </c>
      <c r="AD774" t="n">
        <v>4</v>
      </c>
      <c r="AE774" t="n">
        <v>6</v>
      </c>
      <c r="AF774" t="n">
        <v>13</v>
      </c>
      <c r="AG774" t="n">
        <v>32</v>
      </c>
      <c r="AH774" t="n">
        <v>5</v>
      </c>
      <c r="AI774" t="n">
        <v>12</v>
      </c>
      <c r="AJ774" t="n">
        <v>0</v>
      </c>
      <c r="AK774" t="n">
        <v>6</v>
      </c>
      <c r="AL774" t="n">
        <v>7</v>
      </c>
      <c r="AM774" t="n">
        <v>15</v>
      </c>
      <c r="AN774" t="n">
        <v>3</v>
      </c>
      <c r="AO774" t="n">
        <v>5</v>
      </c>
      <c r="AP774" t="n">
        <v>0</v>
      </c>
      <c r="AQ774" t="n">
        <v>0</v>
      </c>
      <c r="AR774" t="inlineStr">
        <is>
          <t>No</t>
        </is>
      </c>
      <c r="AS774" t="inlineStr">
        <is>
          <t>Yes</t>
        </is>
      </c>
      <c r="AT774">
        <f>HYPERLINK("http://catalog.hathitrust.org/Record/004762184","HathiTrust Record")</f>
        <v/>
      </c>
      <c r="AU774">
        <f>HYPERLINK("https://creighton-primo.hosted.exlibrisgroup.com/primo-explore/search?tab=default_tab&amp;search_scope=EVERYTHING&amp;vid=01CRU&amp;lang=en_US&amp;offset=0&amp;query=any,contains,991001746279702656","Catalog Record")</f>
        <v/>
      </c>
      <c r="AV774">
        <f>HYPERLINK("http://www.worldcat.org/oclc/54914123","WorldCat Record")</f>
        <v/>
      </c>
      <c r="AW774" t="inlineStr">
        <is>
          <t>13895835:eng</t>
        </is>
      </c>
      <c r="AX774" t="inlineStr">
        <is>
          <t>54914123</t>
        </is>
      </c>
      <c r="AY774" t="inlineStr">
        <is>
          <t>991001746279702656</t>
        </is>
      </c>
      <c r="AZ774" t="inlineStr">
        <is>
          <t>991001746279702656</t>
        </is>
      </c>
      <c r="BA774" t="inlineStr">
        <is>
          <t>2271773450002656</t>
        </is>
      </c>
      <c r="BB774" t="inlineStr">
        <is>
          <t>BOOK</t>
        </is>
      </c>
      <c r="BD774" t="inlineStr">
        <is>
          <t>9780131191266</t>
        </is>
      </c>
      <c r="BE774" t="inlineStr">
        <is>
          <t>30001005192747</t>
        </is>
      </c>
      <c r="BF774" t="inlineStr">
        <is>
          <t>893375082</t>
        </is>
      </c>
    </row>
    <row r="775">
      <c r="A775" t="inlineStr">
        <is>
          <t>No</t>
        </is>
      </c>
      <c r="B775" t="inlineStr">
        <is>
          <t>CUHSL</t>
        </is>
      </c>
      <c r="C775" t="inlineStr">
        <is>
          <t>SHELVES</t>
        </is>
      </c>
      <c r="D775" t="inlineStr">
        <is>
          <t>WY 86 W37a 1981</t>
        </is>
      </c>
      <c r="E775" t="inlineStr">
        <is>
          <t>0                      WY 0086000W  37a         1981</t>
        </is>
      </c>
      <c r="F775" t="inlineStr">
        <is>
          <t>Assessment and documentation : nursing theories in action / Annita B. Watson, Marlene G. Mayers.</t>
        </is>
      </c>
      <c r="H775" t="inlineStr">
        <is>
          <t>No</t>
        </is>
      </c>
      <c r="I775" t="inlineStr">
        <is>
          <t>1</t>
        </is>
      </c>
      <c r="J775" t="inlineStr">
        <is>
          <t>No</t>
        </is>
      </c>
      <c r="K775" t="inlineStr">
        <is>
          <t>No</t>
        </is>
      </c>
      <c r="L775" t="inlineStr">
        <is>
          <t>0</t>
        </is>
      </c>
      <c r="M775" t="inlineStr">
        <is>
          <t>Watson, Annita B., 1937-</t>
        </is>
      </c>
      <c r="N775" t="inlineStr">
        <is>
          <t>Thorofare, N.J. : C.B. Slack, c1981.</t>
        </is>
      </c>
      <c r="O775" t="inlineStr">
        <is>
          <t>1981</t>
        </is>
      </c>
      <c r="Q775" t="inlineStr">
        <is>
          <t>eng</t>
        </is>
      </c>
      <c r="R775" t="inlineStr">
        <is>
          <t>nju</t>
        </is>
      </c>
      <c r="T775" t="inlineStr">
        <is>
          <t xml:space="preserve">WY </t>
        </is>
      </c>
      <c r="U775" t="n">
        <v>4</v>
      </c>
      <c r="V775" t="n">
        <v>4</v>
      </c>
      <c r="W775" t="inlineStr">
        <is>
          <t>1994-09-09</t>
        </is>
      </c>
      <c r="X775" t="inlineStr">
        <is>
          <t>1994-09-09</t>
        </is>
      </c>
      <c r="Y775" t="inlineStr">
        <is>
          <t>1987-12-29</t>
        </is>
      </c>
      <c r="Z775" t="inlineStr">
        <is>
          <t>1987-12-29</t>
        </is>
      </c>
      <c r="AA775" t="n">
        <v>177</v>
      </c>
      <c r="AB775" t="n">
        <v>148</v>
      </c>
      <c r="AC775" t="n">
        <v>150</v>
      </c>
      <c r="AD775" t="n">
        <v>2</v>
      </c>
      <c r="AE775" t="n">
        <v>2</v>
      </c>
      <c r="AF775" t="n">
        <v>2</v>
      </c>
      <c r="AG775" t="n">
        <v>2</v>
      </c>
      <c r="AH775" t="n">
        <v>0</v>
      </c>
      <c r="AI775" t="n">
        <v>0</v>
      </c>
      <c r="AJ775" t="n">
        <v>0</v>
      </c>
      <c r="AK775" t="n">
        <v>0</v>
      </c>
      <c r="AL775" t="n">
        <v>1</v>
      </c>
      <c r="AM775" t="n">
        <v>1</v>
      </c>
      <c r="AN775" t="n">
        <v>1</v>
      </c>
      <c r="AO775" t="n">
        <v>1</v>
      </c>
      <c r="AP775" t="n">
        <v>0</v>
      </c>
      <c r="AQ775" t="n">
        <v>0</v>
      </c>
      <c r="AR775" t="inlineStr">
        <is>
          <t>No</t>
        </is>
      </c>
      <c r="AS775" t="inlineStr">
        <is>
          <t>Yes</t>
        </is>
      </c>
      <c r="AT775">
        <f>HYPERLINK("http://catalog.hathitrust.org/Record/000231605","HathiTrust Record")</f>
        <v/>
      </c>
      <c r="AU775">
        <f>HYPERLINK("https://creighton-primo.hosted.exlibrisgroup.com/primo-explore/search?tab=default_tab&amp;search_scope=EVERYTHING&amp;vid=01CRU&amp;lang=en_US&amp;offset=0&amp;query=any,contains,991001131259702656","Catalog Record")</f>
        <v/>
      </c>
      <c r="AV775">
        <f>HYPERLINK("http://www.worldcat.org/oclc/7773121","WorldCat Record")</f>
        <v/>
      </c>
      <c r="AW775" t="inlineStr">
        <is>
          <t>558418:eng</t>
        </is>
      </c>
      <c r="AX775" t="inlineStr">
        <is>
          <t>7773121</t>
        </is>
      </c>
      <c r="AY775" t="inlineStr">
        <is>
          <t>991001131259702656</t>
        </is>
      </c>
      <c r="AZ775" t="inlineStr">
        <is>
          <t>991001131259702656</t>
        </is>
      </c>
      <c r="BA775" t="inlineStr">
        <is>
          <t>2269203900002656</t>
        </is>
      </c>
      <c r="BB775" t="inlineStr">
        <is>
          <t>BOOK</t>
        </is>
      </c>
      <c r="BD775" t="inlineStr">
        <is>
          <t>9780913590720</t>
        </is>
      </c>
      <c r="BE775" t="inlineStr">
        <is>
          <t>30001000285132</t>
        </is>
      </c>
      <c r="BF775" t="inlineStr">
        <is>
          <t>893731685</t>
        </is>
      </c>
    </row>
    <row r="776">
      <c r="A776" t="inlineStr">
        <is>
          <t>No</t>
        </is>
      </c>
      <c r="B776" t="inlineStr">
        <is>
          <t>CUHSL</t>
        </is>
      </c>
      <c r="C776" t="inlineStr">
        <is>
          <t>SHELVES</t>
        </is>
      </c>
      <c r="D776" t="inlineStr">
        <is>
          <t>WY 86.5 M174n 2001</t>
        </is>
      </c>
      <c r="E776" t="inlineStr">
        <is>
          <t>0                      WY 0086500M  174n        2001</t>
        </is>
      </c>
      <c r="F776" t="inlineStr">
        <is>
          <t>Nursing as a spiritual practice : a contemporary application of Florence Nightingale's views / Janet A. Macrae.</t>
        </is>
      </c>
      <c r="H776" t="inlineStr">
        <is>
          <t>No</t>
        </is>
      </c>
      <c r="I776" t="inlineStr">
        <is>
          <t>1</t>
        </is>
      </c>
      <c r="J776" t="inlineStr">
        <is>
          <t>No</t>
        </is>
      </c>
      <c r="K776" t="inlineStr">
        <is>
          <t>No</t>
        </is>
      </c>
      <c r="L776" t="inlineStr">
        <is>
          <t>1</t>
        </is>
      </c>
      <c r="M776" t="inlineStr">
        <is>
          <t>Macrae, Janet, 1947-</t>
        </is>
      </c>
      <c r="N776" t="inlineStr">
        <is>
          <t>New York : Springer Pub., c2001.</t>
        </is>
      </c>
      <c r="O776" t="inlineStr">
        <is>
          <t>2001</t>
        </is>
      </c>
      <c r="Q776" t="inlineStr">
        <is>
          <t>eng</t>
        </is>
      </c>
      <c r="R776" t="inlineStr">
        <is>
          <t>nyu</t>
        </is>
      </c>
      <c r="T776" t="inlineStr">
        <is>
          <t xml:space="preserve">WY </t>
        </is>
      </c>
      <c r="U776" t="n">
        <v>1</v>
      </c>
      <c r="V776" t="n">
        <v>1</v>
      </c>
      <c r="W776" t="inlineStr">
        <is>
          <t>2004-09-02</t>
        </is>
      </c>
      <c r="X776" t="inlineStr">
        <is>
          <t>2004-09-02</t>
        </is>
      </c>
      <c r="Y776" t="inlineStr">
        <is>
          <t>2004-09-02</t>
        </is>
      </c>
      <c r="Z776" t="inlineStr">
        <is>
          <t>2004-09-02</t>
        </is>
      </c>
      <c r="AA776" t="n">
        <v>545</v>
      </c>
      <c r="AB776" t="n">
        <v>481</v>
      </c>
      <c r="AC776" t="n">
        <v>1393</v>
      </c>
      <c r="AD776" t="n">
        <v>3</v>
      </c>
      <c r="AE776" t="n">
        <v>16</v>
      </c>
      <c r="AF776" t="n">
        <v>26</v>
      </c>
      <c r="AG776" t="n">
        <v>56</v>
      </c>
      <c r="AH776" t="n">
        <v>10</v>
      </c>
      <c r="AI776" t="n">
        <v>20</v>
      </c>
      <c r="AJ776" t="n">
        <v>7</v>
      </c>
      <c r="AK776" t="n">
        <v>11</v>
      </c>
      <c r="AL776" t="n">
        <v>14</v>
      </c>
      <c r="AM776" t="n">
        <v>20</v>
      </c>
      <c r="AN776" t="n">
        <v>1</v>
      </c>
      <c r="AO776" t="n">
        <v>13</v>
      </c>
      <c r="AP776" t="n">
        <v>0</v>
      </c>
      <c r="AQ776" t="n">
        <v>2</v>
      </c>
      <c r="AR776" t="inlineStr">
        <is>
          <t>No</t>
        </is>
      </c>
      <c r="AS776" t="inlineStr">
        <is>
          <t>Yes</t>
        </is>
      </c>
      <c r="AT776">
        <f>HYPERLINK("http://catalog.hathitrust.org/Record/004175498","HathiTrust Record")</f>
        <v/>
      </c>
      <c r="AU776">
        <f>HYPERLINK("https://creighton-primo.hosted.exlibrisgroup.com/primo-explore/search?tab=default_tab&amp;search_scope=EVERYTHING&amp;vid=01CRU&amp;lang=en_US&amp;offset=0&amp;query=any,contains,991000382079702656","Catalog Record")</f>
        <v/>
      </c>
      <c r="AV776">
        <f>HYPERLINK("http://www.worldcat.org/oclc/44841627","WorldCat Record")</f>
        <v/>
      </c>
      <c r="AW776" t="inlineStr">
        <is>
          <t>803212485:eng</t>
        </is>
      </c>
      <c r="AX776" t="inlineStr">
        <is>
          <t>44841627</t>
        </is>
      </c>
      <c r="AY776" t="inlineStr">
        <is>
          <t>991000382079702656</t>
        </is>
      </c>
      <c r="AZ776" t="inlineStr">
        <is>
          <t>991000382079702656</t>
        </is>
      </c>
      <c r="BA776" t="inlineStr">
        <is>
          <t>2265421150002656</t>
        </is>
      </c>
      <c r="BB776" t="inlineStr">
        <is>
          <t>BOOK</t>
        </is>
      </c>
      <c r="BD776" t="inlineStr">
        <is>
          <t>9780826113870</t>
        </is>
      </c>
      <c r="BE776" t="inlineStr">
        <is>
          <t>30001004840643</t>
        </is>
      </c>
      <c r="BF776" t="inlineStr">
        <is>
          <t>893264200</t>
        </is>
      </c>
    </row>
    <row r="777">
      <c r="A777" t="inlineStr">
        <is>
          <t>No</t>
        </is>
      </c>
      <c r="B777" t="inlineStr">
        <is>
          <t>CUHSL</t>
        </is>
      </c>
      <c r="C777" t="inlineStr">
        <is>
          <t>SHELVES</t>
        </is>
      </c>
      <c r="D777" t="inlineStr">
        <is>
          <t>WY 87 A581d 1983</t>
        </is>
      </c>
      <c r="E777" t="inlineStr">
        <is>
          <t>0                      WY 0087000A  581d        1983</t>
        </is>
      </c>
      <c r="F777" t="inlineStr">
        <is>
          <t>Developing the new assertive nurse : essentials for advancement / Gerry Angel, Diane Knox Petronko.</t>
        </is>
      </c>
      <c r="H777" t="inlineStr">
        <is>
          <t>No</t>
        </is>
      </c>
      <c r="I777" t="inlineStr">
        <is>
          <t>1</t>
        </is>
      </c>
      <c r="J777" t="inlineStr">
        <is>
          <t>No</t>
        </is>
      </c>
      <c r="K777" t="inlineStr">
        <is>
          <t>No</t>
        </is>
      </c>
      <c r="L777" t="inlineStr">
        <is>
          <t>0</t>
        </is>
      </c>
      <c r="M777" t="inlineStr">
        <is>
          <t>Angel, Gerry.</t>
        </is>
      </c>
      <c r="N777" t="inlineStr">
        <is>
          <t>New York : Springer Pub. Co., c1983.</t>
        </is>
      </c>
      <c r="O777" t="inlineStr">
        <is>
          <t>1983</t>
        </is>
      </c>
      <c r="Q777" t="inlineStr">
        <is>
          <t>eng</t>
        </is>
      </c>
      <c r="R777" t="inlineStr">
        <is>
          <t>xxu</t>
        </is>
      </c>
      <c r="T777" t="inlineStr">
        <is>
          <t xml:space="preserve">WY </t>
        </is>
      </c>
      <c r="U777" t="n">
        <v>5</v>
      </c>
      <c r="V777" t="n">
        <v>5</v>
      </c>
      <c r="W777" t="inlineStr">
        <is>
          <t>1990-10-01</t>
        </is>
      </c>
      <c r="X777" t="inlineStr">
        <is>
          <t>1990-10-01</t>
        </is>
      </c>
      <c r="Y777" t="inlineStr">
        <is>
          <t>1987-12-29</t>
        </is>
      </c>
      <c r="Z777" t="inlineStr">
        <is>
          <t>1987-12-29</t>
        </is>
      </c>
      <c r="AA777" t="n">
        <v>252</v>
      </c>
      <c r="AB777" t="n">
        <v>215</v>
      </c>
      <c r="AC777" t="n">
        <v>217</v>
      </c>
      <c r="AD777" t="n">
        <v>1</v>
      </c>
      <c r="AE777" t="n">
        <v>1</v>
      </c>
      <c r="AF777" t="n">
        <v>6</v>
      </c>
      <c r="AG777" t="n">
        <v>6</v>
      </c>
      <c r="AH777" t="n">
        <v>4</v>
      </c>
      <c r="AI777" t="n">
        <v>4</v>
      </c>
      <c r="AJ777" t="n">
        <v>0</v>
      </c>
      <c r="AK777" t="n">
        <v>0</v>
      </c>
      <c r="AL777" t="n">
        <v>5</v>
      </c>
      <c r="AM777" t="n">
        <v>5</v>
      </c>
      <c r="AN777" t="n">
        <v>0</v>
      </c>
      <c r="AO777" t="n">
        <v>0</v>
      </c>
      <c r="AP777" t="n">
        <v>0</v>
      </c>
      <c r="AQ777" t="n">
        <v>0</v>
      </c>
      <c r="AR777" t="inlineStr">
        <is>
          <t>No</t>
        </is>
      </c>
      <c r="AS777" t="inlineStr">
        <is>
          <t>Yes</t>
        </is>
      </c>
      <c r="AT777">
        <f>HYPERLINK("http://catalog.hathitrust.org/Record/000161353","HathiTrust Record")</f>
        <v/>
      </c>
      <c r="AU777">
        <f>HYPERLINK("https://creighton-primo.hosted.exlibrisgroup.com/primo-explore/search?tab=default_tab&amp;search_scope=EVERYTHING&amp;vid=01CRU&amp;lang=en_US&amp;offset=0&amp;query=any,contains,991001131309702656","Catalog Record")</f>
        <v/>
      </c>
      <c r="AV777">
        <f>HYPERLINK("http://www.worldcat.org/oclc/9350574","WorldCat Record")</f>
        <v/>
      </c>
      <c r="AW777" t="inlineStr">
        <is>
          <t>307785715:eng</t>
        </is>
      </c>
      <c r="AX777" t="inlineStr">
        <is>
          <t>9350574</t>
        </is>
      </c>
      <c r="AY777" t="inlineStr">
        <is>
          <t>991001131309702656</t>
        </is>
      </c>
      <c r="AZ777" t="inlineStr">
        <is>
          <t>991001131309702656</t>
        </is>
      </c>
      <c r="BA777" t="inlineStr">
        <is>
          <t>2263540060002656</t>
        </is>
      </c>
      <c r="BB777" t="inlineStr">
        <is>
          <t>BOOK</t>
        </is>
      </c>
      <c r="BD777" t="inlineStr">
        <is>
          <t>9780826135117</t>
        </is>
      </c>
      <c r="BE777" t="inlineStr">
        <is>
          <t>30001000285140</t>
        </is>
      </c>
      <c r="BF777" t="inlineStr">
        <is>
          <t>893632745</t>
        </is>
      </c>
    </row>
    <row r="778">
      <c r="A778" t="inlineStr">
        <is>
          <t>No</t>
        </is>
      </c>
      <c r="B778" t="inlineStr">
        <is>
          <t>CUHSL</t>
        </is>
      </c>
      <c r="C778" t="inlineStr">
        <is>
          <t>SHELVES</t>
        </is>
      </c>
      <c r="D778" t="inlineStr">
        <is>
          <t>WY 87 A753 1999</t>
        </is>
      </c>
      <c r="E778" t="inlineStr">
        <is>
          <t>0                      WY 0087000A  753         1999</t>
        </is>
      </c>
      <c r="F778" t="inlineStr">
        <is>
          <t>Interpersonal relationships : professional communication skills for nurses / Elizabeth Arnold, Kathleen Underman Boggs.</t>
        </is>
      </c>
      <c r="H778" t="inlineStr">
        <is>
          <t>No</t>
        </is>
      </c>
      <c r="I778" t="inlineStr">
        <is>
          <t>1</t>
        </is>
      </c>
      <c r="J778" t="inlineStr">
        <is>
          <t>No</t>
        </is>
      </c>
      <c r="K778" t="inlineStr">
        <is>
          <t>Yes</t>
        </is>
      </c>
      <c r="L778" t="inlineStr">
        <is>
          <t>0</t>
        </is>
      </c>
      <c r="M778" t="inlineStr">
        <is>
          <t>Arnold, Elizabeth.</t>
        </is>
      </c>
      <c r="N778" t="inlineStr">
        <is>
          <t>Philadelphia : W.B. Saunders, c1999.</t>
        </is>
      </c>
      <c r="O778" t="inlineStr">
        <is>
          <t>1999</t>
        </is>
      </c>
      <c r="P778" t="inlineStr">
        <is>
          <t>3rd ed.</t>
        </is>
      </c>
      <c r="Q778" t="inlineStr">
        <is>
          <t>eng</t>
        </is>
      </c>
      <c r="R778" t="inlineStr">
        <is>
          <t>pau</t>
        </is>
      </c>
      <c r="T778" t="inlineStr">
        <is>
          <t xml:space="preserve">WY </t>
        </is>
      </c>
      <c r="U778" t="n">
        <v>4</v>
      </c>
      <c r="V778" t="n">
        <v>4</v>
      </c>
      <c r="W778" t="inlineStr">
        <is>
          <t>2000-12-06</t>
        </is>
      </c>
      <c r="X778" t="inlineStr">
        <is>
          <t>2000-12-06</t>
        </is>
      </c>
      <c r="Y778" t="inlineStr">
        <is>
          <t>1999-03-23</t>
        </is>
      </c>
      <c r="Z778" t="inlineStr">
        <is>
          <t>1999-03-23</t>
        </is>
      </c>
      <c r="AA778" t="n">
        <v>394</v>
      </c>
      <c r="AB778" t="n">
        <v>295</v>
      </c>
      <c r="AC778" t="n">
        <v>1188</v>
      </c>
      <c r="AD778" t="n">
        <v>1</v>
      </c>
      <c r="AE778" t="n">
        <v>8</v>
      </c>
      <c r="AF778" t="n">
        <v>10</v>
      </c>
      <c r="AG778" t="n">
        <v>36</v>
      </c>
      <c r="AH778" t="n">
        <v>4</v>
      </c>
      <c r="AI778" t="n">
        <v>14</v>
      </c>
      <c r="AJ778" t="n">
        <v>2</v>
      </c>
      <c r="AK778" t="n">
        <v>6</v>
      </c>
      <c r="AL778" t="n">
        <v>5</v>
      </c>
      <c r="AM778" t="n">
        <v>16</v>
      </c>
      <c r="AN778" t="n">
        <v>0</v>
      </c>
      <c r="AO778" t="n">
        <v>6</v>
      </c>
      <c r="AP778" t="n">
        <v>0</v>
      </c>
      <c r="AQ778" t="n">
        <v>0</v>
      </c>
      <c r="AR778" t="inlineStr">
        <is>
          <t>No</t>
        </is>
      </c>
      <c r="AS778" t="inlineStr">
        <is>
          <t>Yes</t>
        </is>
      </c>
      <c r="AT778">
        <f>HYPERLINK("http://catalog.hathitrust.org/Record/004020009","HathiTrust Record")</f>
        <v/>
      </c>
      <c r="AU778">
        <f>HYPERLINK("https://creighton-primo.hosted.exlibrisgroup.com/primo-explore/search?tab=default_tab&amp;search_scope=EVERYTHING&amp;vid=01CRU&amp;lang=en_US&amp;offset=0&amp;query=any,contains,991000782619702656","Catalog Record")</f>
        <v/>
      </c>
      <c r="AV778">
        <f>HYPERLINK("http://www.worldcat.org/oclc/39625215","WorldCat Record")</f>
        <v/>
      </c>
      <c r="AW778" t="inlineStr">
        <is>
          <t>408461:eng</t>
        </is>
      </c>
      <c r="AX778" t="inlineStr">
        <is>
          <t>39625215</t>
        </is>
      </c>
      <c r="AY778" t="inlineStr">
        <is>
          <t>991000782619702656</t>
        </is>
      </c>
      <c r="AZ778" t="inlineStr">
        <is>
          <t>991000782619702656</t>
        </is>
      </c>
      <c r="BA778" t="inlineStr">
        <is>
          <t>2261966070002656</t>
        </is>
      </c>
      <c r="BB778" t="inlineStr">
        <is>
          <t>BOOK</t>
        </is>
      </c>
      <c r="BD778" t="inlineStr">
        <is>
          <t>9780721681030</t>
        </is>
      </c>
      <c r="BE778" t="inlineStr">
        <is>
          <t>30001004070266</t>
        </is>
      </c>
      <c r="BF778" t="inlineStr">
        <is>
          <t>893450248</t>
        </is>
      </c>
    </row>
    <row r="779">
      <c r="A779" t="inlineStr">
        <is>
          <t>No</t>
        </is>
      </c>
      <c r="B779" t="inlineStr">
        <is>
          <t>CUHSL</t>
        </is>
      </c>
      <c r="C779" t="inlineStr">
        <is>
          <t>SHELVES</t>
        </is>
      </c>
      <c r="D779" t="inlineStr">
        <is>
          <t>WY 87 A753i 2003</t>
        </is>
      </c>
      <c r="E779" t="inlineStr">
        <is>
          <t>0                      WY 0087000A  753i        2003</t>
        </is>
      </c>
      <c r="F779" t="inlineStr">
        <is>
          <t>Interpersonal relationships : professional communication skills for nurses / Elizabeth Arnold, Kathleen Underman Boggs.</t>
        </is>
      </c>
      <c r="H779" t="inlineStr">
        <is>
          <t>No</t>
        </is>
      </c>
      <c r="I779" t="inlineStr">
        <is>
          <t>1</t>
        </is>
      </c>
      <c r="J779" t="inlineStr">
        <is>
          <t>No</t>
        </is>
      </c>
      <c r="K779" t="inlineStr">
        <is>
          <t>Yes</t>
        </is>
      </c>
      <c r="L779" t="inlineStr">
        <is>
          <t>0</t>
        </is>
      </c>
      <c r="M779" t="inlineStr">
        <is>
          <t>Arnold, Elizabeth.</t>
        </is>
      </c>
      <c r="N779" t="inlineStr">
        <is>
          <t>St. Louis : Saunders, c2003.</t>
        </is>
      </c>
      <c r="O779" t="inlineStr">
        <is>
          <t>2003</t>
        </is>
      </c>
      <c r="P779" t="inlineStr">
        <is>
          <t>4th ed.</t>
        </is>
      </c>
      <c r="Q779" t="inlineStr">
        <is>
          <t>eng</t>
        </is>
      </c>
      <c r="R779" t="inlineStr">
        <is>
          <t>mou</t>
        </is>
      </c>
      <c r="T779" t="inlineStr">
        <is>
          <t xml:space="preserve">WY </t>
        </is>
      </c>
      <c r="U779" t="n">
        <v>1</v>
      </c>
      <c r="V779" t="n">
        <v>1</v>
      </c>
      <c r="W779" t="inlineStr">
        <is>
          <t>2003-06-10</t>
        </is>
      </c>
      <c r="X779" t="inlineStr">
        <is>
          <t>2003-06-10</t>
        </is>
      </c>
      <c r="Y779" t="inlineStr">
        <is>
          <t>2003-06-10</t>
        </is>
      </c>
      <c r="Z779" t="inlineStr">
        <is>
          <t>2003-06-10</t>
        </is>
      </c>
      <c r="AA779" t="n">
        <v>402</v>
      </c>
      <c r="AB779" t="n">
        <v>290</v>
      </c>
      <c r="AC779" t="n">
        <v>1188</v>
      </c>
      <c r="AD779" t="n">
        <v>2</v>
      </c>
      <c r="AE779" t="n">
        <v>8</v>
      </c>
      <c r="AF779" t="n">
        <v>8</v>
      </c>
      <c r="AG779" t="n">
        <v>36</v>
      </c>
      <c r="AH779" t="n">
        <v>3</v>
      </c>
      <c r="AI779" t="n">
        <v>14</v>
      </c>
      <c r="AJ779" t="n">
        <v>0</v>
      </c>
      <c r="AK779" t="n">
        <v>6</v>
      </c>
      <c r="AL779" t="n">
        <v>5</v>
      </c>
      <c r="AM779" t="n">
        <v>16</v>
      </c>
      <c r="AN779" t="n">
        <v>1</v>
      </c>
      <c r="AO779" t="n">
        <v>6</v>
      </c>
      <c r="AP779" t="n">
        <v>0</v>
      </c>
      <c r="AQ779" t="n">
        <v>0</v>
      </c>
      <c r="AR779" t="inlineStr">
        <is>
          <t>No</t>
        </is>
      </c>
      <c r="AS779" t="inlineStr">
        <is>
          <t>Yes</t>
        </is>
      </c>
      <c r="AT779">
        <f>HYPERLINK("http://catalog.hathitrust.org/Record/004295658","HathiTrust Record")</f>
        <v/>
      </c>
      <c r="AU779">
        <f>HYPERLINK("https://creighton-primo.hosted.exlibrisgroup.com/primo-explore/search?tab=default_tab&amp;search_scope=EVERYTHING&amp;vid=01CRU&amp;lang=en_US&amp;offset=0&amp;query=any,contains,991000349699702656","Catalog Record")</f>
        <v/>
      </c>
      <c r="AV779">
        <f>HYPERLINK("http://www.worldcat.org/oclc/51099936","WorldCat Record")</f>
        <v/>
      </c>
      <c r="AW779" t="inlineStr">
        <is>
          <t>408461:eng</t>
        </is>
      </c>
      <c r="AX779" t="inlineStr">
        <is>
          <t>51099936</t>
        </is>
      </c>
      <c r="AY779" t="inlineStr">
        <is>
          <t>991000349699702656</t>
        </is>
      </c>
      <c r="AZ779" t="inlineStr">
        <is>
          <t>991000349699702656</t>
        </is>
      </c>
      <c r="BA779" t="inlineStr">
        <is>
          <t>2272361370002656</t>
        </is>
      </c>
      <c r="BB779" t="inlineStr">
        <is>
          <t>BOOK</t>
        </is>
      </c>
      <c r="BD779" t="inlineStr">
        <is>
          <t>9780721693880</t>
        </is>
      </c>
      <c r="BE779" t="inlineStr">
        <is>
          <t>30001004501369</t>
        </is>
      </c>
      <c r="BF779" t="inlineStr">
        <is>
          <t>893136753</t>
        </is>
      </c>
    </row>
    <row r="780">
      <c r="A780" t="inlineStr">
        <is>
          <t>No</t>
        </is>
      </c>
      <c r="B780" t="inlineStr">
        <is>
          <t>CUHSL</t>
        </is>
      </c>
      <c r="C780" t="inlineStr">
        <is>
          <t>SHELVES</t>
        </is>
      </c>
      <c r="D780" t="inlineStr">
        <is>
          <t>WY 87 A919b 1976</t>
        </is>
      </c>
      <c r="E780" t="inlineStr">
        <is>
          <t>0                      WY 0087000A  919b        1976</t>
        </is>
      </c>
      <c r="F780" t="inlineStr">
        <is>
          <t>Behavioral systems and nursing / Jeanine Roose Auger.</t>
        </is>
      </c>
      <c r="H780" t="inlineStr">
        <is>
          <t>No</t>
        </is>
      </c>
      <c r="I780" t="inlineStr">
        <is>
          <t>1</t>
        </is>
      </c>
      <c r="J780" t="inlineStr">
        <is>
          <t>No</t>
        </is>
      </c>
      <c r="K780" t="inlineStr">
        <is>
          <t>No</t>
        </is>
      </c>
      <c r="L780" t="inlineStr">
        <is>
          <t>0</t>
        </is>
      </c>
      <c r="M780" t="inlineStr">
        <is>
          <t>Roose, Jeanine.</t>
        </is>
      </c>
      <c r="N780" t="inlineStr">
        <is>
          <t>Englewood Cliffs, N.J. : Prentice-Hall, c1976.</t>
        </is>
      </c>
      <c r="O780" t="inlineStr">
        <is>
          <t>1976</t>
        </is>
      </c>
      <c r="Q780" t="inlineStr">
        <is>
          <t>eng</t>
        </is>
      </c>
      <c r="R780" t="inlineStr">
        <is>
          <t>nju</t>
        </is>
      </c>
      <c r="S780" t="inlineStr">
        <is>
          <t>Prentice-Hall scientific foundations of nursing practice series</t>
        </is>
      </c>
      <c r="T780" t="inlineStr">
        <is>
          <t xml:space="preserve">WY </t>
        </is>
      </c>
      <c r="U780" t="n">
        <v>11</v>
      </c>
      <c r="V780" t="n">
        <v>11</v>
      </c>
      <c r="W780" t="inlineStr">
        <is>
          <t>2003-10-06</t>
        </is>
      </c>
      <c r="X780" t="inlineStr">
        <is>
          <t>2003-10-06</t>
        </is>
      </c>
      <c r="Y780" t="inlineStr">
        <is>
          <t>1988-01-05</t>
        </is>
      </c>
      <c r="Z780" t="inlineStr">
        <is>
          <t>1988-01-05</t>
        </is>
      </c>
      <c r="AA780" t="n">
        <v>258</v>
      </c>
      <c r="AB780" t="n">
        <v>222</v>
      </c>
      <c r="AC780" t="n">
        <v>224</v>
      </c>
      <c r="AD780" t="n">
        <v>2</v>
      </c>
      <c r="AE780" t="n">
        <v>2</v>
      </c>
      <c r="AF780" t="n">
        <v>10</v>
      </c>
      <c r="AG780" t="n">
        <v>10</v>
      </c>
      <c r="AH780" t="n">
        <v>3</v>
      </c>
      <c r="AI780" t="n">
        <v>3</v>
      </c>
      <c r="AJ780" t="n">
        <v>3</v>
      </c>
      <c r="AK780" t="n">
        <v>3</v>
      </c>
      <c r="AL780" t="n">
        <v>7</v>
      </c>
      <c r="AM780" t="n">
        <v>7</v>
      </c>
      <c r="AN780" t="n">
        <v>1</v>
      </c>
      <c r="AO780" t="n">
        <v>1</v>
      </c>
      <c r="AP780" t="n">
        <v>0</v>
      </c>
      <c r="AQ780" t="n">
        <v>0</v>
      </c>
      <c r="AR780" t="inlineStr">
        <is>
          <t>No</t>
        </is>
      </c>
      <c r="AS780" t="inlineStr">
        <is>
          <t>Yes</t>
        </is>
      </c>
      <c r="AT780">
        <f>HYPERLINK("http://catalog.hathitrust.org/Record/000695173","HathiTrust Record")</f>
        <v/>
      </c>
      <c r="AU780">
        <f>HYPERLINK("https://creighton-primo.hosted.exlibrisgroup.com/primo-explore/search?tab=default_tab&amp;search_scope=EVERYTHING&amp;vid=01CRU&amp;lang=en_US&amp;offset=0&amp;query=any,contains,991001131369702656","Catalog Record")</f>
        <v/>
      </c>
      <c r="AV780">
        <f>HYPERLINK("http://www.worldcat.org/oclc/1859738","WorldCat Record")</f>
        <v/>
      </c>
      <c r="AW780" t="inlineStr">
        <is>
          <t>2643641:eng</t>
        </is>
      </c>
      <c r="AX780" t="inlineStr">
        <is>
          <t>1859738</t>
        </is>
      </c>
      <c r="AY780" t="inlineStr">
        <is>
          <t>991001131369702656</t>
        </is>
      </c>
      <c r="AZ780" t="inlineStr">
        <is>
          <t>991001131369702656</t>
        </is>
      </c>
      <c r="BA780" t="inlineStr">
        <is>
          <t>2266526290002656</t>
        </is>
      </c>
      <c r="BB780" t="inlineStr">
        <is>
          <t>BOOK</t>
        </is>
      </c>
      <c r="BD780" t="inlineStr">
        <is>
          <t>9780130744845</t>
        </is>
      </c>
      <c r="BE780" t="inlineStr">
        <is>
          <t>30001000285157</t>
        </is>
      </c>
      <c r="BF780" t="inlineStr">
        <is>
          <t>893632746</t>
        </is>
      </c>
    </row>
    <row r="781">
      <c r="A781" t="inlineStr">
        <is>
          <t>No</t>
        </is>
      </c>
      <c r="B781" t="inlineStr">
        <is>
          <t>CUHSL</t>
        </is>
      </c>
      <c r="C781" t="inlineStr">
        <is>
          <t>SHELVES</t>
        </is>
      </c>
      <c r="D781" t="inlineStr">
        <is>
          <t>WY 87 B198c 2000</t>
        </is>
      </c>
      <c r="E781" t="inlineStr">
        <is>
          <t>0                      WY 0087000B  198c        2000</t>
        </is>
      </c>
      <c r="F781" t="inlineStr">
        <is>
          <t>Communication in nursing.</t>
        </is>
      </c>
      <c r="H781" t="inlineStr">
        <is>
          <t>No</t>
        </is>
      </c>
      <c r="I781" t="inlineStr">
        <is>
          <t>1</t>
        </is>
      </c>
      <c r="J781" t="inlineStr">
        <is>
          <t>No</t>
        </is>
      </c>
      <c r="K781" t="inlineStr">
        <is>
          <t>Yes</t>
        </is>
      </c>
      <c r="L781" t="inlineStr">
        <is>
          <t>0</t>
        </is>
      </c>
      <c r="M781" t="inlineStr">
        <is>
          <t>Balzer-Riley, Julia W.</t>
        </is>
      </c>
      <c r="N781" t="inlineStr">
        <is>
          <t>St. Louis : Mosby, c2000.</t>
        </is>
      </c>
      <c r="O781" t="inlineStr">
        <is>
          <t>2000</t>
        </is>
      </c>
      <c r="P781" t="inlineStr">
        <is>
          <t>4th ed. / Julia Balzer Riley.</t>
        </is>
      </c>
      <c r="Q781" t="inlineStr">
        <is>
          <t>eng</t>
        </is>
      </c>
      <c r="R781" t="inlineStr">
        <is>
          <t>mou</t>
        </is>
      </c>
      <c r="T781" t="inlineStr">
        <is>
          <t xml:space="preserve">WY </t>
        </is>
      </c>
      <c r="U781" t="n">
        <v>2</v>
      </c>
      <c r="V781" t="n">
        <v>2</v>
      </c>
      <c r="W781" t="inlineStr">
        <is>
          <t>1999-11-23</t>
        </is>
      </c>
      <c r="X781" t="inlineStr">
        <is>
          <t>1999-11-23</t>
        </is>
      </c>
      <c r="Y781" t="inlineStr">
        <is>
          <t>1999-11-23</t>
        </is>
      </c>
      <c r="Z781" t="inlineStr">
        <is>
          <t>1999-11-23</t>
        </is>
      </c>
      <c r="AA781" t="n">
        <v>289</v>
      </c>
      <c r="AB781" t="n">
        <v>213</v>
      </c>
      <c r="AC781" t="n">
        <v>806</v>
      </c>
      <c r="AD781" t="n">
        <v>1</v>
      </c>
      <c r="AE781" t="n">
        <v>4</v>
      </c>
      <c r="AF781" t="n">
        <v>5</v>
      </c>
      <c r="AG781" t="n">
        <v>26</v>
      </c>
      <c r="AH781" t="n">
        <v>1</v>
      </c>
      <c r="AI781" t="n">
        <v>8</v>
      </c>
      <c r="AJ781" t="n">
        <v>2</v>
      </c>
      <c r="AK781" t="n">
        <v>6</v>
      </c>
      <c r="AL781" t="n">
        <v>3</v>
      </c>
      <c r="AM781" t="n">
        <v>11</v>
      </c>
      <c r="AN781" t="n">
        <v>0</v>
      </c>
      <c r="AO781" t="n">
        <v>3</v>
      </c>
      <c r="AP781" t="n">
        <v>0</v>
      </c>
      <c r="AQ781" t="n">
        <v>0</v>
      </c>
      <c r="AR781" t="inlineStr">
        <is>
          <t>No</t>
        </is>
      </c>
      <c r="AS781" t="inlineStr">
        <is>
          <t>Yes</t>
        </is>
      </c>
      <c r="AT781">
        <f>HYPERLINK("http://catalog.hathitrust.org/Record/003445811","HathiTrust Record")</f>
        <v/>
      </c>
      <c r="AU781">
        <f>HYPERLINK("https://creighton-primo.hosted.exlibrisgroup.com/primo-explore/search?tab=default_tab&amp;search_scope=EVERYTHING&amp;vid=01CRU&amp;lang=en_US&amp;offset=0&amp;query=any,contains,991001410309702656","Catalog Record")</f>
        <v/>
      </c>
      <c r="AV781">
        <f>HYPERLINK("http://www.worldcat.org/oclc/41606497","WorldCat Record")</f>
        <v/>
      </c>
      <c r="AW781" t="inlineStr">
        <is>
          <t>679697:eng</t>
        </is>
      </c>
      <c r="AX781" t="inlineStr">
        <is>
          <t>41606497</t>
        </is>
      </c>
      <c r="AY781" t="inlineStr">
        <is>
          <t>991001410309702656</t>
        </is>
      </c>
      <c r="AZ781" t="inlineStr">
        <is>
          <t>991001410309702656</t>
        </is>
      </c>
      <c r="BA781" t="inlineStr">
        <is>
          <t>2255685090002656</t>
        </is>
      </c>
      <c r="BB781" t="inlineStr">
        <is>
          <t>BOOK</t>
        </is>
      </c>
      <c r="BD781" t="inlineStr">
        <is>
          <t>9780323008723</t>
        </is>
      </c>
      <c r="BE781" t="inlineStr">
        <is>
          <t>30001003831098</t>
        </is>
      </c>
      <c r="BF781" t="inlineStr">
        <is>
          <t>893834663</t>
        </is>
      </c>
    </row>
    <row r="782">
      <c r="A782" t="inlineStr">
        <is>
          <t>No</t>
        </is>
      </c>
      <c r="B782" t="inlineStr">
        <is>
          <t>CUHSL</t>
        </is>
      </c>
      <c r="C782" t="inlineStr">
        <is>
          <t>SHELVES</t>
        </is>
      </c>
      <c r="D782" t="inlineStr">
        <is>
          <t>WY87 B198c 2004</t>
        </is>
      </c>
      <c r="E782" t="inlineStr">
        <is>
          <t>0                      WY 0087000B  198c        2004</t>
        </is>
      </c>
      <c r="F782" t="inlineStr">
        <is>
          <t>Communication in nursing.</t>
        </is>
      </c>
      <c r="H782" t="inlineStr">
        <is>
          <t>No</t>
        </is>
      </c>
      <c r="I782" t="inlineStr">
        <is>
          <t>1</t>
        </is>
      </c>
      <c r="J782" t="inlineStr">
        <is>
          <t>No</t>
        </is>
      </c>
      <c r="K782" t="inlineStr">
        <is>
          <t>Yes</t>
        </is>
      </c>
      <c r="L782" t="inlineStr">
        <is>
          <t>0</t>
        </is>
      </c>
      <c r="M782" t="inlineStr">
        <is>
          <t>Balzer-Riley, Julia W.</t>
        </is>
      </c>
      <c r="N782" t="inlineStr">
        <is>
          <t>St. Louis, Mo. : Mosby, c2004.</t>
        </is>
      </c>
      <c r="O782" t="inlineStr">
        <is>
          <t>2004</t>
        </is>
      </c>
      <c r="P782" t="inlineStr">
        <is>
          <t>5th ed. / Julia Balzer Riley.</t>
        </is>
      </c>
      <c r="Q782" t="inlineStr">
        <is>
          <t>eng</t>
        </is>
      </c>
      <c r="R782" t="inlineStr">
        <is>
          <t>mou</t>
        </is>
      </c>
      <c r="T782" t="inlineStr">
        <is>
          <t xml:space="preserve">WY </t>
        </is>
      </c>
      <c r="U782" t="n">
        <v>0</v>
      </c>
      <c r="V782" t="n">
        <v>0</v>
      </c>
      <c r="W782" t="inlineStr">
        <is>
          <t>2006-01-30</t>
        </is>
      </c>
      <c r="X782" t="inlineStr">
        <is>
          <t>2006-01-30</t>
        </is>
      </c>
      <c r="Y782" t="inlineStr">
        <is>
          <t>2006-01-19</t>
        </is>
      </c>
      <c r="Z782" t="inlineStr">
        <is>
          <t>2006-01-19</t>
        </is>
      </c>
      <c r="AA782" t="n">
        <v>346</v>
      </c>
      <c r="AB782" t="n">
        <v>250</v>
      </c>
      <c r="AC782" t="n">
        <v>806</v>
      </c>
      <c r="AD782" t="n">
        <v>1</v>
      </c>
      <c r="AE782" t="n">
        <v>4</v>
      </c>
      <c r="AF782" t="n">
        <v>10</v>
      </c>
      <c r="AG782" t="n">
        <v>26</v>
      </c>
      <c r="AH782" t="n">
        <v>4</v>
      </c>
      <c r="AI782" t="n">
        <v>8</v>
      </c>
      <c r="AJ782" t="n">
        <v>1</v>
      </c>
      <c r="AK782" t="n">
        <v>6</v>
      </c>
      <c r="AL782" t="n">
        <v>6</v>
      </c>
      <c r="AM782" t="n">
        <v>11</v>
      </c>
      <c r="AN782" t="n">
        <v>0</v>
      </c>
      <c r="AO782" t="n">
        <v>3</v>
      </c>
      <c r="AP782" t="n">
        <v>0</v>
      </c>
      <c r="AQ782" t="n">
        <v>0</v>
      </c>
      <c r="AR782" t="inlineStr">
        <is>
          <t>No</t>
        </is>
      </c>
      <c r="AS782" t="inlineStr">
        <is>
          <t>Yes</t>
        </is>
      </c>
      <c r="AT782">
        <f>HYPERLINK("http://catalog.hathitrust.org/Record/004350768","HathiTrust Record")</f>
        <v/>
      </c>
      <c r="AU782">
        <f>HYPERLINK("https://creighton-primo.hosted.exlibrisgroup.com/primo-explore/search?tab=default_tab&amp;search_scope=EVERYTHING&amp;vid=01CRU&amp;lang=en_US&amp;offset=0&amp;query=any,contains,991000456419702656","Catalog Record")</f>
        <v/>
      </c>
      <c r="AV782">
        <f>HYPERLINK("http://www.worldcat.org/oclc/51982681","WorldCat Record")</f>
        <v/>
      </c>
      <c r="AW782" t="inlineStr">
        <is>
          <t>679697:eng</t>
        </is>
      </c>
      <c r="AX782" t="inlineStr">
        <is>
          <t>51982681</t>
        </is>
      </c>
      <c r="AY782" t="inlineStr">
        <is>
          <t>991000456419702656</t>
        </is>
      </c>
      <c r="AZ782" t="inlineStr">
        <is>
          <t>991000456419702656</t>
        </is>
      </c>
      <c r="BA782" t="inlineStr">
        <is>
          <t>2268541550002656</t>
        </is>
      </c>
      <c r="BB782" t="inlineStr">
        <is>
          <t>BOOK</t>
        </is>
      </c>
      <c r="BD782" t="inlineStr">
        <is>
          <t>9780323024013</t>
        </is>
      </c>
      <c r="BE782" t="inlineStr">
        <is>
          <t>30001004912152</t>
        </is>
      </c>
      <c r="BF782" t="inlineStr">
        <is>
          <t>893354375</t>
        </is>
      </c>
    </row>
    <row r="783">
      <c r="A783" t="inlineStr">
        <is>
          <t>No</t>
        </is>
      </c>
      <c r="B783" t="inlineStr">
        <is>
          <t>CUHSL</t>
        </is>
      </c>
      <c r="C783" t="inlineStr">
        <is>
          <t>SHELVES</t>
        </is>
      </c>
      <c r="D783" t="inlineStr">
        <is>
          <t>WY 87 B419 1978</t>
        </is>
      </c>
      <c r="E783" t="inlineStr">
        <is>
          <t>0                      WY 0087000B  419         1978</t>
        </is>
      </c>
      <c r="F783" t="inlineStr">
        <is>
          <t>Behavioral concepts and nursing intervention / edited by Carolyn E. Carlson and Betty Blackwell.</t>
        </is>
      </c>
      <c r="H783" t="inlineStr">
        <is>
          <t>No</t>
        </is>
      </c>
      <c r="I783" t="inlineStr">
        <is>
          <t>1</t>
        </is>
      </c>
      <c r="J783" t="inlineStr">
        <is>
          <t>No</t>
        </is>
      </c>
      <c r="K783" t="inlineStr">
        <is>
          <t>No</t>
        </is>
      </c>
      <c r="L783" t="inlineStr">
        <is>
          <t>0</t>
        </is>
      </c>
      <c r="N783" t="inlineStr">
        <is>
          <t>Philadelphia : Lippincott, c1978.</t>
        </is>
      </c>
      <c r="O783" t="inlineStr">
        <is>
          <t>1978</t>
        </is>
      </c>
      <c r="P783" t="inlineStr">
        <is>
          <t>2d. ed.</t>
        </is>
      </c>
      <c r="Q783" t="inlineStr">
        <is>
          <t>eng</t>
        </is>
      </c>
      <c r="R783" t="inlineStr">
        <is>
          <t>pau</t>
        </is>
      </c>
      <c r="T783" t="inlineStr">
        <is>
          <t xml:space="preserve">WY </t>
        </is>
      </c>
      <c r="U783" t="n">
        <v>5</v>
      </c>
      <c r="V783" t="n">
        <v>5</v>
      </c>
      <c r="W783" t="inlineStr">
        <is>
          <t>1996-09-21</t>
        </is>
      </c>
      <c r="X783" t="inlineStr">
        <is>
          <t>1996-09-21</t>
        </is>
      </c>
      <c r="Y783" t="inlineStr">
        <is>
          <t>1987-10-22</t>
        </is>
      </c>
      <c r="Z783" t="inlineStr">
        <is>
          <t>1987-10-22</t>
        </is>
      </c>
      <c r="AA783" t="n">
        <v>251</v>
      </c>
      <c r="AB783" t="n">
        <v>213</v>
      </c>
      <c r="AC783" t="n">
        <v>332</v>
      </c>
      <c r="AD783" t="n">
        <v>3</v>
      </c>
      <c r="AE783" t="n">
        <v>5</v>
      </c>
      <c r="AF783" t="n">
        <v>7</v>
      </c>
      <c r="AG783" t="n">
        <v>14</v>
      </c>
      <c r="AH783" t="n">
        <v>2</v>
      </c>
      <c r="AI783" t="n">
        <v>4</v>
      </c>
      <c r="AJ783" t="n">
        <v>1</v>
      </c>
      <c r="AK783" t="n">
        <v>3</v>
      </c>
      <c r="AL783" t="n">
        <v>3</v>
      </c>
      <c r="AM783" t="n">
        <v>5</v>
      </c>
      <c r="AN783" t="n">
        <v>2</v>
      </c>
      <c r="AO783" t="n">
        <v>4</v>
      </c>
      <c r="AP783" t="n">
        <v>0</v>
      </c>
      <c r="AQ783" t="n">
        <v>0</v>
      </c>
      <c r="AR783" t="inlineStr">
        <is>
          <t>No</t>
        </is>
      </c>
      <c r="AS783" t="inlineStr">
        <is>
          <t>Yes</t>
        </is>
      </c>
      <c r="AT783">
        <f>HYPERLINK("http://catalog.hathitrust.org/Record/000137207","HathiTrust Record")</f>
        <v/>
      </c>
      <c r="AU783">
        <f>HYPERLINK("https://creighton-primo.hosted.exlibrisgroup.com/primo-explore/search?tab=default_tab&amp;search_scope=EVERYTHING&amp;vid=01CRU&amp;lang=en_US&amp;offset=0&amp;query=any,contains,991000738559702656","Catalog Record")</f>
        <v/>
      </c>
      <c r="AV783">
        <f>HYPERLINK("http://www.worldcat.org/oclc/3892967","WorldCat Record")</f>
        <v/>
      </c>
      <c r="AW783" t="inlineStr">
        <is>
          <t>198265493:eng</t>
        </is>
      </c>
      <c r="AX783" t="inlineStr">
        <is>
          <t>3892967</t>
        </is>
      </c>
      <c r="AY783" t="inlineStr">
        <is>
          <t>991000738559702656</t>
        </is>
      </c>
      <c r="AZ783" t="inlineStr">
        <is>
          <t>991000738559702656</t>
        </is>
      </c>
      <c r="BA783" t="inlineStr">
        <is>
          <t>2272358340002656</t>
        </is>
      </c>
      <c r="BB783" t="inlineStr">
        <is>
          <t>BOOK</t>
        </is>
      </c>
      <c r="BD783" t="inlineStr">
        <is>
          <t>9780397542178</t>
        </is>
      </c>
      <c r="BE783" t="inlineStr">
        <is>
          <t>30001000042608</t>
        </is>
      </c>
      <c r="BF783" t="inlineStr">
        <is>
          <t>893267264</t>
        </is>
      </c>
    </row>
    <row r="784">
      <c r="A784" t="inlineStr">
        <is>
          <t>No</t>
        </is>
      </c>
      <c r="B784" t="inlineStr">
        <is>
          <t>CUHSL</t>
        </is>
      </c>
      <c r="C784" t="inlineStr">
        <is>
          <t>SHELVES</t>
        </is>
      </c>
      <c r="D784" t="inlineStr">
        <is>
          <t>WY 87 B4197 1983</t>
        </is>
      </c>
      <c r="E784" t="inlineStr">
        <is>
          <t>0                      WY 0087000B  4197        1983</t>
        </is>
      </c>
      <c r="F784" t="inlineStr">
        <is>
          <t>Behavioral science &amp; nursing theory / Powhatan J. Wooldridge ... [et al.].</t>
        </is>
      </c>
      <c r="H784" t="inlineStr">
        <is>
          <t>No</t>
        </is>
      </c>
      <c r="I784" t="inlineStr">
        <is>
          <t>1</t>
        </is>
      </c>
      <c r="J784" t="inlineStr">
        <is>
          <t>No</t>
        </is>
      </c>
      <c r="K784" t="inlineStr">
        <is>
          <t>No</t>
        </is>
      </c>
      <c r="L784" t="inlineStr">
        <is>
          <t>0</t>
        </is>
      </c>
      <c r="N784" t="inlineStr">
        <is>
          <t>St. Louis : Mosby, c1983.</t>
        </is>
      </c>
      <c r="O784" t="inlineStr">
        <is>
          <t>1983</t>
        </is>
      </c>
      <c r="Q784" t="inlineStr">
        <is>
          <t>eng</t>
        </is>
      </c>
      <c r="R784" t="inlineStr">
        <is>
          <t>mou</t>
        </is>
      </c>
      <c r="T784" t="inlineStr">
        <is>
          <t xml:space="preserve">WY </t>
        </is>
      </c>
      <c r="U784" t="n">
        <v>6</v>
      </c>
      <c r="V784" t="n">
        <v>6</v>
      </c>
      <c r="W784" t="inlineStr">
        <is>
          <t>1992-10-12</t>
        </is>
      </c>
      <c r="X784" t="inlineStr">
        <is>
          <t>1992-10-12</t>
        </is>
      </c>
      <c r="Y784" t="inlineStr">
        <is>
          <t>1987-12-29</t>
        </is>
      </c>
      <c r="Z784" t="inlineStr">
        <is>
          <t>1987-12-29</t>
        </is>
      </c>
      <c r="AA784" t="n">
        <v>232</v>
      </c>
      <c r="AB784" t="n">
        <v>188</v>
      </c>
      <c r="AC784" t="n">
        <v>195</v>
      </c>
      <c r="AD784" t="n">
        <v>1</v>
      </c>
      <c r="AE784" t="n">
        <v>1</v>
      </c>
      <c r="AF784" t="n">
        <v>8</v>
      </c>
      <c r="AG784" t="n">
        <v>8</v>
      </c>
      <c r="AH784" t="n">
        <v>3</v>
      </c>
      <c r="AI784" t="n">
        <v>3</v>
      </c>
      <c r="AJ784" t="n">
        <v>2</v>
      </c>
      <c r="AK784" t="n">
        <v>2</v>
      </c>
      <c r="AL784" t="n">
        <v>5</v>
      </c>
      <c r="AM784" t="n">
        <v>5</v>
      </c>
      <c r="AN784" t="n">
        <v>0</v>
      </c>
      <c r="AO784" t="n">
        <v>0</v>
      </c>
      <c r="AP784" t="n">
        <v>0</v>
      </c>
      <c r="AQ784" t="n">
        <v>0</v>
      </c>
      <c r="AR784" t="inlineStr">
        <is>
          <t>No</t>
        </is>
      </c>
      <c r="AS784" t="inlineStr">
        <is>
          <t>Yes</t>
        </is>
      </c>
      <c r="AT784">
        <f>HYPERLINK("http://catalog.hathitrust.org/Record/000238450","HathiTrust Record")</f>
        <v/>
      </c>
      <c r="AU784">
        <f>HYPERLINK("https://creighton-primo.hosted.exlibrisgroup.com/primo-explore/search?tab=default_tab&amp;search_scope=EVERYTHING&amp;vid=01CRU&amp;lang=en_US&amp;offset=0&amp;query=any,contains,991001131469702656","Catalog Record")</f>
        <v/>
      </c>
      <c r="AV784">
        <f>HYPERLINK("http://www.worldcat.org/oclc/8785604","WorldCat Record")</f>
        <v/>
      </c>
      <c r="AW784" t="inlineStr">
        <is>
          <t>451332:eng</t>
        </is>
      </c>
      <c r="AX784" t="inlineStr">
        <is>
          <t>8785604</t>
        </is>
      </c>
      <c r="AY784" t="inlineStr">
        <is>
          <t>991001131469702656</t>
        </is>
      </c>
      <c r="AZ784" t="inlineStr">
        <is>
          <t>991001131469702656</t>
        </is>
      </c>
      <c r="BA784" t="inlineStr">
        <is>
          <t>2266916100002656</t>
        </is>
      </c>
      <c r="BB784" t="inlineStr">
        <is>
          <t>BOOK</t>
        </is>
      </c>
      <c r="BD784" t="inlineStr">
        <is>
          <t>9780801656231</t>
        </is>
      </c>
      <c r="BE784" t="inlineStr">
        <is>
          <t>30001000285207</t>
        </is>
      </c>
      <c r="BF784" t="inlineStr">
        <is>
          <t>893278750</t>
        </is>
      </c>
    </row>
    <row r="785">
      <c r="A785" t="inlineStr">
        <is>
          <t>No</t>
        </is>
      </c>
      <c r="B785" t="inlineStr">
        <is>
          <t>CUHSL</t>
        </is>
      </c>
      <c r="C785" t="inlineStr">
        <is>
          <t>SHELVES</t>
        </is>
      </c>
      <c r="D785" t="inlineStr">
        <is>
          <t>WY 87 B654n 1982</t>
        </is>
      </c>
      <c r="E785" t="inlineStr">
        <is>
          <t>0                      WY 0087000B  654n        1982</t>
        </is>
      </c>
      <c r="F785" t="inlineStr">
        <is>
          <t>Nonverbal communication with patients : back to the human touch / Marion Nesbitt Blondis, Barbara E. Jackson.</t>
        </is>
      </c>
      <c r="H785" t="inlineStr">
        <is>
          <t>No</t>
        </is>
      </c>
      <c r="I785" t="inlineStr">
        <is>
          <t>1</t>
        </is>
      </c>
      <c r="J785" t="inlineStr">
        <is>
          <t>No</t>
        </is>
      </c>
      <c r="K785" t="inlineStr">
        <is>
          <t>Yes</t>
        </is>
      </c>
      <c r="L785" t="inlineStr">
        <is>
          <t>0</t>
        </is>
      </c>
      <c r="M785" t="inlineStr">
        <is>
          <t>Blondis, Marion Nesbitt.</t>
        </is>
      </c>
      <c r="N785" t="inlineStr">
        <is>
          <t>New York : Wiley, c1982.</t>
        </is>
      </c>
      <c r="O785" t="inlineStr">
        <is>
          <t>1982</t>
        </is>
      </c>
      <c r="P785" t="inlineStr">
        <is>
          <t>2nd ed.</t>
        </is>
      </c>
      <c r="Q785" t="inlineStr">
        <is>
          <t>eng</t>
        </is>
      </c>
      <c r="R785" t="inlineStr">
        <is>
          <t>xxu</t>
        </is>
      </c>
      <c r="S785" t="inlineStr">
        <is>
          <t>A Wiley medical publication</t>
        </is>
      </c>
      <c r="T785" t="inlineStr">
        <is>
          <t xml:space="preserve">WY </t>
        </is>
      </c>
      <c r="U785" t="n">
        <v>16</v>
      </c>
      <c r="V785" t="n">
        <v>16</v>
      </c>
      <c r="W785" t="inlineStr">
        <is>
          <t>1998-10-01</t>
        </is>
      </c>
      <c r="X785" t="inlineStr">
        <is>
          <t>1998-10-01</t>
        </is>
      </c>
      <c r="Y785" t="inlineStr">
        <is>
          <t>1987-12-29</t>
        </is>
      </c>
      <c r="Z785" t="inlineStr">
        <is>
          <t>1987-12-29</t>
        </is>
      </c>
      <c r="AA785" t="n">
        <v>359</v>
      </c>
      <c r="AB785" t="n">
        <v>281</v>
      </c>
      <c r="AC785" t="n">
        <v>512</v>
      </c>
      <c r="AD785" t="n">
        <v>1</v>
      </c>
      <c r="AE785" t="n">
        <v>5</v>
      </c>
      <c r="AF785" t="n">
        <v>10</v>
      </c>
      <c r="AG785" t="n">
        <v>19</v>
      </c>
      <c r="AH785" t="n">
        <v>7</v>
      </c>
      <c r="AI785" t="n">
        <v>11</v>
      </c>
      <c r="AJ785" t="n">
        <v>0</v>
      </c>
      <c r="AK785" t="n">
        <v>3</v>
      </c>
      <c r="AL785" t="n">
        <v>6</v>
      </c>
      <c r="AM785" t="n">
        <v>9</v>
      </c>
      <c r="AN785" t="n">
        <v>0</v>
      </c>
      <c r="AO785" t="n">
        <v>2</v>
      </c>
      <c r="AP785" t="n">
        <v>0</v>
      </c>
      <c r="AQ785" t="n">
        <v>0</v>
      </c>
      <c r="AR785" t="inlineStr">
        <is>
          <t>No</t>
        </is>
      </c>
      <c r="AS785" t="inlineStr">
        <is>
          <t>Yes</t>
        </is>
      </c>
      <c r="AT785">
        <f>HYPERLINK("http://catalog.hathitrust.org/Record/000187486","HathiTrust Record")</f>
        <v/>
      </c>
      <c r="AU785">
        <f>HYPERLINK("https://creighton-primo.hosted.exlibrisgroup.com/primo-explore/search?tab=default_tab&amp;search_scope=EVERYTHING&amp;vid=01CRU&amp;lang=en_US&amp;offset=0&amp;query=any,contains,991001131669702656","Catalog Record")</f>
        <v/>
      </c>
      <c r="AV785">
        <f>HYPERLINK("http://www.worldcat.org/oclc/7947006","WorldCat Record")</f>
        <v/>
      </c>
      <c r="AW785" t="inlineStr">
        <is>
          <t>865289659:eng</t>
        </is>
      </c>
      <c r="AX785" t="inlineStr">
        <is>
          <t>7947006</t>
        </is>
      </c>
      <c r="AY785" t="inlineStr">
        <is>
          <t>991001131669702656</t>
        </is>
      </c>
      <c r="AZ785" t="inlineStr">
        <is>
          <t>991001131669702656</t>
        </is>
      </c>
      <c r="BA785" t="inlineStr">
        <is>
          <t>2254997730002656</t>
        </is>
      </c>
      <c r="BB785" t="inlineStr">
        <is>
          <t>BOOK</t>
        </is>
      </c>
      <c r="BD785" t="inlineStr">
        <is>
          <t>9780471082170</t>
        </is>
      </c>
      <c r="BE785" t="inlineStr">
        <is>
          <t>30001000285264</t>
        </is>
      </c>
      <c r="BF785" t="inlineStr">
        <is>
          <t>893161699</t>
        </is>
      </c>
    </row>
    <row r="786">
      <c r="A786" t="inlineStr">
        <is>
          <t>No</t>
        </is>
      </c>
      <c r="B786" t="inlineStr">
        <is>
          <t>CUHSL</t>
        </is>
      </c>
      <c r="C786" t="inlineStr">
        <is>
          <t>SHELVES</t>
        </is>
      </c>
      <c r="D786" t="inlineStr">
        <is>
          <t>WY 87 B792t 1989</t>
        </is>
      </c>
      <c r="E786" t="inlineStr">
        <is>
          <t>0                      WY 0087000B  792t        1989</t>
        </is>
      </c>
      <c r="F786" t="inlineStr">
        <is>
          <t>Transcultural concepts in nursing care / Joyceen S. Boyle, Margaret M. Andrews.</t>
        </is>
      </c>
      <c r="H786" t="inlineStr">
        <is>
          <t>No</t>
        </is>
      </c>
      <c r="I786" t="inlineStr">
        <is>
          <t>1</t>
        </is>
      </c>
      <c r="J786" t="inlineStr">
        <is>
          <t>No</t>
        </is>
      </c>
      <c r="K786" t="inlineStr">
        <is>
          <t>Yes</t>
        </is>
      </c>
      <c r="L786" t="inlineStr">
        <is>
          <t>0</t>
        </is>
      </c>
      <c r="M786" t="inlineStr">
        <is>
          <t>Boyle, Joyceen S.</t>
        </is>
      </c>
      <c r="N786" t="inlineStr">
        <is>
          <t>Glenview, Ill. : Scott, Foresman, Little, Brown College Division, c1989.</t>
        </is>
      </c>
      <c r="O786" t="inlineStr">
        <is>
          <t>1989</t>
        </is>
      </c>
      <c r="Q786" t="inlineStr">
        <is>
          <t>eng</t>
        </is>
      </c>
      <c r="R786" t="inlineStr">
        <is>
          <t>xxu</t>
        </is>
      </c>
      <c r="T786" t="inlineStr">
        <is>
          <t xml:space="preserve">WY </t>
        </is>
      </c>
      <c r="U786" t="n">
        <v>21</v>
      </c>
      <c r="V786" t="n">
        <v>21</v>
      </c>
      <c r="W786" t="inlineStr">
        <is>
          <t>2001-09-02</t>
        </is>
      </c>
      <c r="X786" t="inlineStr">
        <is>
          <t>2001-09-02</t>
        </is>
      </c>
      <c r="Y786" t="inlineStr">
        <is>
          <t>1990-08-24</t>
        </is>
      </c>
      <c r="Z786" t="inlineStr">
        <is>
          <t>1990-08-24</t>
        </is>
      </c>
      <c r="AA786" t="n">
        <v>280</v>
      </c>
      <c r="AB786" t="n">
        <v>218</v>
      </c>
      <c r="AC786" t="n">
        <v>1224</v>
      </c>
      <c r="AD786" t="n">
        <v>1</v>
      </c>
      <c r="AE786" t="n">
        <v>8</v>
      </c>
      <c r="AF786" t="n">
        <v>11</v>
      </c>
      <c r="AG786" t="n">
        <v>40</v>
      </c>
      <c r="AH786" t="n">
        <v>5</v>
      </c>
      <c r="AI786" t="n">
        <v>17</v>
      </c>
      <c r="AJ786" t="n">
        <v>3</v>
      </c>
      <c r="AK786" t="n">
        <v>7</v>
      </c>
      <c r="AL786" t="n">
        <v>6</v>
      </c>
      <c r="AM786" t="n">
        <v>17</v>
      </c>
      <c r="AN786" t="n">
        <v>0</v>
      </c>
      <c r="AO786" t="n">
        <v>7</v>
      </c>
      <c r="AP786" t="n">
        <v>0</v>
      </c>
      <c r="AQ786" t="n">
        <v>0</v>
      </c>
      <c r="AR786" t="inlineStr">
        <is>
          <t>No</t>
        </is>
      </c>
      <c r="AS786" t="inlineStr">
        <is>
          <t>Yes</t>
        </is>
      </c>
      <c r="AT786">
        <f>HYPERLINK("http://catalog.hathitrust.org/Record/001837606","HathiTrust Record")</f>
        <v/>
      </c>
      <c r="AU786">
        <f>HYPERLINK("https://creighton-primo.hosted.exlibrisgroup.com/primo-explore/search?tab=default_tab&amp;search_scope=EVERYTHING&amp;vid=01CRU&amp;lang=en_US&amp;offset=0&amp;query=any,contains,991001453729702656","Catalog Record")</f>
        <v/>
      </c>
      <c r="AV786">
        <f>HYPERLINK("http://www.worldcat.org/oclc/17440785","WorldCat Record")</f>
        <v/>
      </c>
      <c r="AW786" t="inlineStr">
        <is>
          <t>4929014947:eng</t>
        </is>
      </c>
      <c r="AX786" t="inlineStr">
        <is>
          <t>17440785</t>
        </is>
      </c>
      <c r="AY786" t="inlineStr">
        <is>
          <t>991001453729702656</t>
        </is>
      </c>
      <c r="AZ786" t="inlineStr">
        <is>
          <t>991001453729702656</t>
        </is>
      </c>
      <c r="BA786" t="inlineStr">
        <is>
          <t>2260327630002656</t>
        </is>
      </c>
      <c r="BB786" t="inlineStr">
        <is>
          <t>BOOK</t>
        </is>
      </c>
      <c r="BD786" t="inlineStr">
        <is>
          <t>9780673398703</t>
        </is>
      </c>
      <c r="BE786" t="inlineStr">
        <is>
          <t>30001001884198</t>
        </is>
      </c>
      <c r="BF786" t="inlineStr">
        <is>
          <t>893649213</t>
        </is>
      </c>
    </row>
    <row r="787">
      <c r="A787" t="inlineStr">
        <is>
          <t>No</t>
        </is>
      </c>
      <c r="B787" t="inlineStr">
        <is>
          <t>CUHSL</t>
        </is>
      </c>
      <c r="C787" t="inlineStr">
        <is>
          <t>SHELVES</t>
        </is>
      </c>
      <c r="D787" t="inlineStr">
        <is>
          <t>WY 87 B873L 1988</t>
        </is>
      </c>
      <c r="E787" t="inlineStr">
        <is>
          <t>0                      WY 0087000B  873L        1988</t>
        </is>
      </c>
      <c r="F787" t="inlineStr">
        <is>
          <t>Leadership for change : a guide for frustrating situations / Dorothy A. Brooten, Laura Lucia Hayman, Mary Duffin Naylor.</t>
        </is>
      </c>
      <c r="H787" t="inlineStr">
        <is>
          <t>No</t>
        </is>
      </c>
      <c r="I787" t="inlineStr">
        <is>
          <t>1</t>
        </is>
      </c>
      <c r="J787" t="inlineStr">
        <is>
          <t>No</t>
        </is>
      </c>
      <c r="K787" t="inlineStr">
        <is>
          <t>No</t>
        </is>
      </c>
      <c r="L787" t="inlineStr">
        <is>
          <t>0</t>
        </is>
      </c>
      <c r="M787" t="inlineStr">
        <is>
          <t>Brooten, Dorothy A.</t>
        </is>
      </c>
      <c r="N787" t="inlineStr">
        <is>
          <t>Philadelphia : Lippincott, c1988.</t>
        </is>
      </c>
      <c r="O787" t="inlineStr">
        <is>
          <t>1988</t>
        </is>
      </c>
      <c r="P787" t="inlineStr">
        <is>
          <t>2nd ed.</t>
        </is>
      </c>
      <c r="Q787" t="inlineStr">
        <is>
          <t>eng</t>
        </is>
      </c>
      <c r="R787" t="inlineStr">
        <is>
          <t>xxu</t>
        </is>
      </c>
      <c r="T787" t="inlineStr">
        <is>
          <t xml:space="preserve">WY </t>
        </is>
      </c>
      <c r="U787" t="n">
        <v>13</v>
      </c>
      <c r="V787" t="n">
        <v>13</v>
      </c>
      <c r="W787" t="inlineStr">
        <is>
          <t>1996-04-08</t>
        </is>
      </c>
      <c r="X787" t="inlineStr">
        <is>
          <t>1996-04-08</t>
        </is>
      </c>
      <c r="Y787" t="inlineStr">
        <is>
          <t>1988-07-08</t>
        </is>
      </c>
      <c r="Z787" t="inlineStr">
        <is>
          <t>1988-07-08</t>
        </is>
      </c>
      <c r="AA787" t="n">
        <v>234</v>
      </c>
      <c r="AB787" t="n">
        <v>176</v>
      </c>
      <c r="AC787" t="n">
        <v>183</v>
      </c>
      <c r="AD787" t="n">
        <v>1</v>
      </c>
      <c r="AE787" t="n">
        <v>1</v>
      </c>
      <c r="AF787" t="n">
        <v>9</v>
      </c>
      <c r="AG787" t="n">
        <v>9</v>
      </c>
      <c r="AH787" t="n">
        <v>4</v>
      </c>
      <c r="AI787" t="n">
        <v>4</v>
      </c>
      <c r="AJ787" t="n">
        <v>2</v>
      </c>
      <c r="AK787" t="n">
        <v>2</v>
      </c>
      <c r="AL787" t="n">
        <v>6</v>
      </c>
      <c r="AM787" t="n">
        <v>6</v>
      </c>
      <c r="AN787" t="n">
        <v>0</v>
      </c>
      <c r="AO787" t="n">
        <v>0</v>
      </c>
      <c r="AP787" t="n">
        <v>0</v>
      </c>
      <c r="AQ787" t="n">
        <v>0</v>
      </c>
      <c r="AR787" t="inlineStr">
        <is>
          <t>No</t>
        </is>
      </c>
      <c r="AS787" t="inlineStr">
        <is>
          <t>Yes</t>
        </is>
      </c>
      <c r="AT787">
        <f>HYPERLINK("http://catalog.hathitrust.org/Record/000909849","HathiTrust Record")</f>
        <v/>
      </c>
      <c r="AU787">
        <f>HYPERLINK("https://creighton-primo.hosted.exlibrisgroup.com/primo-explore/search?tab=default_tab&amp;search_scope=EVERYTHING&amp;vid=01CRU&amp;lang=en_US&amp;offset=0&amp;query=any,contains,991001416669702656","Catalog Record")</f>
        <v/>
      </c>
      <c r="AV787">
        <f>HYPERLINK("http://www.worldcat.org/oclc/16404575","WorldCat Record")</f>
        <v/>
      </c>
      <c r="AW787" t="inlineStr">
        <is>
          <t>11934705:eng</t>
        </is>
      </c>
      <c r="AX787" t="inlineStr">
        <is>
          <t>16404575</t>
        </is>
      </c>
      <c r="AY787" t="inlineStr">
        <is>
          <t>991001416669702656</t>
        </is>
      </c>
      <c r="AZ787" t="inlineStr">
        <is>
          <t>991001416669702656</t>
        </is>
      </c>
      <c r="BA787" t="inlineStr">
        <is>
          <t>2262053470002656</t>
        </is>
      </c>
      <c r="BB787" t="inlineStr">
        <is>
          <t>BOOK</t>
        </is>
      </c>
      <c r="BD787" t="inlineStr">
        <is>
          <t>9780397545971</t>
        </is>
      </c>
      <c r="BE787" t="inlineStr">
        <is>
          <t>30001001180969</t>
        </is>
      </c>
      <c r="BF787" t="inlineStr">
        <is>
          <t>893743773</t>
        </is>
      </c>
    </row>
    <row r="788">
      <c r="A788" t="inlineStr">
        <is>
          <t>No</t>
        </is>
      </c>
      <c r="B788" t="inlineStr">
        <is>
          <t>CUHSL</t>
        </is>
      </c>
      <c r="C788" t="inlineStr">
        <is>
          <t>SHELVES</t>
        </is>
      </c>
      <c r="D788" t="inlineStr">
        <is>
          <t>WY 87 B885d 1972</t>
        </is>
      </c>
      <c r="E788" t="inlineStr">
        <is>
          <t>0                      WY 0087000B  885d        1972</t>
        </is>
      </c>
      <c r="F788" t="inlineStr">
        <is>
          <t>The dying patient : a nursing perspective / compiled by Mary H. Browning and Edith P. Lewis.</t>
        </is>
      </c>
      <c r="H788" t="inlineStr">
        <is>
          <t>No</t>
        </is>
      </c>
      <c r="I788" t="inlineStr">
        <is>
          <t>1</t>
        </is>
      </c>
      <c r="J788" t="inlineStr">
        <is>
          <t>No</t>
        </is>
      </c>
      <c r="K788" t="inlineStr">
        <is>
          <t>No</t>
        </is>
      </c>
      <c r="L788" t="inlineStr">
        <is>
          <t>0</t>
        </is>
      </c>
      <c r="M788" t="inlineStr">
        <is>
          <t>Browning, Mary H., compiler.</t>
        </is>
      </c>
      <c r="N788" t="inlineStr">
        <is>
          <t>New York : American Journal of Nursing Co., c1972.</t>
        </is>
      </c>
      <c r="O788" t="inlineStr">
        <is>
          <t>1972</t>
        </is>
      </c>
      <c r="Q788" t="inlineStr">
        <is>
          <t>eng</t>
        </is>
      </c>
      <c r="R788" t="inlineStr">
        <is>
          <t>nyu</t>
        </is>
      </c>
      <c r="S788" t="inlineStr">
        <is>
          <t>Contemporary nursing series</t>
        </is>
      </c>
      <c r="T788" t="inlineStr">
        <is>
          <t xml:space="preserve">WY </t>
        </is>
      </c>
      <c r="U788" t="n">
        <v>2</v>
      </c>
      <c r="V788" t="n">
        <v>2</v>
      </c>
      <c r="W788" t="inlineStr">
        <is>
          <t>1996-09-20</t>
        </is>
      </c>
      <c r="X788" t="inlineStr">
        <is>
          <t>1996-09-20</t>
        </is>
      </c>
      <c r="Y788" t="inlineStr">
        <is>
          <t>1988-01-05</t>
        </is>
      </c>
      <c r="Z788" t="inlineStr">
        <is>
          <t>1988-01-05</t>
        </is>
      </c>
      <c r="AA788" t="n">
        <v>228</v>
      </c>
      <c r="AB788" t="n">
        <v>197</v>
      </c>
      <c r="AC788" t="n">
        <v>212</v>
      </c>
      <c r="AD788" t="n">
        <v>2</v>
      </c>
      <c r="AE788" t="n">
        <v>2</v>
      </c>
      <c r="AF788" t="n">
        <v>7</v>
      </c>
      <c r="AG788" t="n">
        <v>7</v>
      </c>
      <c r="AH788" t="n">
        <v>2</v>
      </c>
      <c r="AI788" t="n">
        <v>2</v>
      </c>
      <c r="AJ788" t="n">
        <v>1</v>
      </c>
      <c r="AK788" t="n">
        <v>1</v>
      </c>
      <c r="AL788" t="n">
        <v>4</v>
      </c>
      <c r="AM788" t="n">
        <v>4</v>
      </c>
      <c r="AN788" t="n">
        <v>1</v>
      </c>
      <c r="AO788" t="n">
        <v>1</v>
      </c>
      <c r="AP788" t="n">
        <v>0</v>
      </c>
      <c r="AQ788" t="n">
        <v>0</v>
      </c>
      <c r="AR788" t="inlineStr">
        <is>
          <t>No</t>
        </is>
      </c>
      <c r="AS788" t="inlineStr">
        <is>
          <t>Yes</t>
        </is>
      </c>
      <c r="AT788">
        <f>HYPERLINK("http://catalog.hathitrust.org/Record/001577765","HathiTrust Record")</f>
        <v/>
      </c>
      <c r="AU788">
        <f>HYPERLINK("https://creighton-primo.hosted.exlibrisgroup.com/primo-explore/search?tab=default_tab&amp;search_scope=EVERYTHING&amp;vid=01CRU&amp;lang=en_US&amp;offset=0&amp;query=any,contains,991001131729702656","Catalog Record")</f>
        <v/>
      </c>
      <c r="AV788">
        <f>HYPERLINK("http://www.worldcat.org/oclc/590330","WorldCat Record")</f>
        <v/>
      </c>
      <c r="AW788" t="inlineStr">
        <is>
          <t>1774630:eng</t>
        </is>
      </c>
      <c r="AX788" t="inlineStr">
        <is>
          <t>590330</t>
        </is>
      </c>
      <c r="AY788" t="inlineStr">
        <is>
          <t>991001131729702656</t>
        </is>
      </c>
      <c r="AZ788" t="inlineStr">
        <is>
          <t>991001131729702656</t>
        </is>
      </c>
      <c r="BA788" t="inlineStr">
        <is>
          <t>2262836410002656</t>
        </is>
      </c>
      <c r="BB788" t="inlineStr">
        <is>
          <t>BOOK</t>
        </is>
      </c>
      <c r="BE788" t="inlineStr">
        <is>
          <t>30001000285280</t>
        </is>
      </c>
      <c r="BF788" t="inlineStr">
        <is>
          <t>893460298</t>
        </is>
      </c>
    </row>
    <row r="789">
      <c r="A789" t="inlineStr">
        <is>
          <t>No</t>
        </is>
      </c>
      <c r="B789" t="inlineStr">
        <is>
          <t>CUHSL</t>
        </is>
      </c>
      <c r="C789" t="inlineStr">
        <is>
          <t>SHELVES</t>
        </is>
      </c>
      <c r="D789" t="inlineStr">
        <is>
          <t>WY 87 C277 1990</t>
        </is>
      </c>
      <c r="E789" t="inlineStr">
        <is>
          <t>0                      WY 0087000C  277         1990</t>
        </is>
      </c>
      <c r="F789" t="inlineStr">
        <is>
          <t>The Caring imperative in education / Madeleine Leininger and Jean Watson, editors.</t>
        </is>
      </c>
      <c r="H789" t="inlineStr">
        <is>
          <t>No</t>
        </is>
      </c>
      <c r="I789" t="inlineStr">
        <is>
          <t>1</t>
        </is>
      </c>
      <c r="J789" t="inlineStr">
        <is>
          <t>No</t>
        </is>
      </c>
      <c r="K789" t="inlineStr">
        <is>
          <t>No</t>
        </is>
      </c>
      <c r="L789" t="inlineStr">
        <is>
          <t>0</t>
        </is>
      </c>
      <c r="N789" t="inlineStr">
        <is>
          <t>New York, N.Y. : National League for Nursing, c1990.</t>
        </is>
      </c>
      <c r="O789" t="inlineStr">
        <is>
          <t>1990</t>
        </is>
      </c>
      <c r="Q789" t="inlineStr">
        <is>
          <t>eng</t>
        </is>
      </c>
      <c r="R789" t="inlineStr">
        <is>
          <t>nyu</t>
        </is>
      </c>
      <c r="S789" t="inlineStr">
        <is>
          <t>NLN pub. no. 41-2308</t>
        </is>
      </c>
      <c r="T789" t="inlineStr">
        <is>
          <t xml:space="preserve">WY </t>
        </is>
      </c>
      <c r="U789" t="n">
        <v>2</v>
      </c>
      <c r="V789" t="n">
        <v>2</v>
      </c>
      <c r="W789" t="inlineStr">
        <is>
          <t>2005-10-24</t>
        </is>
      </c>
      <c r="X789" t="inlineStr">
        <is>
          <t>2005-10-24</t>
        </is>
      </c>
      <c r="Y789" t="inlineStr">
        <is>
          <t>2000-06-15</t>
        </is>
      </c>
      <c r="Z789" t="inlineStr">
        <is>
          <t>2000-06-15</t>
        </is>
      </c>
      <c r="AA789" t="n">
        <v>407</v>
      </c>
      <c r="AB789" t="n">
        <v>338</v>
      </c>
      <c r="AC789" t="n">
        <v>345</v>
      </c>
      <c r="AD789" t="n">
        <v>5</v>
      </c>
      <c r="AE789" t="n">
        <v>5</v>
      </c>
      <c r="AF789" t="n">
        <v>26</v>
      </c>
      <c r="AG789" t="n">
        <v>26</v>
      </c>
      <c r="AH789" t="n">
        <v>10</v>
      </c>
      <c r="AI789" t="n">
        <v>10</v>
      </c>
      <c r="AJ789" t="n">
        <v>5</v>
      </c>
      <c r="AK789" t="n">
        <v>5</v>
      </c>
      <c r="AL789" t="n">
        <v>13</v>
      </c>
      <c r="AM789" t="n">
        <v>13</v>
      </c>
      <c r="AN789" t="n">
        <v>4</v>
      </c>
      <c r="AO789" t="n">
        <v>4</v>
      </c>
      <c r="AP789" t="n">
        <v>0</v>
      </c>
      <c r="AQ789" t="n">
        <v>0</v>
      </c>
      <c r="AR789" t="inlineStr">
        <is>
          <t>No</t>
        </is>
      </c>
      <c r="AS789" t="inlineStr">
        <is>
          <t>Yes</t>
        </is>
      </c>
      <c r="AT789">
        <f>HYPERLINK("http://catalog.hathitrust.org/Record/002497668","HathiTrust Record")</f>
        <v/>
      </c>
      <c r="AU789">
        <f>HYPERLINK("https://creighton-primo.hosted.exlibrisgroup.com/primo-explore/search?tab=default_tab&amp;search_scope=EVERYTHING&amp;vid=01CRU&amp;lang=en_US&amp;offset=0&amp;query=any,contains,991000221199702656","Catalog Record")</f>
        <v/>
      </c>
      <c r="AV789">
        <f>HYPERLINK("http://www.worldcat.org/oclc/26552358","WorldCat Record")</f>
        <v/>
      </c>
      <c r="AW789" t="inlineStr">
        <is>
          <t>422891501:eng</t>
        </is>
      </c>
      <c r="AX789" t="inlineStr">
        <is>
          <t>26552358</t>
        </is>
      </c>
      <c r="AY789" t="inlineStr">
        <is>
          <t>991000221199702656</t>
        </is>
      </c>
      <c r="AZ789" t="inlineStr">
        <is>
          <t>991000221199702656</t>
        </is>
      </c>
      <c r="BA789" t="inlineStr">
        <is>
          <t>2268381430002656</t>
        </is>
      </c>
      <c r="BB789" t="inlineStr">
        <is>
          <t>BOOK</t>
        </is>
      </c>
      <c r="BD789" t="inlineStr">
        <is>
          <t>9780887374708</t>
        </is>
      </c>
      <c r="BE789" t="inlineStr">
        <is>
          <t>30001001881376</t>
        </is>
      </c>
      <c r="BF789" t="inlineStr">
        <is>
          <t>893628937</t>
        </is>
      </c>
    </row>
    <row r="790">
      <c r="A790" t="inlineStr">
        <is>
          <t>No</t>
        </is>
      </c>
      <c r="B790" t="inlineStr">
        <is>
          <t>CUHSL</t>
        </is>
      </c>
      <c r="C790" t="inlineStr">
        <is>
          <t>SHELVES</t>
        </is>
      </c>
      <c r="D790" t="inlineStr">
        <is>
          <t>WY 87 C2845n 1984</t>
        </is>
      </c>
      <c r="E790" t="inlineStr">
        <is>
          <t>0                      WY 0087000C  2845n       1984</t>
        </is>
      </c>
      <c r="F790" t="inlineStr">
        <is>
          <t>The nurse's guide to better communication / by Robert E. Carlson ; in consultation with Margaret Kidwell Udin and Mary Louise Carlson.</t>
        </is>
      </c>
      <c r="H790" t="inlineStr">
        <is>
          <t>No</t>
        </is>
      </c>
      <c r="I790" t="inlineStr">
        <is>
          <t>1</t>
        </is>
      </c>
      <c r="J790" t="inlineStr">
        <is>
          <t>No</t>
        </is>
      </c>
      <c r="K790" t="inlineStr">
        <is>
          <t>No</t>
        </is>
      </c>
      <c r="L790" t="inlineStr">
        <is>
          <t>0</t>
        </is>
      </c>
      <c r="M790" t="inlineStr">
        <is>
          <t>Carlson, Robert E.</t>
        </is>
      </c>
      <c r="N790" t="inlineStr">
        <is>
          <t>Glenview, Ill. : Scott, Foresman and Co., c1984.</t>
        </is>
      </c>
      <c r="O790" t="inlineStr">
        <is>
          <t>1984</t>
        </is>
      </c>
      <c r="Q790" t="inlineStr">
        <is>
          <t>eng</t>
        </is>
      </c>
      <c r="R790" t="inlineStr">
        <is>
          <t>xxu</t>
        </is>
      </c>
      <c r="T790" t="inlineStr">
        <is>
          <t xml:space="preserve">WY </t>
        </is>
      </c>
      <c r="U790" t="n">
        <v>3</v>
      </c>
      <c r="V790" t="n">
        <v>3</v>
      </c>
      <c r="W790" t="inlineStr">
        <is>
          <t>1993-10-07</t>
        </is>
      </c>
      <c r="X790" t="inlineStr">
        <is>
          <t>1993-10-07</t>
        </is>
      </c>
      <c r="Y790" t="inlineStr">
        <is>
          <t>1987-12-29</t>
        </is>
      </c>
      <c r="Z790" t="inlineStr">
        <is>
          <t>1987-12-29</t>
        </is>
      </c>
      <c r="AA790" t="n">
        <v>98</v>
      </c>
      <c r="AB790" t="n">
        <v>74</v>
      </c>
      <c r="AC790" t="n">
        <v>76</v>
      </c>
      <c r="AD790" t="n">
        <v>2</v>
      </c>
      <c r="AE790" t="n">
        <v>2</v>
      </c>
      <c r="AF790" t="n">
        <v>1</v>
      </c>
      <c r="AG790" t="n">
        <v>1</v>
      </c>
      <c r="AH790" t="n">
        <v>0</v>
      </c>
      <c r="AI790" t="n">
        <v>0</v>
      </c>
      <c r="AJ790" t="n">
        <v>0</v>
      </c>
      <c r="AK790" t="n">
        <v>0</v>
      </c>
      <c r="AL790" t="n">
        <v>0</v>
      </c>
      <c r="AM790" t="n">
        <v>0</v>
      </c>
      <c r="AN790" t="n">
        <v>1</v>
      </c>
      <c r="AO790" t="n">
        <v>1</v>
      </c>
      <c r="AP790" t="n">
        <v>0</v>
      </c>
      <c r="AQ790" t="n">
        <v>0</v>
      </c>
      <c r="AR790" t="inlineStr">
        <is>
          <t>No</t>
        </is>
      </c>
      <c r="AS790" t="inlineStr">
        <is>
          <t>Yes</t>
        </is>
      </c>
      <c r="AT790">
        <f>HYPERLINK("http://catalog.hathitrust.org/Record/000330631","HathiTrust Record")</f>
        <v/>
      </c>
      <c r="AU790">
        <f>HYPERLINK("https://creighton-primo.hosted.exlibrisgroup.com/primo-explore/search?tab=default_tab&amp;search_scope=EVERYTHING&amp;vid=01CRU&amp;lang=en_US&amp;offset=0&amp;query=any,contains,991001133069702656","Catalog Record")</f>
        <v/>
      </c>
      <c r="AV790">
        <f>HYPERLINK("http://www.worldcat.org/oclc/9682662","WorldCat Record")</f>
        <v/>
      </c>
      <c r="AW790" t="inlineStr">
        <is>
          <t>43723138:eng</t>
        </is>
      </c>
      <c r="AX790" t="inlineStr">
        <is>
          <t>9682662</t>
        </is>
      </c>
      <c r="AY790" t="inlineStr">
        <is>
          <t>991001133069702656</t>
        </is>
      </c>
      <c r="AZ790" t="inlineStr">
        <is>
          <t>991001133069702656</t>
        </is>
      </c>
      <c r="BA790" t="inlineStr">
        <is>
          <t>2269549400002656</t>
        </is>
      </c>
      <c r="BB790" t="inlineStr">
        <is>
          <t>BOOK</t>
        </is>
      </c>
      <c r="BD790" t="inlineStr">
        <is>
          <t>9780673155528</t>
        </is>
      </c>
      <c r="BE790" t="inlineStr">
        <is>
          <t>30001000285728</t>
        </is>
      </c>
      <c r="BF790" t="inlineStr">
        <is>
          <t>893816116</t>
        </is>
      </c>
    </row>
    <row r="791">
      <c r="A791" t="inlineStr">
        <is>
          <t>No</t>
        </is>
      </c>
      <c r="B791" t="inlineStr">
        <is>
          <t>CUHSL</t>
        </is>
      </c>
      <c r="C791" t="inlineStr">
        <is>
          <t>SHELVES</t>
        </is>
      </c>
      <c r="D791" t="inlineStr">
        <is>
          <t>WY 87 C388e 1982</t>
        </is>
      </c>
      <c r="E791" t="inlineStr">
        <is>
          <t>0                      WY 0087000C  388e        1982</t>
        </is>
      </c>
      <c r="F791" t="inlineStr">
        <is>
          <t>Effective communication in nursing : theory and practice / Joseph F. Ceccio, Cathy M. Ceccio.</t>
        </is>
      </c>
      <c r="H791" t="inlineStr">
        <is>
          <t>No</t>
        </is>
      </c>
      <c r="I791" t="inlineStr">
        <is>
          <t>1</t>
        </is>
      </c>
      <c r="J791" t="inlineStr">
        <is>
          <t>No</t>
        </is>
      </c>
      <c r="K791" t="inlineStr">
        <is>
          <t>No</t>
        </is>
      </c>
      <c r="L791" t="inlineStr">
        <is>
          <t>0</t>
        </is>
      </c>
      <c r="M791" t="inlineStr">
        <is>
          <t>Ceccio, Joseph.</t>
        </is>
      </c>
      <c r="N791" t="inlineStr">
        <is>
          <t>New York : Wiley, c1982.</t>
        </is>
      </c>
      <c r="O791" t="inlineStr">
        <is>
          <t>1982</t>
        </is>
      </c>
      <c r="Q791" t="inlineStr">
        <is>
          <t>eng</t>
        </is>
      </c>
      <c r="R791" t="inlineStr">
        <is>
          <t>xxu</t>
        </is>
      </c>
      <c r="S791" t="inlineStr">
        <is>
          <t>A Wiley medical publication</t>
        </is>
      </c>
      <c r="T791" t="inlineStr">
        <is>
          <t xml:space="preserve">WY </t>
        </is>
      </c>
      <c r="U791" t="n">
        <v>2</v>
      </c>
      <c r="V791" t="n">
        <v>2</v>
      </c>
      <c r="W791" t="inlineStr">
        <is>
          <t>1989-10-24</t>
        </is>
      </c>
      <c r="X791" t="inlineStr">
        <is>
          <t>1989-10-24</t>
        </is>
      </c>
      <c r="Y791" t="inlineStr">
        <is>
          <t>1987-12-29</t>
        </is>
      </c>
      <c r="Z791" t="inlineStr">
        <is>
          <t>1987-12-29</t>
        </is>
      </c>
      <c r="AA791" t="n">
        <v>263</v>
      </c>
      <c r="AB791" t="n">
        <v>213</v>
      </c>
      <c r="AC791" t="n">
        <v>220</v>
      </c>
      <c r="AD791" t="n">
        <v>2</v>
      </c>
      <c r="AE791" t="n">
        <v>2</v>
      </c>
      <c r="AF791" t="n">
        <v>7</v>
      </c>
      <c r="AG791" t="n">
        <v>7</v>
      </c>
      <c r="AH791" t="n">
        <v>3</v>
      </c>
      <c r="AI791" t="n">
        <v>3</v>
      </c>
      <c r="AJ791" t="n">
        <v>1</v>
      </c>
      <c r="AK791" t="n">
        <v>1</v>
      </c>
      <c r="AL791" t="n">
        <v>3</v>
      </c>
      <c r="AM791" t="n">
        <v>3</v>
      </c>
      <c r="AN791" t="n">
        <v>1</v>
      </c>
      <c r="AO791" t="n">
        <v>1</v>
      </c>
      <c r="AP791" t="n">
        <v>0</v>
      </c>
      <c r="AQ791" t="n">
        <v>0</v>
      </c>
      <c r="AR791" t="inlineStr">
        <is>
          <t>No</t>
        </is>
      </c>
      <c r="AS791" t="inlineStr">
        <is>
          <t>Yes</t>
        </is>
      </c>
      <c r="AT791">
        <f>HYPERLINK("http://catalog.hathitrust.org/Record/000311914","HathiTrust Record")</f>
        <v/>
      </c>
      <c r="AU791">
        <f>HYPERLINK("https://creighton-primo.hosted.exlibrisgroup.com/primo-explore/search?tab=default_tab&amp;search_scope=EVERYTHING&amp;vid=01CRU&amp;lang=en_US&amp;offset=0&amp;query=any,contains,991001133029702656","Catalog Record")</f>
        <v/>
      </c>
      <c r="AV791">
        <f>HYPERLINK("http://www.worldcat.org/oclc/7836943","WorldCat Record")</f>
        <v/>
      </c>
      <c r="AW791" t="inlineStr">
        <is>
          <t>894330279:eng</t>
        </is>
      </c>
      <c r="AX791" t="inlineStr">
        <is>
          <t>7836943</t>
        </is>
      </c>
      <c r="AY791" t="inlineStr">
        <is>
          <t>991001133029702656</t>
        </is>
      </c>
      <c r="AZ791" t="inlineStr">
        <is>
          <t>991001133029702656</t>
        </is>
      </c>
      <c r="BA791" t="inlineStr">
        <is>
          <t>2266186640002656</t>
        </is>
      </c>
      <c r="BB791" t="inlineStr">
        <is>
          <t>BOOK</t>
        </is>
      </c>
      <c r="BD791" t="inlineStr">
        <is>
          <t>9780471079118</t>
        </is>
      </c>
      <c r="BE791" t="inlineStr">
        <is>
          <t>30001000285710</t>
        </is>
      </c>
      <c r="BF791" t="inlineStr">
        <is>
          <t>893278752</t>
        </is>
      </c>
    </row>
    <row r="792">
      <c r="A792" t="inlineStr">
        <is>
          <t>No</t>
        </is>
      </c>
      <c r="B792" t="inlineStr">
        <is>
          <t>CUHSL</t>
        </is>
      </c>
      <c r="C792" t="inlineStr">
        <is>
          <t>SHELVES</t>
        </is>
      </c>
      <c r="D792" t="inlineStr">
        <is>
          <t>WY 87 C462e 1969</t>
        </is>
      </c>
      <c r="E792" t="inlineStr">
        <is>
          <t>0                      WY 0087000C  462e        1969</t>
        </is>
      </c>
      <c r="F792" t="inlineStr">
        <is>
          <t>Effects of different nursing approaches upon psychological and physiological responses of patients / Jacqueline Sue Chapman.</t>
        </is>
      </c>
      <c r="H792" t="inlineStr">
        <is>
          <t>No</t>
        </is>
      </c>
      <c r="I792" t="inlineStr">
        <is>
          <t>1</t>
        </is>
      </c>
      <c r="J792" t="inlineStr">
        <is>
          <t>No</t>
        </is>
      </c>
      <c r="K792" t="inlineStr">
        <is>
          <t>No</t>
        </is>
      </c>
      <c r="L792" t="inlineStr">
        <is>
          <t>0</t>
        </is>
      </c>
      <c r="M792" t="inlineStr">
        <is>
          <t>Chapman, Jacqueline Sue.</t>
        </is>
      </c>
      <c r="N792" t="inlineStr">
        <is>
          <t>Cleveland : Frances Payne Bolton School of Nursing, Case Western Reserve University, 1969.</t>
        </is>
      </c>
      <c r="O792" t="inlineStr">
        <is>
          <t>1969</t>
        </is>
      </c>
      <c r="Q792" t="inlineStr">
        <is>
          <t>eng</t>
        </is>
      </c>
      <c r="R792" t="inlineStr">
        <is>
          <t xml:space="preserve">xx </t>
        </is>
      </c>
      <c r="T792" t="inlineStr">
        <is>
          <t xml:space="preserve">WY </t>
        </is>
      </c>
      <c r="U792" t="n">
        <v>3</v>
      </c>
      <c r="V792" t="n">
        <v>3</v>
      </c>
      <c r="W792" t="inlineStr">
        <is>
          <t>2002-06-02</t>
        </is>
      </c>
      <c r="X792" t="inlineStr">
        <is>
          <t>2002-06-02</t>
        </is>
      </c>
      <c r="Y792" t="inlineStr">
        <is>
          <t>1987-12-29</t>
        </is>
      </c>
      <c r="Z792" t="inlineStr">
        <is>
          <t>1987-12-29</t>
        </is>
      </c>
      <c r="AA792" t="n">
        <v>8</v>
      </c>
      <c r="AB792" t="n">
        <v>7</v>
      </c>
      <c r="AC792" t="n">
        <v>7</v>
      </c>
      <c r="AD792" t="n">
        <v>1</v>
      </c>
      <c r="AE792" t="n">
        <v>1</v>
      </c>
      <c r="AF792" t="n">
        <v>0</v>
      </c>
      <c r="AG792" t="n">
        <v>0</v>
      </c>
      <c r="AH792" t="n">
        <v>0</v>
      </c>
      <c r="AI792" t="n">
        <v>0</v>
      </c>
      <c r="AJ792" t="n">
        <v>0</v>
      </c>
      <c r="AK792" t="n">
        <v>0</v>
      </c>
      <c r="AL792" t="n">
        <v>0</v>
      </c>
      <c r="AM792" t="n">
        <v>0</v>
      </c>
      <c r="AN792" t="n">
        <v>0</v>
      </c>
      <c r="AO792" t="n">
        <v>0</v>
      </c>
      <c r="AP792" t="n">
        <v>0</v>
      </c>
      <c r="AQ792" t="n">
        <v>0</v>
      </c>
      <c r="AR792" t="inlineStr">
        <is>
          <t>No</t>
        </is>
      </c>
      <c r="AS792" t="inlineStr">
        <is>
          <t>No</t>
        </is>
      </c>
      <c r="AU792">
        <f>HYPERLINK("https://creighton-primo.hosted.exlibrisgroup.com/primo-explore/search?tab=default_tab&amp;search_scope=EVERYTHING&amp;vid=01CRU&amp;lang=en_US&amp;offset=0&amp;query=any,contains,991001133179702656","Catalog Record")</f>
        <v/>
      </c>
      <c r="AV792">
        <f>HYPERLINK("http://www.worldcat.org/oclc/5543389","WorldCat Record")</f>
        <v/>
      </c>
      <c r="AW792" t="inlineStr">
        <is>
          <t>3859514178:eng</t>
        </is>
      </c>
      <c r="AX792" t="inlineStr">
        <is>
          <t>5543389</t>
        </is>
      </c>
      <c r="AY792" t="inlineStr">
        <is>
          <t>991001133179702656</t>
        </is>
      </c>
      <c r="AZ792" t="inlineStr">
        <is>
          <t>991001133179702656</t>
        </is>
      </c>
      <c r="BA792" t="inlineStr">
        <is>
          <t>2257629460002656</t>
        </is>
      </c>
      <c r="BB792" t="inlineStr">
        <is>
          <t>BOOK</t>
        </is>
      </c>
      <c r="BE792" t="inlineStr">
        <is>
          <t>30001000285744</t>
        </is>
      </c>
      <c r="BF792" t="inlineStr">
        <is>
          <t>893557637</t>
        </is>
      </c>
    </row>
    <row r="793">
      <c r="A793" t="inlineStr">
        <is>
          <t>No</t>
        </is>
      </c>
      <c r="B793" t="inlineStr">
        <is>
          <t>CUHSL</t>
        </is>
      </c>
      <c r="C793" t="inlineStr">
        <is>
          <t>SHELVES</t>
        </is>
      </c>
      <c r="D793" t="inlineStr">
        <is>
          <t>WY 87 C591c 1978</t>
        </is>
      </c>
      <c r="E793" t="inlineStr">
        <is>
          <t>0                      WY 0087000C  591c        1978</t>
        </is>
      </c>
      <c r="F793" t="inlineStr">
        <is>
          <t>Culture, childbearing, health professionals / Ann L. Clark, editor.</t>
        </is>
      </c>
      <c r="H793" t="inlineStr">
        <is>
          <t>No</t>
        </is>
      </c>
      <c r="I793" t="inlineStr">
        <is>
          <t>1</t>
        </is>
      </c>
      <c r="J793" t="inlineStr">
        <is>
          <t>No</t>
        </is>
      </c>
      <c r="K793" t="inlineStr">
        <is>
          <t>No</t>
        </is>
      </c>
      <c r="L793" t="inlineStr">
        <is>
          <t>0</t>
        </is>
      </c>
      <c r="N793" t="inlineStr">
        <is>
          <t>-- Philadelphia : Davis, c1978.</t>
        </is>
      </c>
      <c r="O793" t="inlineStr">
        <is>
          <t>1978</t>
        </is>
      </c>
      <c r="Q793" t="inlineStr">
        <is>
          <t>eng</t>
        </is>
      </c>
      <c r="R793" t="inlineStr">
        <is>
          <t>pau</t>
        </is>
      </c>
      <c r="T793" t="inlineStr">
        <is>
          <t xml:space="preserve">WY </t>
        </is>
      </c>
      <c r="U793" t="n">
        <v>12</v>
      </c>
      <c r="V793" t="n">
        <v>12</v>
      </c>
      <c r="W793" t="inlineStr">
        <is>
          <t>1995-10-30</t>
        </is>
      </c>
      <c r="X793" t="inlineStr">
        <is>
          <t>1995-10-30</t>
        </is>
      </c>
      <c r="Y793" t="inlineStr">
        <is>
          <t>1987-12-29</t>
        </is>
      </c>
      <c r="Z793" t="inlineStr">
        <is>
          <t>1987-12-29</t>
        </is>
      </c>
      <c r="AA793" t="n">
        <v>277</v>
      </c>
      <c r="AB793" t="n">
        <v>249</v>
      </c>
      <c r="AC793" t="n">
        <v>251</v>
      </c>
      <c r="AD793" t="n">
        <v>4</v>
      </c>
      <c r="AE793" t="n">
        <v>4</v>
      </c>
      <c r="AF793" t="n">
        <v>11</v>
      </c>
      <c r="AG793" t="n">
        <v>11</v>
      </c>
      <c r="AH793" t="n">
        <v>4</v>
      </c>
      <c r="AI793" t="n">
        <v>4</v>
      </c>
      <c r="AJ793" t="n">
        <v>2</v>
      </c>
      <c r="AK793" t="n">
        <v>2</v>
      </c>
      <c r="AL793" t="n">
        <v>4</v>
      </c>
      <c r="AM793" t="n">
        <v>4</v>
      </c>
      <c r="AN793" t="n">
        <v>2</v>
      </c>
      <c r="AO793" t="n">
        <v>2</v>
      </c>
      <c r="AP793" t="n">
        <v>0</v>
      </c>
      <c r="AQ793" t="n">
        <v>0</v>
      </c>
      <c r="AR793" t="inlineStr">
        <is>
          <t>No</t>
        </is>
      </c>
      <c r="AS793" t="inlineStr">
        <is>
          <t>Yes</t>
        </is>
      </c>
      <c r="AT793">
        <f>HYPERLINK("http://catalog.hathitrust.org/Record/000133451","HathiTrust Record")</f>
        <v/>
      </c>
      <c r="AU793">
        <f>HYPERLINK("https://creighton-primo.hosted.exlibrisgroup.com/primo-explore/search?tab=default_tab&amp;search_scope=EVERYTHING&amp;vid=01CRU&amp;lang=en_US&amp;offset=0&amp;query=any,contains,991001133249702656","Catalog Record")</f>
        <v/>
      </c>
      <c r="AV793">
        <f>HYPERLINK("http://www.worldcat.org/oclc/3770665","WorldCat Record")</f>
        <v/>
      </c>
      <c r="AW793" t="inlineStr">
        <is>
          <t>455811:eng</t>
        </is>
      </c>
      <c r="AX793" t="inlineStr">
        <is>
          <t>3770665</t>
        </is>
      </c>
      <c r="AY793" t="inlineStr">
        <is>
          <t>991001133249702656</t>
        </is>
      </c>
      <c r="AZ793" t="inlineStr">
        <is>
          <t>991001133249702656</t>
        </is>
      </c>
      <c r="BA793" t="inlineStr">
        <is>
          <t>2260852280002656</t>
        </is>
      </c>
      <c r="BB793" t="inlineStr">
        <is>
          <t>BOOK</t>
        </is>
      </c>
      <c r="BD793" t="inlineStr">
        <is>
          <t>9780803618350</t>
        </is>
      </c>
      <c r="BE793" t="inlineStr">
        <is>
          <t>30001000285751</t>
        </is>
      </c>
      <c r="BF793" t="inlineStr">
        <is>
          <t>893455504</t>
        </is>
      </c>
    </row>
    <row r="794">
      <c r="A794" t="inlineStr">
        <is>
          <t>No</t>
        </is>
      </c>
      <c r="B794" t="inlineStr">
        <is>
          <t>CUHSL</t>
        </is>
      </c>
      <c r="C794" t="inlineStr">
        <is>
          <t>SHELVES</t>
        </is>
      </c>
      <c r="D794" t="inlineStr">
        <is>
          <t>WY 87 C592w 1986</t>
        </is>
      </c>
      <c r="E794" t="inlineStr">
        <is>
          <t>0                      WY 0087000C  592w        1986</t>
        </is>
      </c>
      <c r="F794" t="inlineStr">
        <is>
          <t>Wellness nursing : concepts, theory, research, and practice / Carolyn Chambers Clark.</t>
        </is>
      </c>
      <c r="H794" t="inlineStr">
        <is>
          <t>No</t>
        </is>
      </c>
      <c r="I794" t="inlineStr">
        <is>
          <t>1</t>
        </is>
      </c>
      <c r="J794" t="inlineStr">
        <is>
          <t>No</t>
        </is>
      </c>
      <c r="K794" t="inlineStr">
        <is>
          <t>No</t>
        </is>
      </c>
      <c r="L794" t="inlineStr">
        <is>
          <t>0</t>
        </is>
      </c>
      <c r="M794" t="inlineStr">
        <is>
          <t>Clark, Carolyn Chambers.</t>
        </is>
      </c>
      <c r="N794" t="inlineStr">
        <is>
          <t>New York : Springer Pub. Co., c1986.</t>
        </is>
      </c>
      <c r="O794" t="inlineStr">
        <is>
          <t>1986</t>
        </is>
      </c>
      <c r="Q794" t="inlineStr">
        <is>
          <t>eng</t>
        </is>
      </c>
      <c r="R794" t="inlineStr">
        <is>
          <t>xxu</t>
        </is>
      </c>
      <c r="T794" t="inlineStr">
        <is>
          <t xml:space="preserve">WY </t>
        </is>
      </c>
      <c r="U794" t="n">
        <v>7</v>
      </c>
      <c r="V794" t="n">
        <v>7</v>
      </c>
      <c r="W794" t="inlineStr">
        <is>
          <t>1991-09-03</t>
        </is>
      </c>
      <c r="X794" t="inlineStr">
        <is>
          <t>1991-09-03</t>
        </is>
      </c>
      <c r="Y794" t="inlineStr">
        <is>
          <t>1990-07-25</t>
        </is>
      </c>
      <c r="Z794" t="inlineStr">
        <is>
          <t>1990-07-25</t>
        </is>
      </c>
      <c r="AA794" t="n">
        <v>351</v>
      </c>
      <c r="AB794" t="n">
        <v>298</v>
      </c>
      <c r="AC794" t="n">
        <v>304</v>
      </c>
      <c r="AD794" t="n">
        <v>4</v>
      </c>
      <c r="AE794" t="n">
        <v>4</v>
      </c>
      <c r="AF794" t="n">
        <v>16</v>
      </c>
      <c r="AG794" t="n">
        <v>16</v>
      </c>
      <c r="AH794" t="n">
        <v>7</v>
      </c>
      <c r="AI794" t="n">
        <v>7</v>
      </c>
      <c r="AJ794" t="n">
        <v>3</v>
      </c>
      <c r="AK794" t="n">
        <v>3</v>
      </c>
      <c r="AL794" t="n">
        <v>6</v>
      </c>
      <c r="AM794" t="n">
        <v>6</v>
      </c>
      <c r="AN794" t="n">
        <v>2</v>
      </c>
      <c r="AO794" t="n">
        <v>2</v>
      </c>
      <c r="AP794" t="n">
        <v>0</v>
      </c>
      <c r="AQ794" t="n">
        <v>0</v>
      </c>
      <c r="AR794" t="inlineStr">
        <is>
          <t>No</t>
        </is>
      </c>
      <c r="AS794" t="inlineStr">
        <is>
          <t>Yes</t>
        </is>
      </c>
      <c r="AT794">
        <f>HYPERLINK("http://catalog.hathitrust.org/Record/000447605","HathiTrust Record")</f>
        <v/>
      </c>
      <c r="AU794">
        <f>HYPERLINK("https://creighton-primo.hosted.exlibrisgroup.com/primo-explore/search?tab=default_tab&amp;search_scope=EVERYTHING&amp;vid=01CRU&amp;lang=en_US&amp;offset=0&amp;query=any,contains,991001451589702656","Catalog Record")</f>
        <v/>
      </c>
      <c r="AV794">
        <f>HYPERLINK("http://www.worldcat.org/oclc/13760396","WorldCat Record")</f>
        <v/>
      </c>
      <c r="AW794" t="inlineStr">
        <is>
          <t>967303:eng</t>
        </is>
      </c>
      <c r="AX794" t="inlineStr">
        <is>
          <t>13760396</t>
        </is>
      </c>
      <c r="AY794" t="inlineStr">
        <is>
          <t>991001451589702656</t>
        </is>
      </c>
      <c r="AZ794" t="inlineStr">
        <is>
          <t>991001451589702656</t>
        </is>
      </c>
      <c r="BA794" t="inlineStr">
        <is>
          <t>2262164200002656</t>
        </is>
      </c>
      <c r="BB794" t="inlineStr">
        <is>
          <t>BOOK</t>
        </is>
      </c>
      <c r="BD794" t="inlineStr">
        <is>
          <t>9780826151506</t>
        </is>
      </c>
      <c r="BE794" t="inlineStr">
        <is>
          <t>30001001883166</t>
        </is>
      </c>
      <c r="BF794" t="inlineStr">
        <is>
          <t>893465557</t>
        </is>
      </c>
    </row>
    <row r="795">
      <c r="A795" t="inlineStr">
        <is>
          <t>No</t>
        </is>
      </c>
      <c r="B795" t="inlineStr">
        <is>
          <t>CUHSL</t>
        </is>
      </c>
      <c r="C795" t="inlineStr">
        <is>
          <t>SHELVES</t>
        </is>
      </c>
      <c r="D795" t="inlineStr">
        <is>
          <t>WY 87 C712c 1983</t>
        </is>
      </c>
      <c r="E795" t="inlineStr">
        <is>
          <t>0                      WY 0087000C  712c        1983</t>
        </is>
      </c>
      <c r="F795" t="inlineStr">
        <is>
          <t>Communication in health care : the human connection in the life cycle / Mattie Collins.</t>
        </is>
      </c>
      <c r="H795" t="inlineStr">
        <is>
          <t>No</t>
        </is>
      </c>
      <c r="I795" t="inlineStr">
        <is>
          <t>1</t>
        </is>
      </c>
      <c r="J795" t="inlineStr">
        <is>
          <t>No</t>
        </is>
      </c>
      <c r="K795" t="inlineStr">
        <is>
          <t>No</t>
        </is>
      </c>
      <c r="L795" t="inlineStr">
        <is>
          <t>0</t>
        </is>
      </c>
      <c r="M795" t="inlineStr">
        <is>
          <t>Collins, Mattie, 1929-</t>
        </is>
      </c>
      <c r="N795" t="inlineStr">
        <is>
          <t>St. Louis : Mosby, c1983.</t>
        </is>
      </c>
      <c r="O795" t="inlineStr">
        <is>
          <t>1983</t>
        </is>
      </c>
      <c r="P795" t="inlineStr">
        <is>
          <t>2nd ed.</t>
        </is>
      </c>
      <c r="Q795" t="inlineStr">
        <is>
          <t>eng</t>
        </is>
      </c>
      <c r="R795" t="inlineStr">
        <is>
          <t>xxu</t>
        </is>
      </c>
      <c r="T795" t="inlineStr">
        <is>
          <t xml:space="preserve">WY </t>
        </is>
      </c>
      <c r="U795" t="n">
        <v>8</v>
      </c>
      <c r="V795" t="n">
        <v>8</v>
      </c>
      <c r="W795" t="inlineStr">
        <is>
          <t>1996-11-10</t>
        </is>
      </c>
      <c r="X795" t="inlineStr">
        <is>
          <t>1996-11-10</t>
        </is>
      </c>
      <c r="Y795" t="inlineStr">
        <is>
          <t>1987-12-29</t>
        </is>
      </c>
      <c r="Z795" t="inlineStr">
        <is>
          <t>1987-12-29</t>
        </is>
      </c>
      <c r="AA795" t="n">
        <v>30</v>
      </c>
      <c r="AB795" t="n">
        <v>29</v>
      </c>
      <c r="AC795" t="n">
        <v>183</v>
      </c>
      <c r="AD795" t="n">
        <v>1</v>
      </c>
      <c r="AE795" t="n">
        <v>1</v>
      </c>
      <c r="AF795" t="n">
        <v>0</v>
      </c>
      <c r="AG795" t="n">
        <v>6</v>
      </c>
      <c r="AH795" t="n">
        <v>0</v>
      </c>
      <c r="AI795" t="n">
        <v>3</v>
      </c>
      <c r="AJ795" t="n">
        <v>0</v>
      </c>
      <c r="AK795" t="n">
        <v>0</v>
      </c>
      <c r="AL795" t="n">
        <v>0</v>
      </c>
      <c r="AM795" t="n">
        <v>4</v>
      </c>
      <c r="AN795" t="n">
        <v>0</v>
      </c>
      <c r="AO795" t="n">
        <v>0</v>
      </c>
      <c r="AP795" t="n">
        <v>0</v>
      </c>
      <c r="AQ795" t="n">
        <v>0</v>
      </c>
      <c r="AR795" t="inlineStr">
        <is>
          <t>No</t>
        </is>
      </c>
      <c r="AS795" t="inlineStr">
        <is>
          <t>No</t>
        </is>
      </c>
      <c r="AU795">
        <f>HYPERLINK("https://creighton-primo.hosted.exlibrisgroup.com/primo-explore/search?tab=default_tab&amp;search_scope=EVERYTHING&amp;vid=01CRU&amp;lang=en_US&amp;offset=0&amp;query=any,contains,991001133339702656","Catalog Record")</f>
        <v/>
      </c>
      <c r="AV795">
        <f>HYPERLINK("http://www.worldcat.org/oclc/8284789","WorldCat Record")</f>
        <v/>
      </c>
      <c r="AW795" t="inlineStr">
        <is>
          <t>292702628:eng</t>
        </is>
      </c>
      <c r="AX795" t="inlineStr">
        <is>
          <t>8284789</t>
        </is>
      </c>
      <c r="AY795" t="inlineStr">
        <is>
          <t>991001133339702656</t>
        </is>
      </c>
      <c r="AZ795" t="inlineStr">
        <is>
          <t>991001133339702656</t>
        </is>
      </c>
      <c r="BA795" t="inlineStr">
        <is>
          <t>2267969530002656</t>
        </is>
      </c>
      <c r="BB795" t="inlineStr">
        <is>
          <t>BOOK</t>
        </is>
      </c>
      <c r="BD795" t="inlineStr">
        <is>
          <t>9780801610813</t>
        </is>
      </c>
      <c r="BE795" t="inlineStr">
        <is>
          <t>30001000285769</t>
        </is>
      </c>
      <c r="BF795" t="inlineStr">
        <is>
          <t>893820938</t>
        </is>
      </c>
    </row>
    <row r="796">
      <c r="A796" t="inlineStr">
        <is>
          <t>No</t>
        </is>
      </c>
      <c r="B796" t="inlineStr">
        <is>
          <t>CUHSL</t>
        </is>
      </c>
      <c r="C796" t="inlineStr">
        <is>
          <t>SHELVES</t>
        </is>
      </c>
      <c r="D796" t="inlineStr">
        <is>
          <t>WY 87 C783 1982</t>
        </is>
      </c>
      <c r="E796" t="inlineStr">
        <is>
          <t>0                      WY 0087000C  783         1982</t>
        </is>
      </c>
      <c r="F796" t="inlineStr">
        <is>
          <t>Coping with stress / Doris C. Sutterley and Gloria F. Donnelly.</t>
        </is>
      </c>
      <c r="H796" t="inlineStr">
        <is>
          <t>No</t>
        </is>
      </c>
      <c r="I796" t="inlineStr">
        <is>
          <t>1</t>
        </is>
      </c>
      <c r="J796" t="inlineStr">
        <is>
          <t>No</t>
        </is>
      </c>
      <c r="K796" t="inlineStr">
        <is>
          <t>No</t>
        </is>
      </c>
      <c r="L796" t="inlineStr">
        <is>
          <t>0</t>
        </is>
      </c>
      <c r="N796" t="inlineStr">
        <is>
          <t>Rockville, Md. : Aspen Systems Corp., c1982.</t>
        </is>
      </c>
      <c r="O796" t="inlineStr">
        <is>
          <t>1982</t>
        </is>
      </c>
      <c r="Q796" t="inlineStr">
        <is>
          <t>eng</t>
        </is>
      </c>
      <c r="R796" t="inlineStr">
        <is>
          <t>xxu</t>
        </is>
      </c>
      <c r="T796" t="inlineStr">
        <is>
          <t xml:space="preserve">WY </t>
        </is>
      </c>
      <c r="U796" t="n">
        <v>7</v>
      </c>
      <c r="V796" t="n">
        <v>7</v>
      </c>
      <c r="W796" t="inlineStr">
        <is>
          <t>1997-02-17</t>
        </is>
      </c>
      <c r="X796" t="inlineStr">
        <is>
          <t>1997-02-17</t>
        </is>
      </c>
      <c r="Y796" t="inlineStr">
        <is>
          <t>1987-12-29</t>
        </is>
      </c>
      <c r="Z796" t="inlineStr">
        <is>
          <t>1987-12-29</t>
        </is>
      </c>
      <c r="AA796" t="n">
        <v>321</v>
      </c>
      <c r="AB796" t="n">
        <v>288</v>
      </c>
      <c r="AC796" t="n">
        <v>291</v>
      </c>
      <c r="AD796" t="n">
        <v>3</v>
      </c>
      <c r="AE796" t="n">
        <v>3</v>
      </c>
      <c r="AF796" t="n">
        <v>17</v>
      </c>
      <c r="AG796" t="n">
        <v>17</v>
      </c>
      <c r="AH796" t="n">
        <v>9</v>
      </c>
      <c r="AI796" t="n">
        <v>9</v>
      </c>
      <c r="AJ796" t="n">
        <v>4</v>
      </c>
      <c r="AK796" t="n">
        <v>4</v>
      </c>
      <c r="AL796" t="n">
        <v>8</v>
      </c>
      <c r="AM796" t="n">
        <v>8</v>
      </c>
      <c r="AN796" t="n">
        <v>2</v>
      </c>
      <c r="AO796" t="n">
        <v>2</v>
      </c>
      <c r="AP796" t="n">
        <v>0</v>
      </c>
      <c r="AQ796" t="n">
        <v>0</v>
      </c>
      <c r="AR796" t="inlineStr">
        <is>
          <t>No</t>
        </is>
      </c>
      <c r="AS796" t="inlineStr">
        <is>
          <t>Yes</t>
        </is>
      </c>
      <c r="AT796">
        <f>HYPERLINK("http://catalog.hathitrust.org/Record/000146547","HathiTrust Record")</f>
        <v/>
      </c>
      <c r="AU796">
        <f>HYPERLINK("https://creighton-primo.hosted.exlibrisgroup.com/primo-explore/search?tab=default_tab&amp;search_scope=EVERYTHING&amp;vid=01CRU&amp;lang=en_US&amp;offset=0&amp;query=any,contains,991001133379702656","Catalog Record")</f>
        <v/>
      </c>
      <c r="AV796">
        <f>HYPERLINK("http://www.worldcat.org/oclc/7876010","WorldCat Record")</f>
        <v/>
      </c>
      <c r="AW796" t="inlineStr">
        <is>
          <t>29632665:eng</t>
        </is>
      </c>
      <c r="AX796" t="inlineStr">
        <is>
          <t>7876010</t>
        </is>
      </c>
      <c r="AY796" t="inlineStr">
        <is>
          <t>991001133379702656</t>
        </is>
      </c>
      <c r="AZ796" t="inlineStr">
        <is>
          <t>991001133379702656</t>
        </is>
      </c>
      <c r="BA796" t="inlineStr">
        <is>
          <t>2266183380002656</t>
        </is>
      </c>
      <c r="BB796" t="inlineStr">
        <is>
          <t>BOOK</t>
        </is>
      </c>
      <c r="BD796" t="inlineStr">
        <is>
          <t>9780894436505</t>
        </is>
      </c>
      <c r="BE796" t="inlineStr">
        <is>
          <t>30001000285785</t>
        </is>
      </c>
      <c r="BF796" t="inlineStr">
        <is>
          <t>893638062</t>
        </is>
      </c>
    </row>
    <row r="797">
      <c r="A797" t="inlineStr">
        <is>
          <t>No</t>
        </is>
      </c>
      <c r="B797" t="inlineStr">
        <is>
          <t>CUHSL</t>
        </is>
      </c>
      <c r="C797" t="inlineStr">
        <is>
          <t>SHELVES</t>
        </is>
      </c>
      <c r="D797" t="inlineStr">
        <is>
          <t>WY 87 C967 1996</t>
        </is>
      </c>
      <c r="E797" t="inlineStr">
        <is>
          <t>0                      WY 0087000C  967         1996</t>
        </is>
      </c>
      <c r="F797" t="inlineStr">
        <is>
          <t>Culture &amp; nursing care : a pocket guide / edited by Juliene G. Lipson, Suzanne L. Dibble, Pamela A. Minarik.</t>
        </is>
      </c>
      <c r="H797" t="inlineStr">
        <is>
          <t>No</t>
        </is>
      </c>
      <c r="I797" t="inlineStr">
        <is>
          <t>1</t>
        </is>
      </c>
      <c r="J797" t="inlineStr">
        <is>
          <t>No</t>
        </is>
      </c>
      <c r="K797" t="inlineStr">
        <is>
          <t>No</t>
        </is>
      </c>
      <c r="L797" t="inlineStr">
        <is>
          <t>0</t>
        </is>
      </c>
      <c r="N797" t="inlineStr">
        <is>
          <t>San Francisco : UCSF Nursing Press, c1996.</t>
        </is>
      </c>
      <c r="O797" t="inlineStr">
        <is>
          <t>1996</t>
        </is>
      </c>
      <c r="Q797" t="inlineStr">
        <is>
          <t>eng</t>
        </is>
      </c>
      <c r="R797" t="inlineStr">
        <is>
          <t>xxu</t>
        </is>
      </c>
      <c r="T797" t="inlineStr">
        <is>
          <t xml:space="preserve">WY </t>
        </is>
      </c>
      <c r="U797" t="n">
        <v>8</v>
      </c>
      <c r="V797" t="n">
        <v>8</v>
      </c>
      <c r="W797" t="inlineStr">
        <is>
          <t>2001-09-26</t>
        </is>
      </c>
      <c r="X797" t="inlineStr">
        <is>
          <t>2001-09-26</t>
        </is>
      </c>
      <c r="Y797" t="inlineStr">
        <is>
          <t>1997-06-09</t>
        </is>
      </c>
      <c r="Z797" t="inlineStr">
        <is>
          <t>1997-06-09</t>
        </is>
      </c>
      <c r="AA797" t="n">
        <v>195</v>
      </c>
      <c r="AB797" t="n">
        <v>176</v>
      </c>
      <c r="AC797" t="n">
        <v>248</v>
      </c>
      <c r="AD797" t="n">
        <v>1</v>
      </c>
      <c r="AE797" t="n">
        <v>3</v>
      </c>
      <c r="AF797" t="n">
        <v>5</v>
      </c>
      <c r="AG797" t="n">
        <v>11</v>
      </c>
      <c r="AH797" t="n">
        <v>3</v>
      </c>
      <c r="AI797" t="n">
        <v>4</v>
      </c>
      <c r="AJ797" t="n">
        <v>0</v>
      </c>
      <c r="AK797" t="n">
        <v>1</v>
      </c>
      <c r="AL797" t="n">
        <v>3</v>
      </c>
      <c r="AM797" t="n">
        <v>7</v>
      </c>
      <c r="AN797" t="n">
        <v>0</v>
      </c>
      <c r="AO797" t="n">
        <v>1</v>
      </c>
      <c r="AP797" t="n">
        <v>0</v>
      </c>
      <c r="AQ797" t="n">
        <v>0</v>
      </c>
      <c r="AR797" t="inlineStr">
        <is>
          <t>No</t>
        </is>
      </c>
      <c r="AS797" t="inlineStr">
        <is>
          <t>Yes</t>
        </is>
      </c>
      <c r="AT797">
        <f>HYPERLINK("http://catalog.hathitrust.org/Record/003189682","HathiTrust Record")</f>
        <v/>
      </c>
      <c r="AU797">
        <f>HYPERLINK("https://creighton-primo.hosted.exlibrisgroup.com/primo-explore/search?tab=default_tab&amp;search_scope=EVERYTHING&amp;vid=01CRU&amp;lang=en_US&amp;offset=0&amp;query=any,contains,991001792089702656","Catalog Record")</f>
        <v/>
      </c>
      <c r="AV797">
        <f>HYPERLINK("http://www.worldcat.org/oclc/36470638","WorldCat Record")</f>
        <v/>
      </c>
      <c r="AW797" t="inlineStr">
        <is>
          <t>364652794:eng</t>
        </is>
      </c>
      <c r="AX797" t="inlineStr">
        <is>
          <t>36470638</t>
        </is>
      </c>
      <c r="AY797" t="inlineStr">
        <is>
          <t>991001792089702656</t>
        </is>
      </c>
      <c r="AZ797" t="inlineStr">
        <is>
          <t>991001792089702656</t>
        </is>
      </c>
      <c r="BA797" t="inlineStr">
        <is>
          <t>2259730380002656</t>
        </is>
      </c>
      <c r="BB797" t="inlineStr">
        <is>
          <t>BOOK</t>
        </is>
      </c>
      <c r="BD797" t="inlineStr">
        <is>
          <t>9780943671154</t>
        </is>
      </c>
      <c r="BE797" t="inlineStr">
        <is>
          <t>30001003682590</t>
        </is>
      </c>
      <c r="BF797" t="inlineStr">
        <is>
          <t>893461156</t>
        </is>
      </c>
    </row>
    <row r="798">
      <c r="A798" t="inlineStr">
        <is>
          <t>No</t>
        </is>
      </c>
      <c r="B798" t="inlineStr">
        <is>
          <t>CUHSL</t>
        </is>
      </c>
      <c r="C798" t="inlineStr">
        <is>
          <t>SHELVES</t>
        </is>
      </c>
      <c r="D798" t="inlineStr">
        <is>
          <t>WY 87 C987 2001</t>
        </is>
      </c>
      <c r="E798" t="inlineStr">
        <is>
          <t>0                      WY 0087000C  987         2001</t>
        </is>
      </c>
      <c r="F798" t="inlineStr">
        <is>
          <t>Culture care diversity and universality : a theory of nursing / Madeleine M. Leininger, editor.</t>
        </is>
      </c>
      <c r="H798" t="inlineStr">
        <is>
          <t>No</t>
        </is>
      </c>
      <c r="I798" t="inlineStr">
        <is>
          <t>1</t>
        </is>
      </c>
      <c r="J798" t="inlineStr">
        <is>
          <t>No</t>
        </is>
      </c>
      <c r="K798" t="inlineStr">
        <is>
          <t>Yes</t>
        </is>
      </c>
      <c r="L798" t="inlineStr">
        <is>
          <t>0</t>
        </is>
      </c>
      <c r="N798" t="inlineStr">
        <is>
          <t>Boston : Jones and Bartlett Publishers, 2001.</t>
        </is>
      </c>
      <c r="O798" t="inlineStr">
        <is>
          <t>2001</t>
        </is>
      </c>
      <c r="Q798" t="inlineStr">
        <is>
          <t>eng</t>
        </is>
      </c>
      <c r="R798" t="inlineStr">
        <is>
          <t>mau</t>
        </is>
      </c>
      <c r="S798" t="inlineStr">
        <is>
          <t>NLN Pub. No. 14-8254</t>
        </is>
      </c>
      <c r="T798" t="inlineStr">
        <is>
          <t xml:space="preserve">WY </t>
        </is>
      </c>
      <c r="U798" t="n">
        <v>3</v>
      </c>
      <c r="V798" t="n">
        <v>3</v>
      </c>
      <c r="W798" t="inlineStr">
        <is>
          <t>2004-09-14</t>
        </is>
      </c>
      <c r="X798" t="inlineStr">
        <is>
          <t>2004-09-14</t>
        </is>
      </c>
      <c r="Y798" t="inlineStr">
        <is>
          <t>2001-12-16</t>
        </is>
      </c>
      <c r="Z798" t="inlineStr">
        <is>
          <t>2001-12-16</t>
        </is>
      </c>
      <c r="AA798" t="n">
        <v>338</v>
      </c>
      <c r="AB798" t="n">
        <v>289</v>
      </c>
      <c r="AC798" t="n">
        <v>803</v>
      </c>
      <c r="AD798" t="n">
        <v>4</v>
      </c>
      <c r="AE798" t="n">
        <v>9</v>
      </c>
      <c r="AF798" t="n">
        <v>16</v>
      </c>
      <c r="AG798" t="n">
        <v>37</v>
      </c>
      <c r="AH798" t="n">
        <v>7</v>
      </c>
      <c r="AI798" t="n">
        <v>16</v>
      </c>
      <c r="AJ798" t="n">
        <v>4</v>
      </c>
      <c r="AK798" t="n">
        <v>6</v>
      </c>
      <c r="AL798" t="n">
        <v>5</v>
      </c>
      <c r="AM798" t="n">
        <v>15</v>
      </c>
      <c r="AN798" t="n">
        <v>2</v>
      </c>
      <c r="AO798" t="n">
        <v>7</v>
      </c>
      <c r="AP798" t="n">
        <v>0</v>
      </c>
      <c r="AQ798" t="n">
        <v>0</v>
      </c>
      <c r="AR798" t="inlineStr">
        <is>
          <t>No</t>
        </is>
      </c>
      <c r="AS798" t="inlineStr">
        <is>
          <t>Yes</t>
        </is>
      </c>
      <c r="AT798">
        <f>HYPERLINK("http://catalog.hathitrust.org/Record/003545810","HathiTrust Record")</f>
        <v/>
      </c>
      <c r="AU798">
        <f>HYPERLINK("https://creighton-primo.hosted.exlibrisgroup.com/primo-explore/search?tab=default_tab&amp;search_scope=EVERYTHING&amp;vid=01CRU&amp;lang=en_US&amp;offset=0&amp;query=any,contains,991000295919702656","Catalog Record")</f>
        <v/>
      </c>
      <c r="AV798">
        <f>HYPERLINK("http://www.worldcat.org/oclc/45917120","WorldCat Record")</f>
        <v/>
      </c>
      <c r="AW798" t="inlineStr">
        <is>
          <t>891794548:eng</t>
        </is>
      </c>
      <c r="AX798" t="inlineStr">
        <is>
          <t>45917120</t>
        </is>
      </c>
      <c r="AY798" t="inlineStr">
        <is>
          <t>991000295919702656</t>
        </is>
      </c>
      <c r="AZ798" t="inlineStr">
        <is>
          <t>991000295919702656</t>
        </is>
      </c>
      <c r="BA798" t="inlineStr">
        <is>
          <t>2270021030002656</t>
        </is>
      </c>
      <c r="BB798" t="inlineStr">
        <is>
          <t>BOOK</t>
        </is>
      </c>
      <c r="BD798" t="inlineStr">
        <is>
          <t>9780763718251</t>
        </is>
      </c>
      <c r="BE798" t="inlineStr">
        <is>
          <t>30001004466597</t>
        </is>
      </c>
      <c r="BF798" t="inlineStr">
        <is>
          <t>893122542</t>
        </is>
      </c>
    </row>
    <row r="799">
      <c r="A799" t="inlineStr">
        <is>
          <t>No</t>
        </is>
      </c>
      <c r="B799" t="inlineStr">
        <is>
          <t>CUHSL</t>
        </is>
      </c>
      <c r="C799" t="inlineStr">
        <is>
          <t>SHELVES</t>
        </is>
      </c>
      <c r="D799" t="inlineStr">
        <is>
          <t>WY 87 D261L 1984</t>
        </is>
      </c>
      <c r="E799" t="inlineStr">
        <is>
          <t>0                      WY 0087000D  261L        1984</t>
        </is>
      </c>
      <c r="F799" t="inlineStr">
        <is>
          <t>Listening and responding / A. Jann Davis.</t>
        </is>
      </c>
      <c r="H799" t="inlineStr">
        <is>
          <t>No</t>
        </is>
      </c>
      <c r="I799" t="inlineStr">
        <is>
          <t>1</t>
        </is>
      </c>
      <c r="J799" t="inlineStr">
        <is>
          <t>No</t>
        </is>
      </c>
      <c r="K799" t="inlineStr">
        <is>
          <t>No</t>
        </is>
      </c>
      <c r="L799" t="inlineStr">
        <is>
          <t>0</t>
        </is>
      </c>
      <c r="M799" t="inlineStr">
        <is>
          <t>Davis, A. Jann.</t>
        </is>
      </c>
      <c r="N799" t="inlineStr">
        <is>
          <t>St. Louis : Mosby, c1984.</t>
        </is>
      </c>
      <c r="O799" t="inlineStr">
        <is>
          <t>1984</t>
        </is>
      </c>
      <c r="Q799" t="inlineStr">
        <is>
          <t>eng</t>
        </is>
      </c>
      <c r="R799" t="inlineStr">
        <is>
          <t xml:space="preserve">xx </t>
        </is>
      </c>
      <c r="T799" t="inlineStr">
        <is>
          <t xml:space="preserve">WY </t>
        </is>
      </c>
      <c r="U799" t="n">
        <v>5</v>
      </c>
      <c r="V799" t="n">
        <v>5</v>
      </c>
      <c r="W799" t="inlineStr">
        <is>
          <t>1995-11-13</t>
        </is>
      </c>
      <c r="X799" t="inlineStr">
        <is>
          <t>1995-11-13</t>
        </is>
      </c>
      <c r="Y799" t="inlineStr">
        <is>
          <t>1987-12-29</t>
        </is>
      </c>
      <c r="Z799" t="inlineStr">
        <is>
          <t>1987-12-29</t>
        </is>
      </c>
      <c r="AA799" t="n">
        <v>290</v>
      </c>
      <c r="AB799" t="n">
        <v>230</v>
      </c>
      <c r="AC799" t="n">
        <v>237</v>
      </c>
      <c r="AD799" t="n">
        <v>2</v>
      </c>
      <c r="AE799" t="n">
        <v>2</v>
      </c>
      <c r="AF799" t="n">
        <v>6</v>
      </c>
      <c r="AG799" t="n">
        <v>6</v>
      </c>
      <c r="AH799" t="n">
        <v>3</v>
      </c>
      <c r="AI799" t="n">
        <v>3</v>
      </c>
      <c r="AJ799" t="n">
        <v>1</v>
      </c>
      <c r="AK799" t="n">
        <v>1</v>
      </c>
      <c r="AL799" t="n">
        <v>4</v>
      </c>
      <c r="AM799" t="n">
        <v>4</v>
      </c>
      <c r="AN799" t="n">
        <v>0</v>
      </c>
      <c r="AO799" t="n">
        <v>0</v>
      </c>
      <c r="AP799" t="n">
        <v>0</v>
      </c>
      <c r="AQ799" t="n">
        <v>0</v>
      </c>
      <c r="AR799" t="inlineStr">
        <is>
          <t>No</t>
        </is>
      </c>
      <c r="AS799" t="inlineStr">
        <is>
          <t>Yes</t>
        </is>
      </c>
      <c r="AT799">
        <f>HYPERLINK("http://catalog.hathitrust.org/Record/000162474","HathiTrust Record")</f>
        <v/>
      </c>
      <c r="AU799">
        <f>HYPERLINK("https://creighton-primo.hosted.exlibrisgroup.com/primo-explore/search?tab=default_tab&amp;search_scope=EVERYTHING&amp;vid=01CRU&amp;lang=en_US&amp;offset=0&amp;query=any,contains,991001133469702656","Catalog Record")</f>
        <v/>
      </c>
      <c r="AV799">
        <f>HYPERLINK("http://www.worldcat.org/oclc/9413003","WorldCat Record")</f>
        <v/>
      </c>
      <c r="AW799" t="inlineStr">
        <is>
          <t>43557039:eng</t>
        </is>
      </c>
      <c r="AX799" t="inlineStr">
        <is>
          <t>9413003</t>
        </is>
      </c>
      <c r="AY799" t="inlineStr">
        <is>
          <t>991001133469702656</t>
        </is>
      </c>
      <c r="AZ799" t="inlineStr">
        <is>
          <t>991001133469702656</t>
        </is>
      </c>
      <c r="BA799" t="inlineStr">
        <is>
          <t>2263633570002656</t>
        </is>
      </c>
      <c r="BB799" t="inlineStr">
        <is>
          <t>BOOK</t>
        </is>
      </c>
      <c r="BD799" t="inlineStr">
        <is>
          <t>9780801612305</t>
        </is>
      </c>
      <c r="BE799" t="inlineStr">
        <is>
          <t>30001000285801</t>
        </is>
      </c>
      <c r="BF799" t="inlineStr">
        <is>
          <t>893557638</t>
        </is>
      </c>
    </row>
    <row r="800">
      <c r="A800" t="inlineStr">
        <is>
          <t>No</t>
        </is>
      </c>
      <c r="B800" t="inlineStr">
        <is>
          <t>CUHSL</t>
        </is>
      </c>
      <c r="C800" t="inlineStr">
        <is>
          <t>SHELVES</t>
        </is>
      </c>
      <c r="D800" t="inlineStr">
        <is>
          <t>WY 87 D265n 1980</t>
        </is>
      </c>
      <c r="E800" t="inlineStr">
        <is>
          <t>0                      WY 0087000D  265n        1980</t>
        </is>
      </c>
      <c r="F800" t="inlineStr">
        <is>
          <t>Nurses' responses to patients' suffering / Lois Leiderman Davitz, Joel Robert Davitz, with Charlene Fischi Rubin.</t>
        </is>
      </c>
      <c r="H800" t="inlineStr">
        <is>
          <t>No</t>
        </is>
      </c>
      <c r="I800" t="inlineStr">
        <is>
          <t>1</t>
        </is>
      </c>
      <c r="J800" t="inlineStr">
        <is>
          <t>No</t>
        </is>
      </c>
      <c r="K800" t="inlineStr">
        <is>
          <t>No</t>
        </is>
      </c>
      <c r="L800" t="inlineStr">
        <is>
          <t>0</t>
        </is>
      </c>
      <c r="M800" t="inlineStr">
        <is>
          <t>Davitz, Lois Jean.</t>
        </is>
      </c>
      <c r="N800" t="inlineStr">
        <is>
          <t>New York : Springer Pub. Co., c1980.</t>
        </is>
      </c>
      <c r="O800" t="inlineStr">
        <is>
          <t>1980</t>
        </is>
      </c>
      <c r="Q800" t="inlineStr">
        <is>
          <t>eng</t>
        </is>
      </c>
      <c r="R800" t="inlineStr">
        <is>
          <t>nyu</t>
        </is>
      </c>
      <c r="T800" t="inlineStr">
        <is>
          <t xml:space="preserve">WY </t>
        </is>
      </c>
      <c r="U800" t="n">
        <v>3</v>
      </c>
      <c r="V800" t="n">
        <v>3</v>
      </c>
      <c r="W800" t="inlineStr">
        <is>
          <t>1999-03-04</t>
        </is>
      </c>
      <c r="X800" t="inlineStr">
        <is>
          <t>1999-03-04</t>
        </is>
      </c>
      <c r="Y800" t="inlineStr">
        <is>
          <t>1987-12-29</t>
        </is>
      </c>
      <c r="Z800" t="inlineStr">
        <is>
          <t>1987-12-29</t>
        </is>
      </c>
      <c r="AA800" t="n">
        <v>289</v>
      </c>
      <c r="AB800" t="n">
        <v>239</v>
      </c>
      <c r="AC800" t="n">
        <v>246</v>
      </c>
      <c r="AD800" t="n">
        <v>3</v>
      </c>
      <c r="AE800" t="n">
        <v>3</v>
      </c>
      <c r="AF800" t="n">
        <v>16</v>
      </c>
      <c r="AG800" t="n">
        <v>16</v>
      </c>
      <c r="AH800" t="n">
        <v>5</v>
      </c>
      <c r="AI800" t="n">
        <v>5</v>
      </c>
      <c r="AJ800" t="n">
        <v>4</v>
      </c>
      <c r="AK800" t="n">
        <v>4</v>
      </c>
      <c r="AL800" t="n">
        <v>7</v>
      </c>
      <c r="AM800" t="n">
        <v>7</v>
      </c>
      <c r="AN800" t="n">
        <v>2</v>
      </c>
      <c r="AO800" t="n">
        <v>2</v>
      </c>
      <c r="AP800" t="n">
        <v>0</v>
      </c>
      <c r="AQ800" t="n">
        <v>0</v>
      </c>
      <c r="AR800" t="inlineStr">
        <is>
          <t>No</t>
        </is>
      </c>
      <c r="AS800" t="inlineStr">
        <is>
          <t>Yes</t>
        </is>
      </c>
      <c r="AT800">
        <f>HYPERLINK("http://catalog.hathitrust.org/Record/000102015","HathiTrust Record")</f>
        <v/>
      </c>
      <c r="AU800">
        <f>HYPERLINK("https://creighton-primo.hosted.exlibrisgroup.com/primo-explore/search?tab=default_tab&amp;search_scope=EVERYTHING&amp;vid=01CRU&amp;lang=en_US&amp;offset=0&amp;query=any,contains,991001133669702656","Catalog Record")</f>
        <v/>
      </c>
      <c r="AV800">
        <f>HYPERLINK("http://www.worldcat.org/oclc/6196523","WorldCat Record")</f>
        <v/>
      </c>
      <c r="AW800" t="inlineStr">
        <is>
          <t>493110:eng</t>
        </is>
      </c>
      <c r="AX800" t="inlineStr">
        <is>
          <t>6196523</t>
        </is>
      </c>
      <c r="AY800" t="inlineStr">
        <is>
          <t>991001133669702656</t>
        </is>
      </c>
      <c r="AZ800" t="inlineStr">
        <is>
          <t>991001133669702656</t>
        </is>
      </c>
      <c r="BA800" t="inlineStr">
        <is>
          <t>2266182020002656</t>
        </is>
      </c>
      <c r="BB800" t="inlineStr">
        <is>
          <t>BOOK</t>
        </is>
      </c>
      <c r="BD800" t="inlineStr">
        <is>
          <t>9780826129208</t>
        </is>
      </c>
      <c r="BE800" t="inlineStr">
        <is>
          <t>30001000285850</t>
        </is>
      </c>
      <c r="BF800" t="inlineStr">
        <is>
          <t>893278753</t>
        </is>
      </c>
    </row>
    <row r="801">
      <c r="A801" t="inlineStr">
        <is>
          <t>No</t>
        </is>
      </c>
      <c r="B801" t="inlineStr">
        <is>
          <t>CUHSL</t>
        </is>
      </c>
      <c r="C801" t="inlineStr">
        <is>
          <t>SHELVES</t>
        </is>
      </c>
      <c r="D801" t="inlineStr">
        <is>
          <t>WY 87 D279 1976</t>
        </is>
      </c>
      <c r="E801" t="inlineStr">
        <is>
          <t>0                      WY 0087000D  279         1976</t>
        </is>
      </c>
      <c r="F801" t="inlineStr">
        <is>
          <t>Dealing with death and dying.</t>
        </is>
      </c>
      <c r="H801" t="inlineStr">
        <is>
          <t>No</t>
        </is>
      </c>
      <c r="I801" t="inlineStr">
        <is>
          <t>1</t>
        </is>
      </c>
      <c r="J801" t="inlineStr">
        <is>
          <t>No</t>
        </is>
      </c>
      <c r="K801" t="inlineStr">
        <is>
          <t>No</t>
        </is>
      </c>
      <c r="L801" t="inlineStr">
        <is>
          <t>0</t>
        </is>
      </c>
      <c r="N801" t="inlineStr">
        <is>
          <t>Jenkintown, Pa. : Intermed Communications, c1976.</t>
        </is>
      </c>
      <c r="O801" t="inlineStr">
        <is>
          <t>1976</t>
        </is>
      </c>
      <c r="P801" t="inlineStr">
        <is>
          <t>2nd ed.</t>
        </is>
      </c>
      <c r="Q801" t="inlineStr">
        <is>
          <t>eng</t>
        </is>
      </c>
      <c r="R801" t="inlineStr">
        <is>
          <t>pau</t>
        </is>
      </c>
      <c r="S801" t="inlineStr">
        <is>
          <t>Nursing skillbook</t>
        </is>
      </c>
      <c r="T801" t="inlineStr">
        <is>
          <t xml:space="preserve">WY </t>
        </is>
      </c>
      <c r="U801" t="n">
        <v>1</v>
      </c>
      <c r="V801" t="n">
        <v>1</v>
      </c>
      <c r="W801" t="inlineStr">
        <is>
          <t>1990-02-23</t>
        </is>
      </c>
      <c r="X801" t="inlineStr">
        <is>
          <t>1990-02-23</t>
        </is>
      </c>
      <c r="Y801" t="inlineStr">
        <is>
          <t>1987-12-29</t>
        </is>
      </c>
      <c r="Z801" t="inlineStr">
        <is>
          <t>1987-12-29</t>
        </is>
      </c>
      <c r="AA801" t="n">
        <v>101</v>
      </c>
      <c r="AB801" t="n">
        <v>95</v>
      </c>
      <c r="AC801" t="n">
        <v>95</v>
      </c>
      <c r="AD801" t="n">
        <v>2</v>
      </c>
      <c r="AE801" t="n">
        <v>2</v>
      </c>
      <c r="AF801" t="n">
        <v>4</v>
      </c>
      <c r="AG801" t="n">
        <v>4</v>
      </c>
      <c r="AH801" t="n">
        <v>0</v>
      </c>
      <c r="AI801" t="n">
        <v>0</v>
      </c>
      <c r="AJ801" t="n">
        <v>0</v>
      </c>
      <c r="AK801" t="n">
        <v>0</v>
      </c>
      <c r="AL801" t="n">
        <v>3</v>
      </c>
      <c r="AM801" t="n">
        <v>3</v>
      </c>
      <c r="AN801" t="n">
        <v>1</v>
      </c>
      <c r="AO801" t="n">
        <v>1</v>
      </c>
      <c r="AP801" t="n">
        <v>0</v>
      </c>
      <c r="AQ801" t="n">
        <v>0</v>
      </c>
      <c r="AR801" t="inlineStr">
        <is>
          <t>No</t>
        </is>
      </c>
      <c r="AS801" t="inlineStr">
        <is>
          <t>No</t>
        </is>
      </c>
      <c r="AU801">
        <f>HYPERLINK("https://creighton-primo.hosted.exlibrisgroup.com/primo-explore/search?tab=default_tab&amp;search_scope=EVERYTHING&amp;vid=01CRU&amp;lang=en_US&amp;offset=0&amp;query=any,contains,991001133699702656","Catalog Record")</f>
        <v/>
      </c>
      <c r="AV801">
        <f>HYPERLINK("http://www.worldcat.org/oclc/6545945","WorldCat Record")</f>
        <v/>
      </c>
      <c r="AW801" t="inlineStr">
        <is>
          <t>5616463868:eng</t>
        </is>
      </c>
      <c r="AX801" t="inlineStr">
        <is>
          <t>6545945</t>
        </is>
      </c>
      <c r="AY801" t="inlineStr">
        <is>
          <t>991001133699702656</t>
        </is>
      </c>
      <c r="AZ801" t="inlineStr">
        <is>
          <t>991001133699702656</t>
        </is>
      </c>
      <c r="BA801" t="inlineStr">
        <is>
          <t>2266729370002656</t>
        </is>
      </c>
      <c r="BB801" t="inlineStr">
        <is>
          <t>BOOK</t>
        </is>
      </c>
      <c r="BD801" t="inlineStr">
        <is>
          <t>9780916730017</t>
        </is>
      </c>
      <c r="BE801" t="inlineStr">
        <is>
          <t>30001000285868</t>
        </is>
      </c>
      <c r="BF801" t="inlineStr">
        <is>
          <t>893736254</t>
        </is>
      </c>
    </row>
    <row r="802">
      <c r="A802" t="inlineStr">
        <is>
          <t>No</t>
        </is>
      </c>
      <c r="B802" t="inlineStr">
        <is>
          <t>CUHSL</t>
        </is>
      </c>
      <c r="C802" t="inlineStr">
        <is>
          <t>SHELVES</t>
        </is>
      </c>
      <c r="D802" t="inlineStr">
        <is>
          <t>WY 87 D411p 1967</t>
        </is>
      </c>
      <c r="E802" t="inlineStr">
        <is>
          <t>0                      WY 0087000D  411p        1967</t>
        </is>
      </c>
      <c r="F802" t="inlineStr">
        <is>
          <t>Psychology of human behavior for nurses.</t>
        </is>
      </c>
      <c r="H802" t="inlineStr">
        <is>
          <t>No</t>
        </is>
      </c>
      <c r="I802" t="inlineStr">
        <is>
          <t>1</t>
        </is>
      </c>
      <c r="J802" t="inlineStr">
        <is>
          <t>No</t>
        </is>
      </c>
      <c r="K802" t="inlineStr">
        <is>
          <t>No</t>
        </is>
      </c>
      <c r="L802" t="inlineStr">
        <is>
          <t>0</t>
        </is>
      </c>
      <c r="M802" t="inlineStr">
        <is>
          <t>Dennis, Lorraine Bradt.</t>
        </is>
      </c>
      <c r="N802" t="inlineStr">
        <is>
          <t>Philadelphia : Saunders, 1967.</t>
        </is>
      </c>
      <c r="O802" t="inlineStr">
        <is>
          <t>1967</t>
        </is>
      </c>
      <c r="P802" t="inlineStr">
        <is>
          <t>3rd ed.</t>
        </is>
      </c>
      <c r="Q802" t="inlineStr">
        <is>
          <t>eng</t>
        </is>
      </c>
      <c r="R802" t="inlineStr">
        <is>
          <t>pau</t>
        </is>
      </c>
      <c r="T802" t="inlineStr">
        <is>
          <t xml:space="preserve">WY </t>
        </is>
      </c>
      <c r="U802" t="n">
        <v>2</v>
      </c>
      <c r="V802" t="n">
        <v>2</v>
      </c>
      <c r="W802" t="inlineStr">
        <is>
          <t>2000-02-01</t>
        </is>
      </c>
      <c r="X802" t="inlineStr">
        <is>
          <t>2000-02-01</t>
        </is>
      </c>
      <c r="Y802" t="inlineStr">
        <is>
          <t>1988-01-05</t>
        </is>
      </c>
      <c r="Z802" t="inlineStr">
        <is>
          <t>1988-01-05</t>
        </is>
      </c>
      <c r="AA802" t="n">
        <v>240</v>
      </c>
      <c r="AB802" t="n">
        <v>175</v>
      </c>
      <c r="AC802" t="n">
        <v>269</v>
      </c>
      <c r="AD802" t="n">
        <v>2</v>
      </c>
      <c r="AE802" t="n">
        <v>2</v>
      </c>
      <c r="AF802" t="n">
        <v>4</v>
      </c>
      <c r="AG802" t="n">
        <v>8</v>
      </c>
      <c r="AH802" t="n">
        <v>2</v>
      </c>
      <c r="AI802" t="n">
        <v>5</v>
      </c>
      <c r="AJ802" t="n">
        <v>0</v>
      </c>
      <c r="AK802" t="n">
        <v>1</v>
      </c>
      <c r="AL802" t="n">
        <v>1</v>
      </c>
      <c r="AM802" t="n">
        <v>2</v>
      </c>
      <c r="AN802" t="n">
        <v>1</v>
      </c>
      <c r="AO802" t="n">
        <v>1</v>
      </c>
      <c r="AP802" t="n">
        <v>0</v>
      </c>
      <c r="AQ802" t="n">
        <v>0</v>
      </c>
      <c r="AR802" t="inlineStr">
        <is>
          <t>No</t>
        </is>
      </c>
      <c r="AS802" t="inlineStr">
        <is>
          <t>Yes</t>
        </is>
      </c>
      <c r="AT802">
        <f>HYPERLINK("http://catalog.hathitrust.org/Record/000662849","HathiTrust Record")</f>
        <v/>
      </c>
      <c r="AU802">
        <f>HYPERLINK("https://creighton-primo.hosted.exlibrisgroup.com/primo-explore/search?tab=default_tab&amp;search_scope=EVERYTHING&amp;vid=01CRU&amp;lang=en_US&amp;offset=0&amp;query=any,contains,991001133839702656","Catalog Record")</f>
        <v/>
      </c>
      <c r="AV802">
        <f>HYPERLINK("http://www.worldcat.org/oclc/1129695","WorldCat Record")</f>
        <v/>
      </c>
      <c r="AW802" t="inlineStr">
        <is>
          <t>2043082:eng</t>
        </is>
      </c>
      <c r="AX802" t="inlineStr">
        <is>
          <t>1129695</t>
        </is>
      </c>
      <c r="AY802" t="inlineStr">
        <is>
          <t>991001133839702656</t>
        </is>
      </c>
      <c r="AZ802" t="inlineStr">
        <is>
          <t>991001133839702656</t>
        </is>
      </c>
      <c r="BA802" t="inlineStr">
        <is>
          <t>2272397090002656</t>
        </is>
      </c>
      <c r="BB802" t="inlineStr">
        <is>
          <t>BOOK</t>
        </is>
      </c>
      <c r="BE802" t="inlineStr">
        <is>
          <t>30001000285876</t>
        </is>
      </c>
      <c r="BF802" t="inlineStr">
        <is>
          <t>893148892</t>
        </is>
      </c>
    </row>
    <row r="803">
      <c r="A803" t="inlineStr">
        <is>
          <t>No</t>
        </is>
      </c>
      <c r="B803" t="inlineStr">
        <is>
          <t>CUHSL</t>
        </is>
      </c>
      <c r="C803" t="inlineStr">
        <is>
          <t>SHELVES</t>
        </is>
      </c>
      <c r="D803" t="inlineStr">
        <is>
          <t>WY 87 D614 1981</t>
        </is>
      </c>
      <c r="E803" t="inlineStr">
        <is>
          <t>0                      WY 0087000D  614         1981</t>
        </is>
      </c>
      <c r="F803" t="inlineStr">
        <is>
          <t>Distress reduction through sensory preparation / CURN Project ; principal investigator, Jo Anne Horsley ; the protocol manuscript ... prepared by Margaret A. Reynolds, Karen B. Haller.</t>
        </is>
      </c>
      <c r="H803" t="inlineStr">
        <is>
          <t>No</t>
        </is>
      </c>
      <c r="I803" t="inlineStr">
        <is>
          <t>1</t>
        </is>
      </c>
      <c r="J803" t="inlineStr">
        <is>
          <t>No</t>
        </is>
      </c>
      <c r="K803" t="inlineStr">
        <is>
          <t>No</t>
        </is>
      </c>
      <c r="L803" t="inlineStr">
        <is>
          <t>0</t>
        </is>
      </c>
      <c r="N803" t="inlineStr">
        <is>
          <t>New York : Grune &amp; Stratton, c1981.</t>
        </is>
      </c>
      <c r="O803" t="inlineStr">
        <is>
          <t>1981</t>
        </is>
      </c>
      <c r="Q803" t="inlineStr">
        <is>
          <t>eng</t>
        </is>
      </c>
      <c r="R803" t="inlineStr">
        <is>
          <t>xxu</t>
        </is>
      </c>
      <c r="T803" t="inlineStr">
        <is>
          <t xml:space="preserve">WY </t>
        </is>
      </c>
      <c r="U803" t="n">
        <v>3</v>
      </c>
      <c r="V803" t="n">
        <v>3</v>
      </c>
      <c r="W803" t="inlineStr">
        <is>
          <t>1988-09-29</t>
        </is>
      </c>
      <c r="X803" t="inlineStr">
        <is>
          <t>1988-09-29</t>
        </is>
      </c>
      <c r="Y803" t="inlineStr">
        <is>
          <t>1987-12-29</t>
        </is>
      </c>
      <c r="Z803" t="inlineStr">
        <is>
          <t>1987-12-29</t>
        </is>
      </c>
      <c r="AA803" t="n">
        <v>145</v>
      </c>
      <c r="AB803" t="n">
        <v>109</v>
      </c>
      <c r="AC803" t="n">
        <v>111</v>
      </c>
      <c r="AD803" t="n">
        <v>2</v>
      </c>
      <c r="AE803" t="n">
        <v>2</v>
      </c>
      <c r="AF803" t="n">
        <v>5</v>
      </c>
      <c r="AG803" t="n">
        <v>5</v>
      </c>
      <c r="AH803" t="n">
        <v>1</v>
      </c>
      <c r="AI803" t="n">
        <v>1</v>
      </c>
      <c r="AJ803" t="n">
        <v>0</v>
      </c>
      <c r="AK803" t="n">
        <v>0</v>
      </c>
      <c r="AL803" t="n">
        <v>4</v>
      </c>
      <c r="AM803" t="n">
        <v>4</v>
      </c>
      <c r="AN803" t="n">
        <v>1</v>
      </c>
      <c r="AO803" t="n">
        <v>1</v>
      </c>
      <c r="AP803" t="n">
        <v>0</v>
      </c>
      <c r="AQ803" t="n">
        <v>0</v>
      </c>
      <c r="AR803" t="inlineStr">
        <is>
          <t>No</t>
        </is>
      </c>
      <c r="AS803" t="inlineStr">
        <is>
          <t>Yes</t>
        </is>
      </c>
      <c r="AT803">
        <f>HYPERLINK("http://catalog.hathitrust.org/Record/000263329","HathiTrust Record")</f>
        <v/>
      </c>
      <c r="AU803">
        <f>HYPERLINK("https://creighton-primo.hosted.exlibrisgroup.com/primo-explore/search?tab=default_tab&amp;search_scope=EVERYTHING&amp;vid=01CRU&amp;lang=en_US&amp;offset=0&amp;query=any,contains,991001133499702656","Catalog Record")</f>
        <v/>
      </c>
      <c r="AV803">
        <f>HYPERLINK("http://www.worldcat.org/oclc/7576299","WorldCat Record")</f>
        <v/>
      </c>
      <c r="AW803" t="inlineStr">
        <is>
          <t>427438363:eng</t>
        </is>
      </c>
      <c r="AX803" t="inlineStr">
        <is>
          <t>7576299</t>
        </is>
      </c>
      <c r="AY803" t="inlineStr">
        <is>
          <t>991001133499702656</t>
        </is>
      </c>
      <c r="AZ803" t="inlineStr">
        <is>
          <t>991001133499702656</t>
        </is>
      </c>
      <c r="BA803" t="inlineStr">
        <is>
          <t>2257822380002656</t>
        </is>
      </c>
      <c r="BB803" t="inlineStr">
        <is>
          <t>BOOK</t>
        </is>
      </c>
      <c r="BD803" t="inlineStr">
        <is>
          <t>9780808914006</t>
        </is>
      </c>
      <c r="BE803" t="inlineStr">
        <is>
          <t>30001000285819</t>
        </is>
      </c>
      <c r="BF803" t="inlineStr">
        <is>
          <t>893638063</t>
        </is>
      </c>
    </row>
    <row r="804">
      <c r="A804" t="inlineStr">
        <is>
          <t>No</t>
        </is>
      </c>
      <c r="B804" t="inlineStr">
        <is>
          <t>CUHSL</t>
        </is>
      </c>
      <c r="C804" t="inlineStr">
        <is>
          <t>SHELVES</t>
        </is>
      </c>
      <c r="D804" t="inlineStr">
        <is>
          <t>WY 87 D819p 1982</t>
        </is>
      </c>
      <c r="E804" t="inlineStr">
        <is>
          <t>0                      WY 0087000D  819p        1982</t>
        </is>
      </c>
      <c r="F804" t="inlineStr">
        <is>
          <t>Promoting wellness in nursing practice : a step-by-step approach in patient education / Rita Jean Dubrey.</t>
        </is>
      </c>
      <c r="H804" t="inlineStr">
        <is>
          <t>No</t>
        </is>
      </c>
      <c r="I804" t="inlineStr">
        <is>
          <t>1</t>
        </is>
      </c>
      <c r="J804" t="inlineStr">
        <is>
          <t>No</t>
        </is>
      </c>
      <c r="K804" t="inlineStr">
        <is>
          <t>No</t>
        </is>
      </c>
      <c r="L804" t="inlineStr">
        <is>
          <t>0</t>
        </is>
      </c>
      <c r="M804" t="inlineStr">
        <is>
          <t>DuBrey, Rita Jean.</t>
        </is>
      </c>
      <c r="N804" t="inlineStr">
        <is>
          <t>St. Louis : Mosby, c1982.</t>
        </is>
      </c>
      <c r="O804" t="inlineStr">
        <is>
          <t>1982</t>
        </is>
      </c>
      <c r="Q804" t="inlineStr">
        <is>
          <t>eng</t>
        </is>
      </c>
      <c r="R804" t="inlineStr">
        <is>
          <t>xxu</t>
        </is>
      </c>
      <c r="T804" t="inlineStr">
        <is>
          <t xml:space="preserve">WY </t>
        </is>
      </c>
      <c r="U804" t="n">
        <v>3</v>
      </c>
      <c r="V804" t="n">
        <v>3</v>
      </c>
      <c r="W804" t="inlineStr">
        <is>
          <t>1991-10-22</t>
        </is>
      </c>
      <c r="X804" t="inlineStr">
        <is>
          <t>1991-10-22</t>
        </is>
      </c>
      <c r="Y804" t="inlineStr">
        <is>
          <t>1987-12-29</t>
        </is>
      </c>
      <c r="Z804" t="inlineStr">
        <is>
          <t>1987-12-29</t>
        </is>
      </c>
      <c r="AA804" t="n">
        <v>234</v>
      </c>
      <c r="AB804" t="n">
        <v>185</v>
      </c>
      <c r="AC804" t="n">
        <v>187</v>
      </c>
      <c r="AD804" t="n">
        <v>2</v>
      </c>
      <c r="AE804" t="n">
        <v>2</v>
      </c>
      <c r="AF804" t="n">
        <v>5</v>
      </c>
      <c r="AG804" t="n">
        <v>5</v>
      </c>
      <c r="AH804" t="n">
        <v>2</v>
      </c>
      <c r="AI804" t="n">
        <v>2</v>
      </c>
      <c r="AJ804" t="n">
        <v>0</v>
      </c>
      <c r="AK804" t="n">
        <v>0</v>
      </c>
      <c r="AL804" t="n">
        <v>2</v>
      </c>
      <c r="AM804" t="n">
        <v>2</v>
      </c>
      <c r="AN804" t="n">
        <v>1</v>
      </c>
      <c r="AO804" t="n">
        <v>1</v>
      </c>
      <c r="AP804" t="n">
        <v>0</v>
      </c>
      <c r="AQ804" t="n">
        <v>0</v>
      </c>
      <c r="AR804" t="inlineStr">
        <is>
          <t>No</t>
        </is>
      </c>
      <c r="AS804" t="inlineStr">
        <is>
          <t>Yes</t>
        </is>
      </c>
      <c r="AT804">
        <f>HYPERLINK("http://catalog.hathitrust.org/Record/000311906","HathiTrust Record")</f>
        <v/>
      </c>
      <c r="AU804">
        <f>HYPERLINK("https://creighton-primo.hosted.exlibrisgroup.com/primo-explore/search?tab=default_tab&amp;search_scope=EVERYTHING&amp;vid=01CRU&amp;lang=en_US&amp;offset=0&amp;query=any,contains,991001133919702656","Catalog Record")</f>
        <v/>
      </c>
      <c r="AV804">
        <f>HYPERLINK("http://www.worldcat.org/oclc/8032634","WorldCat Record")</f>
        <v/>
      </c>
      <c r="AW804" t="inlineStr">
        <is>
          <t>428092821:eng</t>
        </is>
      </c>
      <c r="AX804" t="inlineStr">
        <is>
          <t>8032634</t>
        </is>
      </c>
      <c r="AY804" t="inlineStr">
        <is>
          <t>991001133919702656</t>
        </is>
      </c>
      <c r="AZ804" t="inlineStr">
        <is>
          <t>991001133919702656</t>
        </is>
      </c>
      <c r="BA804" t="inlineStr">
        <is>
          <t>2258692590002656</t>
        </is>
      </c>
      <c r="BB804" t="inlineStr">
        <is>
          <t>BOOK</t>
        </is>
      </c>
      <c r="BD804" t="inlineStr">
        <is>
          <t>9780801614804</t>
        </is>
      </c>
      <c r="BE804" t="inlineStr">
        <is>
          <t>30001000285892</t>
        </is>
      </c>
      <c r="BF804" t="inlineStr">
        <is>
          <t>893363796</t>
        </is>
      </c>
    </row>
    <row r="805">
      <c r="A805" t="inlineStr">
        <is>
          <t>No</t>
        </is>
      </c>
      <c r="B805" t="inlineStr">
        <is>
          <t>CUHSL</t>
        </is>
      </c>
      <c r="C805" t="inlineStr">
        <is>
          <t>SHELVES</t>
        </is>
      </c>
      <c r="D805" t="inlineStr">
        <is>
          <t>WY 87 E26c 1981</t>
        </is>
      </c>
      <c r="E805" t="inlineStr">
        <is>
          <t>0                      WY 0087000E  26c         1981</t>
        </is>
      </c>
      <c r="F805" t="inlineStr">
        <is>
          <t>Communication in nursing practice / Barba Jean Edwards, John K. Brilhart.</t>
        </is>
      </c>
      <c r="H805" t="inlineStr">
        <is>
          <t>No</t>
        </is>
      </c>
      <c r="I805" t="inlineStr">
        <is>
          <t>1</t>
        </is>
      </c>
      <c r="J805" t="inlineStr">
        <is>
          <t>No</t>
        </is>
      </c>
      <c r="K805" t="inlineStr">
        <is>
          <t>No</t>
        </is>
      </c>
      <c r="L805" t="inlineStr">
        <is>
          <t>0</t>
        </is>
      </c>
      <c r="M805" t="inlineStr">
        <is>
          <t>Edwards, Barba Jean, 1930-</t>
        </is>
      </c>
      <c r="N805" t="inlineStr">
        <is>
          <t>St. Louis : Mosby, c1981.</t>
        </is>
      </c>
      <c r="O805" t="inlineStr">
        <is>
          <t>1981</t>
        </is>
      </c>
      <c r="Q805" t="inlineStr">
        <is>
          <t>eng</t>
        </is>
      </c>
      <c r="R805" t="inlineStr">
        <is>
          <t>mou</t>
        </is>
      </c>
      <c r="T805" t="inlineStr">
        <is>
          <t xml:space="preserve">WY </t>
        </is>
      </c>
      <c r="U805" t="n">
        <v>4</v>
      </c>
      <c r="V805" t="n">
        <v>4</v>
      </c>
      <c r="W805" t="inlineStr">
        <is>
          <t>1998-10-01</t>
        </is>
      </c>
      <c r="X805" t="inlineStr">
        <is>
          <t>1998-10-01</t>
        </is>
      </c>
      <c r="Y805" t="inlineStr">
        <is>
          <t>1987-12-29</t>
        </is>
      </c>
      <c r="Z805" t="inlineStr">
        <is>
          <t>1987-12-29</t>
        </is>
      </c>
      <c r="AA805" t="n">
        <v>201</v>
      </c>
      <c r="AB805" t="n">
        <v>152</v>
      </c>
      <c r="AC805" t="n">
        <v>159</v>
      </c>
      <c r="AD805" t="n">
        <v>2</v>
      </c>
      <c r="AE805" t="n">
        <v>2</v>
      </c>
      <c r="AF805" t="n">
        <v>2</v>
      </c>
      <c r="AG805" t="n">
        <v>2</v>
      </c>
      <c r="AH805" t="n">
        <v>1</v>
      </c>
      <c r="AI805" t="n">
        <v>1</v>
      </c>
      <c r="AJ805" t="n">
        <v>0</v>
      </c>
      <c r="AK805" t="n">
        <v>0</v>
      </c>
      <c r="AL805" t="n">
        <v>1</v>
      </c>
      <c r="AM805" t="n">
        <v>1</v>
      </c>
      <c r="AN805" t="n">
        <v>1</v>
      </c>
      <c r="AO805" t="n">
        <v>1</v>
      </c>
      <c r="AP805" t="n">
        <v>0</v>
      </c>
      <c r="AQ805" t="n">
        <v>0</v>
      </c>
      <c r="AR805" t="inlineStr">
        <is>
          <t>No</t>
        </is>
      </c>
      <c r="AS805" t="inlineStr">
        <is>
          <t>Yes</t>
        </is>
      </c>
      <c r="AT805">
        <f>HYPERLINK("http://catalog.hathitrust.org/Record/000270297","HathiTrust Record")</f>
        <v/>
      </c>
      <c r="AU805">
        <f>HYPERLINK("https://creighton-primo.hosted.exlibrisgroup.com/primo-explore/search?tab=default_tab&amp;search_scope=EVERYTHING&amp;vid=01CRU&amp;lang=en_US&amp;offset=0&amp;query=any,contains,991001133949702656","Catalog Record")</f>
        <v/>
      </c>
      <c r="AV805">
        <f>HYPERLINK("http://www.worldcat.org/oclc/7275994","WorldCat Record")</f>
        <v/>
      </c>
      <c r="AW805" t="inlineStr">
        <is>
          <t>451184:eng</t>
        </is>
      </c>
      <c r="AX805" t="inlineStr">
        <is>
          <t>7275994</t>
        </is>
      </c>
      <c r="AY805" t="inlineStr">
        <is>
          <t>991001133949702656</t>
        </is>
      </c>
      <c r="AZ805" t="inlineStr">
        <is>
          <t>991001133949702656</t>
        </is>
      </c>
      <c r="BA805" t="inlineStr">
        <is>
          <t>2259925370002656</t>
        </is>
      </c>
      <c r="BB805" t="inlineStr">
        <is>
          <t>BOOK</t>
        </is>
      </c>
      <c r="BD805" t="inlineStr">
        <is>
          <t>9780801607868</t>
        </is>
      </c>
      <c r="BE805" t="inlineStr">
        <is>
          <t>30001000285900</t>
        </is>
      </c>
      <c r="BF805" t="inlineStr">
        <is>
          <t>893643247</t>
        </is>
      </c>
    </row>
    <row r="806">
      <c r="A806" t="inlineStr">
        <is>
          <t>No</t>
        </is>
      </c>
      <c r="B806" t="inlineStr">
        <is>
          <t>CUHSL</t>
        </is>
      </c>
      <c r="C806" t="inlineStr">
        <is>
          <t>SHELVES</t>
        </is>
      </c>
      <c r="D806" t="inlineStr">
        <is>
          <t>WY 87 E84 1983</t>
        </is>
      </c>
      <c r="E806" t="inlineStr">
        <is>
          <t>0                      WY 0087000E  84          1983</t>
        </is>
      </c>
      <c r="F806" t="inlineStr">
        <is>
          <t>Ethical problems in the nurse-patient relationship / [edited by] Catherine P. Murphy, Howard Hunter.</t>
        </is>
      </c>
      <c r="H806" t="inlineStr">
        <is>
          <t>No</t>
        </is>
      </c>
      <c r="I806" t="inlineStr">
        <is>
          <t>1</t>
        </is>
      </c>
      <c r="J806" t="inlineStr">
        <is>
          <t>No</t>
        </is>
      </c>
      <c r="K806" t="inlineStr">
        <is>
          <t>No</t>
        </is>
      </c>
      <c r="L806" t="inlineStr">
        <is>
          <t>0</t>
        </is>
      </c>
      <c r="N806" t="inlineStr">
        <is>
          <t>Boston : Allyn and Bacon, c1983.</t>
        </is>
      </c>
      <c r="O806" t="inlineStr">
        <is>
          <t>1983</t>
        </is>
      </c>
      <c r="Q806" t="inlineStr">
        <is>
          <t>eng</t>
        </is>
      </c>
      <c r="R806" t="inlineStr">
        <is>
          <t>xxu</t>
        </is>
      </c>
      <c r="T806" t="inlineStr">
        <is>
          <t xml:space="preserve">WY </t>
        </is>
      </c>
      <c r="U806" t="n">
        <v>3</v>
      </c>
      <c r="V806" t="n">
        <v>3</v>
      </c>
      <c r="W806" t="inlineStr">
        <is>
          <t>2007-04-13</t>
        </is>
      </c>
      <c r="X806" t="inlineStr">
        <is>
          <t>2007-04-13</t>
        </is>
      </c>
      <c r="Y806" t="inlineStr">
        <is>
          <t>1987-12-29</t>
        </is>
      </c>
      <c r="Z806" t="inlineStr">
        <is>
          <t>1987-12-29</t>
        </is>
      </c>
      <c r="AA806" t="n">
        <v>212</v>
      </c>
      <c r="AB806" t="n">
        <v>164</v>
      </c>
      <c r="AC806" t="n">
        <v>171</v>
      </c>
      <c r="AD806" t="n">
        <v>1</v>
      </c>
      <c r="AE806" t="n">
        <v>1</v>
      </c>
      <c r="AF806" t="n">
        <v>6</v>
      </c>
      <c r="AG806" t="n">
        <v>6</v>
      </c>
      <c r="AH806" t="n">
        <v>2</v>
      </c>
      <c r="AI806" t="n">
        <v>2</v>
      </c>
      <c r="AJ806" t="n">
        <v>0</v>
      </c>
      <c r="AK806" t="n">
        <v>0</v>
      </c>
      <c r="AL806" t="n">
        <v>6</v>
      </c>
      <c r="AM806" t="n">
        <v>6</v>
      </c>
      <c r="AN806" t="n">
        <v>0</v>
      </c>
      <c r="AO806" t="n">
        <v>0</v>
      </c>
      <c r="AP806" t="n">
        <v>0</v>
      </c>
      <c r="AQ806" t="n">
        <v>0</v>
      </c>
      <c r="AR806" t="inlineStr">
        <is>
          <t>No</t>
        </is>
      </c>
      <c r="AS806" t="inlineStr">
        <is>
          <t>Yes</t>
        </is>
      </c>
      <c r="AT806">
        <f>HYPERLINK("http://catalog.hathitrust.org/Record/000404310","HathiTrust Record")</f>
        <v/>
      </c>
      <c r="AU806">
        <f>HYPERLINK("https://creighton-primo.hosted.exlibrisgroup.com/primo-explore/search?tab=default_tab&amp;search_scope=EVERYTHING&amp;vid=01CRU&amp;lang=en_US&amp;offset=0&amp;query=any,contains,991001134209702656","Catalog Record")</f>
        <v/>
      </c>
      <c r="AV806">
        <f>HYPERLINK("http://www.worldcat.org/oclc/8112958","WorldCat Record")</f>
        <v/>
      </c>
      <c r="AW806" t="inlineStr">
        <is>
          <t>417434:eng</t>
        </is>
      </c>
      <c r="AX806" t="inlineStr">
        <is>
          <t>8112958</t>
        </is>
      </c>
      <c r="AY806" t="inlineStr">
        <is>
          <t>991001134209702656</t>
        </is>
      </c>
      <c r="AZ806" t="inlineStr">
        <is>
          <t>991001134209702656</t>
        </is>
      </c>
      <c r="BA806" t="inlineStr">
        <is>
          <t>2267901430002656</t>
        </is>
      </c>
      <c r="BB806" t="inlineStr">
        <is>
          <t>BOOK</t>
        </is>
      </c>
      <c r="BD806" t="inlineStr">
        <is>
          <t>9780205077625</t>
        </is>
      </c>
      <c r="BE806" t="inlineStr">
        <is>
          <t>30001000285959</t>
        </is>
      </c>
      <c r="BF806" t="inlineStr">
        <is>
          <t>893736257</t>
        </is>
      </c>
    </row>
    <row r="807">
      <c r="A807" t="inlineStr">
        <is>
          <t>No</t>
        </is>
      </c>
      <c r="B807" t="inlineStr">
        <is>
          <t>CUHSL</t>
        </is>
      </c>
      <c r="C807" t="inlineStr">
        <is>
          <t>SHELVES</t>
        </is>
      </c>
      <c r="D807" t="inlineStr">
        <is>
          <t>WY 87 E84n 1976</t>
        </is>
      </c>
      <c r="E807" t="inlineStr">
        <is>
          <t>0                      WY 0087000E  84n         1976</t>
        </is>
      </c>
      <c r="F807" t="inlineStr">
        <is>
          <t>Ethnicity and health care.</t>
        </is>
      </c>
      <c r="H807" t="inlineStr">
        <is>
          <t>No</t>
        </is>
      </c>
      <c r="I807" t="inlineStr">
        <is>
          <t>1</t>
        </is>
      </c>
      <c r="J807" t="inlineStr">
        <is>
          <t>No</t>
        </is>
      </c>
      <c r="K807" t="inlineStr">
        <is>
          <t>No</t>
        </is>
      </c>
      <c r="L807" t="inlineStr">
        <is>
          <t>0</t>
        </is>
      </c>
      <c r="N807" t="inlineStr">
        <is>
          <t>New York : National League for Nursing, c1976.</t>
        </is>
      </c>
      <c r="O807" t="inlineStr">
        <is>
          <t>1976</t>
        </is>
      </c>
      <c r="Q807" t="inlineStr">
        <is>
          <t>eng</t>
        </is>
      </c>
      <c r="R807" t="inlineStr">
        <is>
          <t>xxu</t>
        </is>
      </c>
      <c r="S807" t="inlineStr">
        <is>
          <t>NLN pub. no. 14-1625</t>
        </is>
      </c>
      <c r="T807" t="inlineStr">
        <is>
          <t xml:space="preserve">WY </t>
        </is>
      </c>
      <c r="U807" t="n">
        <v>5</v>
      </c>
      <c r="V807" t="n">
        <v>5</v>
      </c>
      <c r="W807" t="inlineStr">
        <is>
          <t>1991-04-18</t>
        </is>
      </c>
      <c r="X807" t="inlineStr">
        <is>
          <t>1991-04-18</t>
        </is>
      </c>
      <c r="Y807" t="inlineStr">
        <is>
          <t>1987-10-14</t>
        </is>
      </c>
      <c r="Z807" t="inlineStr">
        <is>
          <t>1987-10-14</t>
        </is>
      </c>
      <c r="AA807" t="n">
        <v>171</v>
      </c>
      <c r="AB807" t="n">
        <v>154</v>
      </c>
      <c r="AC807" t="n">
        <v>156</v>
      </c>
      <c r="AD807" t="n">
        <v>4</v>
      </c>
      <c r="AE807" t="n">
        <v>4</v>
      </c>
      <c r="AF807" t="n">
        <v>6</v>
      </c>
      <c r="AG807" t="n">
        <v>6</v>
      </c>
      <c r="AH807" t="n">
        <v>1</v>
      </c>
      <c r="AI807" t="n">
        <v>1</v>
      </c>
      <c r="AJ807" t="n">
        <v>1</v>
      </c>
      <c r="AK807" t="n">
        <v>1</v>
      </c>
      <c r="AL807" t="n">
        <v>2</v>
      </c>
      <c r="AM807" t="n">
        <v>2</v>
      </c>
      <c r="AN807" t="n">
        <v>2</v>
      </c>
      <c r="AO807" t="n">
        <v>2</v>
      </c>
      <c r="AP807" t="n">
        <v>0</v>
      </c>
      <c r="AQ807" t="n">
        <v>0</v>
      </c>
      <c r="AR807" t="inlineStr">
        <is>
          <t>No</t>
        </is>
      </c>
      <c r="AS807" t="inlineStr">
        <is>
          <t>Yes</t>
        </is>
      </c>
      <c r="AT807">
        <f>HYPERLINK("http://catalog.hathitrust.org/Record/000742723","HathiTrust Record")</f>
        <v/>
      </c>
      <c r="AU807">
        <f>HYPERLINK("https://creighton-primo.hosted.exlibrisgroup.com/primo-explore/search?tab=default_tab&amp;search_scope=EVERYTHING&amp;vid=01CRU&amp;lang=en_US&amp;offset=0&amp;query=any,contains,991001363729702656","Catalog Record")</f>
        <v/>
      </c>
      <c r="AV807">
        <f>HYPERLINK("http://www.worldcat.org/oclc/2399307","WorldCat Record")</f>
        <v/>
      </c>
      <c r="AW807" t="inlineStr">
        <is>
          <t>54128200:eng</t>
        </is>
      </c>
      <c r="AX807" t="inlineStr">
        <is>
          <t>2399307</t>
        </is>
      </c>
      <c r="AY807" t="inlineStr">
        <is>
          <t>991001363729702656</t>
        </is>
      </c>
      <c r="AZ807" t="inlineStr">
        <is>
          <t>991001363729702656</t>
        </is>
      </c>
      <c r="BA807" t="inlineStr">
        <is>
          <t>2265206170002656</t>
        </is>
      </c>
      <c r="BB807" t="inlineStr">
        <is>
          <t>BOOK</t>
        </is>
      </c>
      <c r="BE807" t="inlineStr">
        <is>
          <t>30001000461071</t>
        </is>
      </c>
      <c r="BF807" t="inlineStr">
        <is>
          <t>893121434</t>
        </is>
      </c>
    </row>
    <row r="808">
      <c r="A808" t="inlineStr">
        <is>
          <t>No</t>
        </is>
      </c>
      <c r="B808" t="inlineStr">
        <is>
          <t>CUHSL</t>
        </is>
      </c>
      <c r="C808" t="inlineStr">
        <is>
          <t>SHELVES</t>
        </is>
      </c>
      <c r="D808" t="inlineStr">
        <is>
          <t>WY 87 F532 1978</t>
        </is>
      </c>
      <c r="E808" t="inlineStr">
        <is>
          <t>0                      WY 0087000F  532         1978</t>
        </is>
      </c>
      <c r="F808" t="inlineStr">
        <is>
          <t>Spiritual care : the nurse's role / Sharon Fish, Judith Allen Shelly.</t>
        </is>
      </c>
      <c r="H808" t="inlineStr">
        <is>
          <t>No</t>
        </is>
      </c>
      <c r="I808" t="inlineStr">
        <is>
          <t>1</t>
        </is>
      </c>
      <c r="J808" t="inlineStr">
        <is>
          <t>No</t>
        </is>
      </c>
      <c r="K808" t="inlineStr">
        <is>
          <t>No</t>
        </is>
      </c>
      <c r="L808" t="inlineStr">
        <is>
          <t>0</t>
        </is>
      </c>
      <c r="M808" t="inlineStr">
        <is>
          <t>Fish, Sharon.</t>
        </is>
      </c>
      <c r="N808" t="inlineStr">
        <is>
          <t>-- Downers Grove, Ill. : InterVarsity Press, c1978.</t>
        </is>
      </c>
      <c r="O808" t="inlineStr">
        <is>
          <t>1978</t>
        </is>
      </c>
      <c r="Q808" t="inlineStr">
        <is>
          <t>eng</t>
        </is>
      </c>
      <c r="R808" t="inlineStr">
        <is>
          <t>ilu</t>
        </is>
      </c>
      <c r="T808" t="inlineStr">
        <is>
          <t xml:space="preserve">WY </t>
        </is>
      </c>
      <c r="U808" t="n">
        <v>11</v>
      </c>
      <c r="V808" t="n">
        <v>11</v>
      </c>
      <c r="W808" t="inlineStr">
        <is>
          <t>1999-12-16</t>
        </is>
      </c>
      <c r="X808" t="inlineStr">
        <is>
          <t>1999-12-16</t>
        </is>
      </c>
      <c r="Y808" t="inlineStr">
        <is>
          <t>1987-12-29</t>
        </is>
      </c>
      <c r="Z808" t="inlineStr">
        <is>
          <t>1987-12-29</t>
        </is>
      </c>
      <c r="AA808" t="n">
        <v>266</v>
      </c>
      <c r="AB808" t="n">
        <v>227</v>
      </c>
      <c r="AC808" t="n">
        <v>390</v>
      </c>
      <c r="AD808" t="n">
        <v>5</v>
      </c>
      <c r="AE808" t="n">
        <v>6</v>
      </c>
      <c r="AF808" t="n">
        <v>18</v>
      </c>
      <c r="AG808" t="n">
        <v>23</v>
      </c>
      <c r="AH808" t="n">
        <v>7</v>
      </c>
      <c r="AI808" t="n">
        <v>9</v>
      </c>
      <c r="AJ808" t="n">
        <v>2</v>
      </c>
      <c r="AK808" t="n">
        <v>3</v>
      </c>
      <c r="AL808" t="n">
        <v>6</v>
      </c>
      <c r="AM808" t="n">
        <v>10</v>
      </c>
      <c r="AN808" t="n">
        <v>4</v>
      </c>
      <c r="AO808" t="n">
        <v>4</v>
      </c>
      <c r="AP808" t="n">
        <v>0</v>
      </c>
      <c r="AQ808" t="n">
        <v>0</v>
      </c>
      <c r="AR808" t="inlineStr">
        <is>
          <t>No</t>
        </is>
      </c>
      <c r="AS808" t="inlineStr">
        <is>
          <t>No</t>
        </is>
      </c>
      <c r="AU808">
        <f>HYPERLINK("https://creighton-primo.hosted.exlibrisgroup.com/primo-explore/search?tab=default_tab&amp;search_scope=EVERYTHING&amp;vid=01CRU&amp;lang=en_US&amp;offset=0&amp;query=any,contains,991001134249702656","Catalog Record")</f>
        <v/>
      </c>
      <c r="AV808">
        <f>HYPERLINK("http://www.worldcat.org/oclc/3856716","WorldCat Record")</f>
        <v/>
      </c>
      <c r="AW808" t="inlineStr">
        <is>
          <t>3856029869:eng</t>
        </is>
      </c>
      <c r="AX808" t="inlineStr">
        <is>
          <t>3856716</t>
        </is>
      </c>
      <c r="AY808" t="inlineStr">
        <is>
          <t>991001134249702656</t>
        </is>
      </c>
      <c r="AZ808" t="inlineStr">
        <is>
          <t>991001134249702656</t>
        </is>
      </c>
      <c r="BA808" t="inlineStr">
        <is>
          <t>2266500120002656</t>
        </is>
      </c>
      <c r="BB808" t="inlineStr">
        <is>
          <t>BOOK</t>
        </is>
      </c>
      <c r="BD808" t="inlineStr">
        <is>
          <t>9780877845065</t>
        </is>
      </c>
      <c r="BE808" t="inlineStr">
        <is>
          <t>30001000285967</t>
        </is>
      </c>
      <c r="BF808" t="inlineStr">
        <is>
          <t>893450896</t>
        </is>
      </c>
    </row>
    <row r="809">
      <c r="A809" t="inlineStr">
        <is>
          <t>No</t>
        </is>
      </c>
      <c r="B809" t="inlineStr">
        <is>
          <t>CUHSL</t>
        </is>
      </c>
      <c r="C809" t="inlineStr">
        <is>
          <t>SHELVES</t>
        </is>
      </c>
      <c r="D809" t="inlineStr">
        <is>
          <t>WY 87 F618h 1984</t>
        </is>
      </c>
      <c r="E809" t="inlineStr">
        <is>
          <t>0                      WY 0087000F  618h        1984</t>
        </is>
      </c>
      <c r="F809" t="inlineStr">
        <is>
          <t>The healing bond : human relations skills for nurses and other health-care professionals / Mai Lee Fleury.</t>
        </is>
      </c>
      <c r="H809" t="inlineStr">
        <is>
          <t>No</t>
        </is>
      </c>
      <c r="I809" t="inlineStr">
        <is>
          <t>1</t>
        </is>
      </c>
      <c r="J809" t="inlineStr">
        <is>
          <t>No</t>
        </is>
      </c>
      <c r="K809" t="inlineStr">
        <is>
          <t>No</t>
        </is>
      </c>
      <c r="L809" t="inlineStr">
        <is>
          <t>0</t>
        </is>
      </c>
      <c r="M809" t="inlineStr">
        <is>
          <t>Fleury, Mai Lee.</t>
        </is>
      </c>
      <c r="N809" t="inlineStr">
        <is>
          <t>Englewood Cliffs, N.J. : Prentice-Hall, c1984.</t>
        </is>
      </c>
      <c r="O809" t="inlineStr">
        <is>
          <t>1984</t>
        </is>
      </c>
      <c r="Q809" t="inlineStr">
        <is>
          <t>eng</t>
        </is>
      </c>
      <c r="R809" t="inlineStr">
        <is>
          <t>nju</t>
        </is>
      </c>
      <c r="T809" t="inlineStr">
        <is>
          <t xml:space="preserve">WY </t>
        </is>
      </c>
      <c r="U809" t="n">
        <v>4</v>
      </c>
      <c r="V809" t="n">
        <v>4</v>
      </c>
      <c r="W809" t="inlineStr">
        <is>
          <t>1991-10-06</t>
        </is>
      </c>
      <c r="X809" t="inlineStr">
        <is>
          <t>1991-10-06</t>
        </is>
      </c>
      <c r="Y809" t="inlineStr">
        <is>
          <t>1987-12-29</t>
        </is>
      </c>
      <c r="Z809" t="inlineStr">
        <is>
          <t>1987-12-29</t>
        </is>
      </c>
      <c r="AA809" t="n">
        <v>179</v>
      </c>
      <c r="AB809" t="n">
        <v>150</v>
      </c>
      <c r="AC809" t="n">
        <v>152</v>
      </c>
      <c r="AD809" t="n">
        <v>1</v>
      </c>
      <c r="AE809" t="n">
        <v>1</v>
      </c>
      <c r="AF809" t="n">
        <v>3</v>
      </c>
      <c r="AG809" t="n">
        <v>3</v>
      </c>
      <c r="AH809" t="n">
        <v>1</v>
      </c>
      <c r="AI809" t="n">
        <v>1</v>
      </c>
      <c r="AJ809" t="n">
        <v>0</v>
      </c>
      <c r="AK809" t="n">
        <v>0</v>
      </c>
      <c r="AL809" t="n">
        <v>3</v>
      </c>
      <c r="AM809" t="n">
        <v>3</v>
      </c>
      <c r="AN809" t="n">
        <v>0</v>
      </c>
      <c r="AO809" t="n">
        <v>0</v>
      </c>
      <c r="AP809" t="n">
        <v>0</v>
      </c>
      <c r="AQ809" t="n">
        <v>0</v>
      </c>
      <c r="AR809" t="inlineStr">
        <is>
          <t>No</t>
        </is>
      </c>
      <c r="AS809" t="inlineStr">
        <is>
          <t>Yes</t>
        </is>
      </c>
      <c r="AT809">
        <f>HYPERLINK("http://catalog.hathitrust.org/Record/000323846","HathiTrust Record")</f>
        <v/>
      </c>
      <c r="AU809">
        <f>HYPERLINK("https://creighton-primo.hosted.exlibrisgroup.com/primo-explore/search?tab=default_tab&amp;search_scope=EVERYTHING&amp;vid=01CRU&amp;lang=en_US&amp;offset=0&amp;query=any,contains,991001134269702656","Catalog Record")</f>
        <v/>
      </c>
      <c r="AV809">
        <f>HYPERLINK("http://www.worldcat.org/oclc/9829218","WorldCat Record")</f>
        <v/>
      </c>
      <c r="AW809" t="inlineStr">
        <is>
          <t>43274946:eng</t>
        </is>
      </c>
      <c r="AX809" t="inlineStr">
        <is>
          <t>9829218</t>
        </is>
      </c>
      <c r="AY809" t="inlineStr">
        <is>
          <t>991001134269702656</t>
        </is>
      </c>
      <c r="AZ809" t="inlineStr">
        <is>
          <t>991001134269702656</t>
        </is>
      </c>
      <c r="BA809" t="inlineStr">
        <is>
          <t>2269917380002656</t>
        </is>
      </c>
      <c r="BB809" t="inlineStr">
        <is>
          <t>BOOK</t>
        </is>
      </c>
      <c r="BD809" t="inlineStr">
        <is>
          <t>9780133847352</t>
        </is>
      </c>
      <c r="BE809" t="inlineStr">
        <is>
          <t>30001000285975</t>
        </is>
      </c>
      <c r="BF809" t="inlineStr">
        <is>
          <t>893284438</t>
        </is>
      </c>
    </row>
    <row r="810">
      <c r="A810" t="inlineStr">
        <is>
          <t>No</t>
        </is>
      </c>
      <c r="B810" t="inlineStr">
        <is>
          <t>CUHSL</t>
        </is>
      </c>
      <c r="C810" t="inlineStr">
        <is>
          <t>SHELVES</t>
        </is>
      </c>
      <c r="D810" t="inlineStr">
        <is>
          <t>WY 87 F818p 1968</t>
        </is>
      </c>
      <c r="E810" t="inlineStr">
        <is>
          <t>0                      WY 0087000F  818p        1968</t>
        </is>
      </c>
      <c r="F810" t="inlineStr">
        <is>
          <t>Promoting psychological comfort / Gloria M. Francis and Barbara Munjas.</t>
        </is>
      </c>
      <c r="H810" t="inlineStr">
        <is>
          <t>No</t>
        </is>
      </c>
      <c r="I810" t="inlineStr">
        <is>
          <t>1</t>
        </is>
      </c>
      <c r="J810" t="inlineStr">
        <is>
          <t>No</t>
        </is>
      </c>
      <c r="K810" t="inlineStr">
        <is>
          <t>No</t>
        </is>
      </c>
      <c r="L810" t="inlineStr">
        <is>
          <t>0</t>
        </is>
      </c>
      <c r="M810" t="inlineStr">
        <is>
          <t>Francis, Gloria M.</t>
        </is>
      </c>
      <c r="N810" t="inlineStr">
        <is>
          <t>Dubuque, IA : W.C. Brown Co., 1968.</t>
        </is>
      </c>
      <c r="O810" t="inlineStr">
        <is>
          <t>1968</t>
        </is>
      </c>
      <c r="Q810" t="inlineStr">
        <is>
          <t>eng</t>
        </is>
      </c>
      <c r="R810" t="inlineStr">
        <is>
          <t>iau</t>
        </is>
      </c>
      <c r="S810" t="inlineStr">
        <is>
          <t>Foundations of nursing series</t>
        </is>
      </c>
      <c r="T810" t="inlineStr">
        <is>
          <t xml:space="preserve">WY </t>
        </is>
      </c>
      <c r="U810" t="n">
        <v>3</v>
      </c>
      <c r="V810" t="n">
        <v>3</v>
      </c>
      <c r="W810" t="inlineStr">
        <is>
          <t>1996-09-21</t>
        </is>
      </c>
      <c r="X810" t="inlineStr">
        <is>
          <t>1996-09-21</t>
        </is>
      </c>
      <c r="Y810" t="inlineStr">
        <is>
          <t>1988-01-05</t>
        </is>
      </c>
      <c r="Z810" t="inlineStr">
        <is>
          <t>1988-01-05</t>
        </is>
      </c>
      <c r="AA810" t="n">
        <v>144</v>
      </c>
      <c r="AB810" t="n">
        <v>120</v>
      </c>
      <c r="AC810" t="n">
        <v>208</v>
      </c>
      <c r="AD810" t="n">
        <v>1</v>
      </c>
      <c r="AE810" t="n">
        <v>2</v>
      </c>
      <c r="AF810" t="n">
        <v>6</v>
      </c>
      <c r="AG810" t="n">
        <v>10</v>
      </c>
      <c r="AH810" t="n">
        <v>1</v>
      </c>
      <c r="AI810" t="n">
        <v>2</v>
      </c>
      <c r="AJ810" t="n">
        <v>1</v>
      </c>
      <c r="AK810" t="n">
        <v>2</v>
      </c>
      <c r="AL810" t="n">
        <v>4</v>
      </c>
      <c r="AM810" t="n">
        <v>7</v>
      </c>
      <c r="AN810" t="n">
        <v>0</v>
      </c>
      <c r="AO810" t="n">
        <v>1</v>
      </c>
      <c r="AP810" t="n">
        <v>0</v>
      </c>
      <c r="AQ810" t="n">
        <v>0</v>
      </c>
      <c r="AR810" t="inlineStr">
        <is>
          <t>No</t>
        </is>
      </c>
      <c r="AS810" t="inlineStr">
        <is>
          <t>Yes</t>
        </is>
      </c>
      <c r="AT810">
        <f>HYPERLINK("http://catalog.hathitrust.org/Record/002072507","HathiTrust Record")</f>
        <v/>
      </c>
      <c r="AU810">
        <f>HYPERLINK("https://creighton-primo.hosted.exlibrisgroup.com/primo-explore/search?tab=default_tab&amp;search_scope=EVERYTHING&amp;vid=01CRU&amp;lang=en_US&amp;offset=0&amp;query=any,contains,991001134299702656","Catalog Record")</f>
        <v/>
      </c>
      <c r="AV810">
        <f>HYPERLINK("http://www.worldcat.org/oclc/239024","WorldCat Record")</f>
        <v/>
      </c>
      <c r="AW810" t="inlineStr">
        <is>
          <t>443237:eng</t>
        </is>
      </c>
      <c r="AX810" t="inlineStr">
        <is>
          <t>239024</t>
        </is>
      </c>
      <c r="AY810" t="inlineStr">
        <is>
          <t>991001134299702656</t>
        </is>
      </c>
      <c r="AZ810" t="inlineStr">
        <is>
          <t>991001134299702656</t>
        </is>
      </c>
      <c r="BA810" t="inlineStr">
        <is>
          <t>2256953670002656</t>
        </is>
      </c>
      <c r="BB810" t="inlineStr">
        <is>
          <t>BOOK</t>
        </is>
      </c>
      <c r="BE810" t="inlineStr">
        <is>
          <t>30001000285983</t>
        </is>
      </c>
      <c r="BF810" t="inlineStr">
        <is>
          <t>893826476</t>
        </is>
      </c>
    </row>
    <row r="811">
      <c r="A811" t="inlineStr">
        <is>
          <t>No</t>
        </is>
      </c>
      <c r="B811" t="inlineStr">
        <is>
          <t>CUHSL</t>
        </is>
      </c>
      <c r="C811" t="inlineStr">
        <is>
          <t>SHELVES</t>
        </is>
      </c>
      <c r="D811" t="inlineStr">
        <is>
          <t>WY 87 G233c 1982</t>
        </is>
      </c>
      <c r="E811" t="inlineStr">
        <is>
          <t>0                      WY 0087000G  233c        1982</t>
        </is>
      </c>
      <c r="F811" t="inlineStr">
        <is>
          <t>Coping behaviors and nursing / by LaRetta M. Garland and Carol T. Bush.</t>
        </is>
      </c>
      <c r="H811" t="inlineStr">
        <is>
          <t>No</t>
        </is>
      </c>
      <c r="I811" t="inlineStr">
        <is>
          <t>1</t>
        </is>
      </c>
      <c r="J811" t="inlineStr">
        <is>
          <t>No</t>
        </is>
      </c>
      <c r="K811" t="inlineStr">
        <is>
          <t>No</t>
        </is>
      </c>
      <c r="L811" t="inlineStr">
        <is>
          <t>0</t>
        </is>
      </c>
      <c r="M811" t="inlineStr">
        <is>
          <t>Garland, LaRetta M.</t>
        </is>
      </c>
      <c r="N811" t="inlineStr">
        <is>
          <t>Reston, Va. : Reston Pub. Co., c1982.</t>
        </is>
      </c>
      <c r="O811" t="inlineStr">
        <is>
          <t>1982</t>
        </is>
      </c>
      <c r="Q811" t="inlineStr">
        <is>
          <t>eng</t>
        </is>
      </c>
      <c r="R811" t="inlineStr">
        <is>
          <t>xxu</t>
        </is>
      </c>
      <c r="T811" t="inlineStr">
        <is>
          <t xml:space="preserve">WY </t>
        </is>
      </c>
      <c r="U811" t="n">
        <v>3</v>
      </c>
      <c r="V811" t="n">
        <v>3</v>
      </c>
      <c r="W811" t="inlineStr">
        <is>
          <t>1990-11-26</t>
        </is>
      </c>
      <c r="X811" t="inlineStr">
        <is>
          <t>1990-11-26</t>
        </is>
      </c>
      <c r="Y811" t="inlineStr">
        <is>
          <t>1987-12-29</t>
        </is>
      </c>
      <c r="Z811" t="inlineStr">
        <is>
          <t>1987-12-29</t>
        </is>
      </c>
      <c r="AA811" t="n">
        <v>176</v>
      </c>
      <c r="AB811" t="n">
        <v>135</v>
      </c>
      <c r="AC811" t="n">
        <v>137</v>
      </c>
      <c r="AD811" t="n">
        <v>1</v>
      </c>
      <c r="AE811" t="n">
        <v>1</v>
      </c>
      <c r="AF811" t="n">
        <v>4</v>
      </c>
      <c r="AG811" t="n">
        <v>4</v>
      </c>
      <c r="AH811" t="n">
        <v>2</v>
      </c>
      <c r="AI811" t="n">
        <v>2</v>
      </c>
      <c r="AJ811" t="n">
        <v>0</v>
      </c>
      <c r="AK811" t="n">
        <v>0</v>
      </c>
      <c r="AL811" t="n">
        <v>3</v>
      </c>
      <c r="AM811" t="n">
        <v>3</v>
      </c>
      <c r="AN811" t="n">
        <v>0</v>
      </c>
      <c r="AO811" t="n">
        <v>0</v>
      </c>
      <c r="AP811" t="n">
        <v>0</v>
      </c>
      <c r="AQ811" t="n">
        <v>0</v>
      </c>
      <c r="AR811" t="inlineStr">
        <is>
          <t>No</t>
        </is>
      </c>
      <c r="AS811" t="inlineStr">
        <is>
          <t>Yes</t>
        </is>
      </c>
      <c r="AT811">
        <f>HYPERLINK("http://catalog.hathitrust.org/Record/000311946","HathiTrust Record")</f>
        <v/>
      </c>
      <c r="AU811">
        <f>HYPERLINK("https://creighton-primo.hosted.exlibrisgroup.com/primo-explore/search?tab=default_tab&amp;search_scope=EVERYTHING&amp;vid=01CRU&amp;lang=en_US&amp;offset=0&amp;query=any,contains,991001134399702656","Catalog Record")</f>
        <v/>
      </c>
      <c r="AV811">
        <f>HYPERLINK("http://www.worldcat.org/oclc/7876653","WorldCat Record")</f>
        <v/>
      </c>
      <c r="AW811" t="inlineStr">
        <is>
          <t>539164:eng</t>
        </is>
      </c>
      <c r="AX811" t="inlineStr">
        <is>
          <t>7876653</t>
        </is>
      </c>
      <c r="AY811" t="inlineStr">
        <is>
          <t>991001134399702656</t>
        </is>
      </c>
      <c r="AZ811" t="inlineStr">
        <is>
          <t>991001134399702656</t>
        </is>
      </c>
      <c r="BA811" t="inlineStr">
        <is>
          <t>2266290850002656</t>
        </is>
      </c>
      <c r="BB811" t="inlineStr">
        <is>
          <t>BOOK</t>
        </is>
      </c>
      <c r="BD811" t="inlineStr">
        <is>
          <t>9780879090883</t>
        </is>
      </c>
      <c r="BE811" t="inlineStr">
        <is>
          <t>30001000286023</t>
        </is>
      </c>
      <c r="BF811" t="inlineStr">
        <is>
          <t>893134275</t>
        </is>
      </c>
    </row>
    <row r="812">
      <c r="A812" t="inlineStr">
        <is>
          <t>No</t>
        </is>
      </c>
      <c r="B812" t="inlineStr">
        <is>
          <t>CUHSL</t>
        </is>
      </c>
      <c r="C812" t="inlineStr">
        <is>
          <t>SHELVES</t>
        </is>
      </c>
      <c r="D812" t="inlineStr">
        <is>
          <t>WY 87 G275p 1992</t>
        </is>
      </c>
      <c r="E812" t="inlineStr">
        <is>
          <t>0                      WY 0087000G  275p        1992</t>
        </is>
      </c>
      <c r="F812" t="inlineStr">
        <is>
          <t>The presence of caring in nursing / by Delores A. Gaut, editor.</t>
        </is>
      </c>
      <c r="H812" t="inlineStr">
        <is>
          <t>No</t>
        </is>
      </c>
      <c r="I812" t="inlineStr">
        <is>
          <t>1</t>
        </is>
      </c>
      <c r="J812" t="inlineStr">
        <is>
          <t>No</t>
        </is>
      </c>
      <c r="K812" t="inlineStr">
        <is>
          <t>No</t>
        </is>
      </c>
      <c r="L812" t="inlineStr">
        <is>
          <t>0</t>
        </is>
      </c>
      <c r="M812" t="inlineStr">
        <is>
          <t>Gaut, Delores A.</t>
        </is>
      </c>
      <c r="N812" t="inlineStr">
        <is>
          <t>New York, N.Y. : National League for Nursing; c1992.</t>
        </is>
      </c>
      <c r="O812" t="inlineStr">
        <is>
          <t>1992</t>
        </is>
      </c>
      <c r="Q812" t="inlineStr">
        <is>
          <t>eng</t>
        </is>
      </c>
      <c r="R812" t="inlineStr">
        <is>
          <t>nyu</t>
        </is>
      </c>
      <c r="S812" t="inlineStr">
        <is>
          <t>NLN pub. no. 15-2465.</t>
        </is>
      </c>
      <c r="T812" t="inlineStr">
        <is>
          <t xml:space="preserve">WY </t>
        </is>
      </c>
      <c r="U812" t="n">
        <v>3</v>
      </c>
      <c r="V812" t="n">
        <v>3</v>
      </c>
      <c r="W812" t="inlineStr">
        <is>
          <t>2008-01-31</t>
        </is>
      </c>
      <c r="X812" t="inlineStr">
        <is>
          <t>2008-01-31</t>
        </is>
      </c>
      <c r="Y812" t="inlineStr">
        <is>
          <t>2000-06-15</t>
        </is>
      </c>
      <c r="Z812" t="inlineStr">
        <is>
          <t>2000-06-15</t>
        </is>
      </c>
      <c r="AA812" t="n">
        <v>359</v>
      </c>
      <c r="AB812" t="n">
        <v>305</v>
      </c>
      <c r="AC812" t="n">
        <v>305</v>
      </c>
      <c r="AD812" t="n">
        <v>6</v>
      </c>
      <c r="AE812" t="n">
        <v>6</v>
      </c>
      <c r="AF812" t="n">
        <v>19</v>
      </c>
      <c r="AG812" t="n">
        <v>19</v>
      </c>
      <c r="AH812" t="n">
        <v>6</v>
      </c>
      <c r="AI812" t="n">
        <v>6</v>
      </c>
      <c r="AJ812" t="n">
        <v>4</v>
      </c>
      <c r="AK812" t="n">
        <v>4</v>
      </c>
      <c r="AL812" t="n">
        <v>8</v>
      </c>
      <c r="AM812" t="n">
        <v>8</v>
      </c>
      <c r="AN812" t="n">
        <v>4</v>
      </c>
      <c r="AO812" t="n">
        <v>4</v>
      </c>
      <c r="AP812" t="n">
        <v>0</v>
      </c>
      <c r="AQ812" t="n">
        <v>0</v>
      </c>
      <c r="AR812" t="inlineStr">
        <is>
          <t>No</t>
        </is>
      </c>
      <c r="AS812" t="inlineStr">
        <is>
          <t>No</t>
        </is>
      </c>
      <c r="AU812">
        <f>HYPERLINK("https://creighton-primo.hosted.exlibrisgroup.com/primo-explore/search?tab=default_tab&amp;search_scope=EVERYTHING&amp;vid=01CRU&amp;lang=en_US&amp;offset=0&amp;query=any,contains,991000234349702656","Catalog Record")</f>
        <v/>
      </c>
      <c r="AV812">
        <f>HYPERLINK("http://www.worldcat.org/oclc/25828642","WorldCat Record")</f>
        <v/>
      </c>
      <c r="AW812" t="inlineStr">
        <is>
          <t>476289428:eng</t>
        </is>
      </c>
      <c r="AX812" t="inlineStr">
        <is>
          <t>25828642</t>
        </is>
      </c>
      <c r="AY812" t="inlineStr">
        <is>
          <t>991000234349702656</t>
        </is>
      </c>
      <c r="AZ812" t="inlineStr">
        <is>
          <t>991000234349702656</t>
        </is>
      </c>
      <c r="BA812" t="inlineStr">
        <is>
          <t>2269354930002656</t>
        </is>
      </c>
      <c r="BB812" t="inlineStr">
        <is>
          <t>BOOK</t>
        </is>
      </c>
      <c r="BD812" t="inlineStr">
        <is>
          <t>9780887375477</t>
        </is>
      </c>
      <c r="BE812" t="inlineStr">
        <is>
          <t>30001002387829</t>
        </is>
      </c>
      <c r="BF812" t="inlineStr">
        <is>
          <t>893451906</t>
        </is>
      </c>
    </row>
    <row r="813">
      <c r="A813" t="inlineStr">
        <is>
          <t>No</t>
        </is>
      </c>
      <c r="B813" t="inlineStr">
        <is>
          <t>CUHSL</t>
        </is>
      </c>
      <c r="C813" t="inlineStr">
        <is>
          <t>SHELVES</t>
        </is>
      </c>
      <c r="D813" t="inlineStr">
        <is>
          <t>WY 87 G848 1980</t>
        </is>
      </c>
      <c r="E813" t="inlineStr">
        <is>
          <t>0                      WY 0087000G  848         1980</t>
        </is>
      </c>
      <c r="F813" t="inlineStr">
        <is>
          <t>Grief responses to long-term illness and disability : manifestations and nursing interventions / Jean A. Werner-Beland, editor ; contributors, Judith M. Agee ...[et al.]</t>
        </is>
      </c>
      <c r="H813" t="inlineStr">
        <is>
          <t>No</t>
        </is>
      </c>
      <c r="I813" t="inlineStr">
        <is>
          <t>1</t>
        </is>
      </c>
      <c r="J813" t="inlineStr">
        <is>
          <t>No</t>
        </is>
      </c>
      <c r="K813" t="inlineStr">
        <is>
          <t>No</t>
        </is>
      </c>
      <c r="L813" t="inlineStr">
        <is>
          <t>0</t>
        </is>
      </c>
      <c r="N813" t="inlineStr">
        <is>
          <t>Reston, Va. : Reston, c1980.</t>
        </is>
      </c>
      <c r="O813" t="inlineStr">
        <is>
          <t>1980</t>
        </is>
      </c>
      <c r="Q813" t="inlineStr">
        <is>
          <t>eng</t>
        </is>
      </c>
      <c r="R813" t="inlineStr">
        <is>
          <t>vau</t>
        </is>
      </c>
      <c r="T813" t="inlineStr">
        <is>
          <t xml:space="preserve">WY </t>
        </is>
      </c>
      <c r="U813" t="n">
        <v>10</v>
      </c>
      <c r="V813" t="n">
        <v>10</v>
      </c>
      <c r="W813" t="inlineStr">
        <is>
          <t>1991-12-04</t>
        </is>
      </c>
      <c r="X813" t="inlineStr">
        <is>
          <t>1991-12-04</t>
        </is>
      </c>
      <c r="Y813" t="inlineStr">
        <is>
          <t>1987-12-29</t>
        </is>
      </c>
      <c r="Z813" t="inlineStr">
        <is>
          <t>1987-12-29</t>
        </is>
      </c>
      <c r="AA813" t="n">
        <v>340</v>
      </c>
      <c r="AB813" t="n">
        <v>280</v>
      </c>
      <c r="AC813" t="n">
        <v>283</v>
      </c>
      <c r="AD813" t="n">
        <v>3</v>
      </c>
      <c r="AE813" t="n">
        <v>3</v>
      </c>
      <c r="AF813" t="n">
        <v>15</v>
      </c>
      <c r="AG813" t="n">
        <v>15</v>
      </c>
      <c r="AH813" t="n">
        <v>4</v>
      </c>
      <c r="AI813" t="n">
        <v>4</v>
      </c>
      <c r="AJ813" t="n">
        <v>3</v>
      </c>
      <c r="AK813" t="n">
        <v>3</v>
      </c>
      <c r="AL813" t="n">
        <v>7</v>
      </c>
      <c r="AM813" t="n">
        <v>7</v>
      </c>
      <c r="AN813" t="n">
        <v>2</v>
      </c>
      <c r="AO813" t="n">
        <v>2</v>
      </c>
      <c r="AP813" t="n">
        <v>0</v>
      </c>
      <c r="AQ813" t="n">
        <v>0</v>
      </c>
      <c r="AR813" t="inlineStr">
        <is>
          <t>No</t>
        </is>
      </c>
      <c r="AS813" t="inlineStr">
        <is>
          <t>Yes</t>
        </is>
      </c>
      <c r="AT813">
        <f>HYPERLINK("http://catalog.hathitrust.org/Record/000184983","HathiTrust Record")</f>
        <v/>
      </c>
      <c r="AU813">
        <f>HYPERLINK("https://creighton-primo.hosted.exlibrisgroup.com/primo-explore/search?tab=default_tab&amp;search_scope=EVERYTHING&amp;vid=01CRU&amp;lang=en_US&amp;offset=0&amp;query=any,contains,991001136229702656","Catalog Record")</f>
        <v/>
      </c>
      <c r="AV813">
        <f>HYPERLINK("http://www.worldcat.org/oclc/5497954","WorldCat Record")</f>
        <v/>
      </c>
      <c r="AW813" t="inlineStr">
        <is>
          <t>54324166:eng</t>
        </is>
      </c>
      <c r="AX813" t="inlineStr">
        <is>
          <t>5497954</t>
        </is>
      </c>
      <c r="AY813" t="inlineStr">
        <is>
          <t>991001136229702656</t>
        </is>
      </c>
      <c r="AZ813" t="inlineStr">
        <is>
          <t>991001136229702656</t>
        </is>
      </c>
      <c r="BA813" t="inlineStr">
        <is>
          <t>2264798310002656</t>
        </is>
      </c>
      <c r="BB813" t="inlineStr">
        <is>
          <t>BOOK</t>
        </is>
      </c>
      <c r="BD813" t="inlineStr">
        <is>
          <t>9780835925914</t>
        </is>
      </c>
      <c r="BE813" t="inlineStr">
        <is>
          <t>30001000286361</t>
        </is>
      </c>
      <c r="BF813" t="inlineStr">
        <is>
          <t>893820941</t>
        </is>
      </c>
    </row>
    <row r="814">
      <c r="A814" t="inlineStr">
        <is>
          <t>No</t>
        </is>
      </c>
      <c r="B814" t="inlineStr">
        <is>
          <t>CUHSL</t>
        </is>
      </c>
      <c r="C814" t="inlineStr">
        <is>
          <t>SHELVES</t>
        </is>
      </c>
      <c r="D814" t="inlineStr">
        <is>
          <t>WY 87 H468c 1973</t>
        </is>
      </c>
      <c r="E814" t="inlineStr">
        <is>
          <t>0                      WY 0087000H  468c        1973</t>
        </is>
      </c>
      <c r="F814" t="inlineStr">
        <is>
          <t>Communication in nursing practice / Eleanor C. Hein.</t>
        </is>
      </c>
      <c r="H814" t="inlineStr">
        <is>
          <t>No</t>
        </is>
      </c>
      <c r="I814" t="inlineStr">
        <is>
          <t>1</t>
        </is>
      </c>
      <c r="J814" t="inlineStr">
        <is>
          <t>No</t>
        </is>
      </c>
      <c r="K814" t="inlineStr">
        <is>
          <t>No</t>
        </is>
      </c>
      <c r="L814" t="inlineStr">
        <is>
          <t>0</t>
        </is>
      </c>
      <c r="M814" t="inlineStr">
        <is>
          <t>Hein, Eleanor C.</t>
        </is>
      </c>
      <c r="N814" t="inlineStr">
        <is>
          <t>-- Boston : Little, Brown, c1973.</t>
        </is>
      </c>
      <c r="O814" t="inlineStr">
        <is>
          <t>1973</t>
        </is>
      </c>
      <c r="Q814" t="inlineStr">
        <is>
          <t>eng</t>
        </is>
      </c>
      <c r="R814" t="inlineStr">
        <is>
          <t>mau</t>
        </is>
      </c>
      <c r="T814" t="inlineStr">
        <is>
          <t xml:space="preserve">WY </t>
        </is>
      </c>
      <c r="U814" t="n">
        <v>7</v>
      </c>
      <c r="V814" t="n">
        <v>7</v>
      </c>
      <c r="W814" t="inlineStr">
        <is>
          <t>1996-12-20</t>
        </is>
      </c>
      <c r="X814" t="inlineStr">
        <is>
          <t>1996-12-20</t>
        </is>
      </c>
      <c r="Y814" t="inlineStr">
        <is>
          <t>1987-12-29</t>
        </is>
      </c>
      <c r="Z814" t="inlineStr">
        <is>
          <t>1987-12-29</t>
        </is>
      </c>
      <c r="AA814" t="n">
        <v>194</v>
      </c>
      <c r="AB814" t="n">
        <v>155</v>
      </c>
      <c r="AC814" t="n">
        <v>300</v>
      </c>
      <c r="AD814" t="n">
        <v>3</v>
      </c>
      <c r="AE814" t="n">
        <v>4</v>
      </c>
      <c r="AF814" t="n">
        <v>3</v>
      </c>
      <c r="AG814" t="n">
        <v>13</v>
      </c>
      <c r="AH814" t="n">
        <v>0</v>
      </c>
      <c r="AI814" t="n">
        <v>6</v>
      </c>
      <c r="AJ814" t="n">
        <v>0</v>
      </c>
      <c r="AK814" t="n">
        <v>2</v>
      </c>
      <c r="AL814" t="n">
        <v>2</v>
      </c>
      <c r="AM814" t="n">
        <v>7</v>
      </c>
      <c r="AN814" t="n">
        <v>1</v>
      </c>
      <c r="AO814" t="n">
        <v>2</v>
      </c>
      <c r="AP814" t="n">
        <v>0</v>
      </c>
      <c r="AQ814" t="n">
        <v>0</v>
      </c>
      <c r="AR814" t="inlineStr">
        <is>
          <t>No</t>
        </is>
      </c>
      <c r="AS814" t="inlineStr">
        <is>
          <t>Yes</t>
        </is>
      </c>
      <c r="AT814">
        <f>HYPERLINK("http://catalog.hathitrust.org/Record/001574739","HathiTrust Record")</f>
        <v/>
      </c>
      <c r="AU814">
        <f>HYPERLINK("https://creighton-primo.hosted.exlibrisgroup.com/primo-explore/search?tab=default_tab&amp;search_scope=EVERYTHING&amp;vid=01CRU&amp;lang=en_US&amp;offset=0&amp;query=any,contains,991001136429702656","Catalog Record")</f>
        <v/>
      </c>
      <c r="AV814">
        <f>HYPERLINK("http://www.worldcat.org/oclc/702972","WorldCat Record")</f>
        <v/>
      </c>
      <c r="AW814" t="inlineStr">
        <is>
          <t>448016:eng</t>
        </is>
      </c>
      <c r="AX814" t="inlineStr">
        <is>
          <t>702972</t>
        </is>
      </c>
      <c r="AY814" t="inlineStr">
        <is>
          <t>991001136429702656</t>
        </is>
      </c>
      <c r="AZ814" t="inlineStr">
        <is>
          <t>991001136429702656</t>
        </is>
      </c>
      <c r="BA814" t="inlineStr">
        <is>
          <t>2258114290002656</t>
        </is>
      </c>
      <c r="BB814" t="inlineStr">
        <is>
          <t>BOOK</t>
        </is>
      </c>
      <c r="BE814" t="inlineStr">
        <is>
          <t>30001000286403</t>
        </is>
      </c>
      <c r="BF814" t="inlineStr">
        <is>
          <t>893121191</t>
        </is>
      </c>
    </row>
    <row r="815">
      <c r="A815" t="inlineStr">
        <is>
          <t>No</t>
        </is>
      </c>
      <c r="B815" t="inlineStr">
        <is>
          <t>CUHSL</t>
        </is>
      </c>
      <c r="C815" t="inlineStr">
        <is>
          <t>SHELVES</t>
        </is>
      </c>
      <c r="D815" t="inlineStr">
        <is>
          <t>WY 87 H483 1957</t>
        </is>
      </c>
      <c r="E815" t="inlineStr">
        <is>
          <t>0                      WY 0087000H  483         1957</t>
        </is>
      </c>
      <c r="F815" t="inlineStr">
        <is>
          <t>Helping nurses increase their human relations skill : an account of a workshop offered by the University of Pittsburgh Graduate School of Public Health / prepared by Eleanore Gill, Mildred Mouw, Graham C. Taylor.</t>
        </is>
      </c>
      <c r="H815" t="inlineStr">
        <is>
          <t>No</t>
        </is>
      </c>
      <c r="I815" t="inlineStr">
        <is>
          <t>1</t>
        </is>
      </c>
      <c r="J815" t="inlineStr">
        <is>
          <t>No</t>
        </is>
      </c>
      <c r="K815" t="inlineStr">
        <is>
          <t>No</t>
        </is>
      </c>
      <c r="L815" t="inlineStr">
        <is>
          <t>0</t>
        </is>
      </c>
      <c r="N815" t="inlineStr">
        <is>
          <t>New York : National League for Nursing, 1957.</t>
        </is>
      </c>
      <c r="O815" t="inlineStr">
        <is>
          <t>1957</t>
        </is>
      </c>
      <c r="Q815" t="inlineStr">
        <is>
          <t>eng</t>
        </is>
      </c>
      <c r="R815" t="inlineStr">
        <is>
          <t xml:space="preserve">xx </t>
        </is>
      </c>
      <c r="S815" t="inlineStr">
        <is>
          <t>League exchange, no. 21</t>
        </is>
      </c>
      <c r="T815" t="inlineStr">
        <is>
          <t xml:space="preserve">WY </t>
        </is>
      </c>
      <c r="U815" t="n">
        <v>2</v>
      </c>
      <c r="V815" t="n">
        <v>2</v>
      </c>
      <c r="W815" t="inlineStr">
        <is>
          <t>1990-04-30</t>
        </is>
      </c>
      <c r="X815" t="inlineStr">
        <is>
          <t>1990-04-30</t>
        </is>
      </c>
      <c r="Y815" t="inlineStr">
        <is>
          <t>1987-10-13</t>
        </is>
      </c>
      <c r="Z815" t="inlineStr">
        <is>
          <t>1987-10-13</t>
        </is>
      </c>
      <c r="AA815" t="n">
        <v>36</v>
      </c>
      <c r="AB815" t="n">
        <v>34</v>
      </c>
      <c r="AC815" t="n">
        <v>35</v>
      </c>
      <c r="AD815" t="n">
        <v>1</v>
      </c>
      <c r="AE815" t="n">
        <v>1</v>
      </c>
      <c r="AF815" t="n">
        <v>1</v>
      </c>
      <c r="AG815" t="n">
        <v>1</v>
      </c>
      <c r="AH815" t="n">
        <v>0</v>
      </c>
      <c r="AI815" t="n">
        <v>0</v>
      </c>
      <c r="AJ815" t="n">
        <v>0</v>
      </c>
      <c r="AK815" t="n">
        <v>0</v>
      </c>
      <c r="AL815" t="n">
        <v>1</v>
      </c>
      <c r="AM815" t="n">
        <v>1</v>
      </c>
      <c r="AN815" t="n">
        <v>0</v>
      </c>
      <c r="AO815" t="n">
        <v>0</v>
      </c>
      <c r="AP815" t="n">
        <v>0</v>
      </c>
      <c r="AQ815" t="n">
        <v>0</v>
      </c>
      <c r="AR815" t="inlineStr">
        <is>
          <t>No</t>
        </is>
      </c>
      <c r="AS815" t="inlineStr">
        <is>
          <t>No</t>
        </is>
      </c>
      <c r="AU815">
        <f>HYPERLINK("https://creighton-primo.hosted.exlibrisgroup.com/primo-explore/search?tab=default_tab&amp;search_scope=EVERYTHING&amp;vid=01CRU&amp;lang=en_US&amp;offset=0&amp;query=any,contains,991001361799702656","Catalog Record")</f>
        <v/>
      </c>
      <c r="AV815">
        <f>HYPERLINK("http://www.worldcat.org/oclc/14597357","WorldCat Record")</f>
        <v/>
      </c>
      <c r="AW815" t="inlineStr">
        <is>
          <t>8907176606:eng</t>
        </is>
      </c>
      <c r="AX815" t="inlineStr">
        <is>
          <t>14597357</t>
        </is>
      </c>
      <c r="AY815" t="inlineStr">
        <is>
          <t>991001361799702656</t>
        </is>
      </c>
      <c r="AZ815" t="inlineStr">
        <is>
          <t>991001361799702656</t>
        </is>
      </c>
      <c r="BA815" t="inlineStr">
        <is>
          <t>2254706810002656</t>
        </is>
      </c>
      <c r="BB815" t="inlineStr">
        <is>
          <t>BOOK</t>
        </is>
      </c>
      <c r="BE815" t="inlineStr">
        <is>
          <t>30001000460883</t>
        </is>
      </c>
      <c r="BF815" t="inlineStr">
        <is>
          <t>893816332</t>
        </is>
      </c>
    </row>
    <row r="816">
      <c r="A816" t="inlineStr">
        <is>
          <t>No</t>
        </is>
      </c>
      <c r="B816" t="inlineStr">
        <is>
          <t>CUHSL</t>
        </is>
      </c>
      <c r="C816" t="inlineStr">
        <is>
          <t>SHELVES</t>
        </is>
      </c>
      <c r="D816" t="inlineStr">
        <is>
          <t>WY 87 H551b 1978</t>
        </is>
      </c>
      <c r="E816" t="inlineStr">
        <is>
          <t>0                      WY 0087000H  551b        1978</t>
        </is>
      </c>
      <c r="F816" t="inlineStr">
        <is>
          <t>Becoming assertive : a guide for nurses / Sonya J. Herman.</t>
        </is>
      </c>
      <c r="H816" t="inlineStr">
        <is>
          <t>No</t>
        </is>
      </c>
      <c r="I816" t="inlineStr">
        <is>
          <t>1</t>
        </is>
      </c>
      <c r="J816" t="inlineStr">
        <is>
          <t>No</t>
        </is>
      </c>
      <c r="K816" t="inlineStr">
        <is>
          <t>No</t>
        </is>
      </c>
      <c r="L816" t="inlineStr">
        <is>
          <t>0</t>
        </is>
      </c>
      <c r="M816" t="inlineStr">
        <is>
          <t>Herman, Sonya J.</t>
        </is>
      </c>
      <c r="N816" t="inlineStr">
        <is>
          <t>-- New York : Van Nostrand, c1978.</t>
        </is>
      </c>
      <c r="O816" t="inlineStr">
        <is>
          <t>1978</t>
        </is>
      </c>
      <c r="Q816" t="inlineStr">
        <is>
          <t>eng</t>
        </is>
      </c>
      <c r="R816" t="inlineStr">
        <is>
          <t>nyu</t>
        </is>
      </c>
      <c r="T816" t="inlineStr">
        <is>
          <t xml:space="preserve">WY </t>
        </is>
      </c>
      <c r="U816" t="n">
        <v>3</v>
      </c>
      <c r="V816" t="n">
        <v>3</v>
      </c>
      <c r="W816" t="inlineStr">
        <is>
          <t>1991-10-06</t>
        </is>
      </c>
      <c r="X816" t="inlineStr">
        <is>
          <t>1991-10-06</t>
        </is>
      </c>
      <c r="Y816" t="inlineStr">
        <is>
          <t>1987-12-29</t>
        </is>
      </c>
      <c r="Z816" t="inlineStr">
        <is>
          <t>1987-12-29</t>
        </is>
      </c>
      <c r="AA816" t="n">
        <v>225</v>
      </c>
      <c r="AB816" t="n">
        <v>193</v>
      </c>
      <c r="AC816" t="n">
        <v>213</v>
      </c>
      <c r="AD816" t="n">
        <v>3</v>
      </c>
      <c r="AE816" t="n">
        <v>3</v>
      </c>
      <c r="AF816" t="n">
        <v>7</v>
      </c>
      <c r="AG816" t="n">
        <v>8</v>
      </c>
      <c r="AH816" t="n">
        <v>2</v>
      </c>
      <c r="AI816" t="n">
        <v>2</v>
      </c>
      <c r="AJ816" t="n">
        <v>0</v>
      </c>
      <c r="AK816" t="n">
        <v>0</v>
      </c>
      <c r="AL816" t="n">
        <v>3</v>
      </c>
      <c r="AM816" t="n">
        <v>4</v>
      </c>
      <c r="AN816" t="n">
        <v>2</v>
      </c>
      <c r="AO816" t="n">
        <v>2</v>
      </c>
      <c r="AP816" t="n">
        <v>0</v>
      </c>
      <c r="AQ816" t="n">
        <v>0</v>
      </c>
      <c r="AR816" t="inlineStr">
        <is>
          <t>No</t>
        </is>
      </c>
      <c r="AS816" t="inlineStr">
        <is>
          <t>Yes</t>
        </is>
      </c>
      <c r="AT816">
        <f>HYPERLINK("http://catalog.hathitrust.org/Record/000134227","HathiTrust Record")</f>
        <v/>
      </c>
      <c r="AU816">
        <f>HYPERLINK("https://creighton-primo.hosted.exlibrisgroup.com/primo-explore/search?tab=default_tab&amp;search_scope=EVERYTHING&amp;vid=01CRU&amp;lang=en_US&amp;offset=0&amp;query=any,contains,991001136469702656","Catalog Record")</f>
        <v/>
      </c>
      <c r="AV816">
        <f>HYPERLINK("http://www.worldcat.org/oclc/3802159","WorldCat Record")</f>
        <v/>
      </c>
      <c r="AW816" t="inlineStr">
        <is>
          <t>12342696:eng</t>
        </is>
      </c>
      <c r="AX816" t="inlineStr">
        <is>
          <t>3802159</t>
        </is>
      </c>
      <c r="AY816" t="inlineStr">
        <is>
          <t>991001136469702656</t>
        </is>
      </c>
      <c r="AZ816" t="inlineStr">
        <is>
          <t>991001136469702656</t>
        </is>
      </c>
      <c r="BA816" t="inlineStr">
        <is>
          <t>2263905110002656</t>
        </is>
      </c>
      <c r="BB816" t="inlineStr">
        <is>
          <t>BOOK</t>
        </is>
      </c>
      <c r="BD816" t="inlineStr">
        <is>
          <t>9780442232597</t>
        </is>
      </c>
      <c r="BE816" t="inlineStr">
        <is>
          <t>30001000286411</t>
        </is>
      </c>
      <c r="BF816" t="inlineStr">
        <is>
          <t>893727280</t>
        </is>
      </c>
    </row>
    <row r="817">
      <c r="A817" t="inlineStr">
        <is>
          <t>No</t>
        </is>
      </c>
      <c r="B817" t="inlineStr">
        <is>
          <t>CUHSL</t>
        </is>
      </c>
      <c r="C817" t="inlineStr">
        <is>
          <t>SHELVES</t>
        </is>
      </c>
      <c r="D817" t="inlineStr">
        <is>
          <t>WY 87 H663s 1986</t>
        </is>
      </c>
      <c r="E817" t="inlineStr">
        <is>
          <t>0                      WY 0087000H  663s        1986</t>
        </is>
      </c>
      <c r="F817" t="inlineStr">
        <is>
          <t>Stress and the nurse manager / by Peter Hingley and Cary L. Cooper.</t>
        </is>
      </c>
      <c r="H817" t="inlineStr">
        <is>
          <t>No</t>
        </is>
      </c>
      <c r="I817" t="inlineStr">
        <is>
          <t>1</t>
        </is>
      </c>
      <c r="J817" t="inlineStr">
        <is>
          <t>No</t>
        </is>
      </c>
      <c r="K817" t="inlineStr">
        <is>
          <t>No</t>
        </is>
      </c>
      <c r="L817" t="inlineStr">
        <is>
          <t>0</t>
        </is>
      </c>
      <c r="M817" t="inlineStr">
        <is>
          <t>Hingley, Peter.</t>
        </is>
      </c>
      <c r="N817" t="inlineStr">
        <is>
          <t>Chichester ; New York : Wiley, c1986.</t>
        </is>
      </c>
      <c r="O817" t="inlineStr">
        <is>
          <t>1986</t>
        </is>
      </c>
      <c r="Q817" t="inlineStr">
        <is>
          <t>eng</t>
        </is>
      </c>
      <c r="R817" t="inlineStr">
        <is>
          <t>enk</t>
        </is>
      </c>
      <c r="S817" t="inlineStr">
        <is>
          <t>A Wiley medical publication</t>
        </is>
      </c>
      <c r="T817" t="inlineStr">
        <is>
          <t xml:space="preserve">WY </t>
        </is>
      </c>
      <c r="U817" t="n">
        <v>5</v>
      </c>
      <c r="V817" t="n">
        <v>5</v>
      </c>
      <c r="W817" t="inlineStr">
        <is>
          <t>1994-11-04</t>
        </is>
      </c>
      <c r="X817" t="inlineStr">
        <is>
          <t>1994-11-04</t>
        </is>
      </c>
      <c r="Y817" t="inlineStr">
        <is>
          <t>1987-12-29</t>
        </is>
      </c>
      <c r="Z817" t="inlineStr">
        <is>
          <t>1987-12-29</t>
        </is>
      </c>
      <c r="AA817" t="n">
        <v>173</v>
      </c>
      <c r="AB817" t="n">
        <v>113</v>
      </c>
      <c r="AC817" t="n">
        <v>115</v>
      </c>
      <c r="AD817" t="n">
        <v>1</v>
      </c>
      <c r="AE817" t="n">
        <v>1</v>
      </c>
      <c r="AF817" t="n">
        <v>4</v>
      </c>
      <c r="AG817" t="n">
        <v>4</v>
      </c>
      <c r="AH817" t="n">
        <v>0</v>
      </c>
      <c r="AI817" t="n">
        <v>0</v>
      </c>
      <c r="AJ817" t="n">
        <v>1</v>
      </c>
      <c r="AK817" t="n">
        <v>1</v>
      </c>
      <c r="AL817" t="n">
        <v>3</v>
      </c>
      <c r="AM817" t="n">
        <v>3</v>
      </c>
      <c r="AN817" t="n">
        <v>0</v>
      </c>
      <c r="AO817" t="n">
        <v>0</v>
      </c>
      <c r="AP817" t="n">
        <v>0</v>
      </c>
      <c r="AQ817" t="n">
        <v>0</v>
      </c>
      <c r="AR817" t="inlineStr">
        <is>
          <t>No</t>
        </is>
      </c>
      <c r="AS817" t="inlineStr">
        <is>
          <t>Yes</t>
        </is>
      </c>
      <c r="AT817">
        <f>HYPERLINK("http://catalog.hathitrust.org/Record/000490946","HathiTrust Record")</f>
        <v/>
      </c>
      <c r="AU817">
        <f>HYPERLINK("https://creighton-primo.hosted.exlibrisgroup.com/primo-explore/search?tab=default_tab&amp;search_scope=EVERYTHING&amp;vid=01CRU&amp;lang=en_US&amp;offset=0&amp;query=any,contains,991001136599702656","Catalog Record")</f>
        <v/>
      </c>
      <c r="AV817">
        <f>HYPERLINK("http://www.worldcat.org/oclc/13214447","WorldCat Record")</f>
        <v/>
      </c>
      <c r="AW817" t="inlineStr">
        <is>
          <t>6939412:eng</t>
        </is>
      </c>
      <c r="AX817" t="inlineStr">
        <is>
          <t>13214447</t>
        </is>
      </c>
      <c r="AY817" t="inlineStr">
        <is>
          <t>991001136599702656</t>
        </is>
      </c>
      <c r="AZ817" t="inlineStr">
        <is>
          <t>991001136599702656</t>
        </is>
      </c>
      <c r="BA817" t="inlineStr">
        <is>
          <t>2262049550002656</t>
        </is>
      </c>
      <c r="BB817" t="inlineStr">
        <is>
          <t>BOOK</t>
        </is>
      </c>
      <c r="BD817" t="inlineStr">
        <is>
          <t>9780471910220</t>
        </is>
      </c>
      <c r="BE817" t="inlineStr">
        <is>
          <t>30001000286429</t>
        </is>
      </c>
      <c r="BF817" t="inlineStr">
        <is>
          <t>893727281</t>
        </is>
      </c>
    </row>
    <row r="818">
      <c r="A818" t="inlineStr">
        <is>
          <t>No</t>
        </is>
      </c>
      <c r="B818" t="inlineStr">
        <is>
          <t>CUHSL</t>
        </is>
      </c>
      <c r="C818" t="inlineStr">
        <is>
          <t>SHELVES</t>
        </is>
      </c>
      <c r="D818" t="inlineStr">
        <is>
          <t>WY 87 H673</t>
        </is>
      </c>
      <c r="E818" t="inlineStr">
        <is>
          <t>0                      WY 0087000H  673</t>
        </is>
      </c>
      <c r="F818" t="inlineStr">
        <is>
          <t>Hispanic culture and health care : fact, fiction, folklore / edited by Ricardo Arguijo Martinez.</t>
        </is>
      </c>
      <c r="H818" t="inlineStr">
        <is>
          <t>No</t>
        </is>
      </c>
      <c r="I818" t="inlineStr">
        <is>
          <t>1</t>
        </is>
      </c>
      <c r="J818" t="inlineStr">
        <is>
          <t>No</t>
        </is>
      </c>
      <c r="K818" t="inlineStr">
        <is>
          <t>No</t>
        </is>
      </c>
      <c r="L818" t="inlineStr">
        <is>
          <t>0</t>
        </is>
      </c>
      <c r="N818" t="inlineStr">
        <is>
          <t>-- St. Louis : Mosby, 1978.</t>
        </is>
      </c>
      <c r="O818" t="inlineStr">
        <is>
          <t>1978</t>
        </is>
      </c>
      <c r="Q818" t="inlineStr">
        <is>
          <t>eng</t>
        </is>
      </c>
      <c r="R818" t="inlineStr">
        <is>
          <t>mou</t>
        </is>
      </c>
      <c r="T818" t="inlineStr">
        <is>
          <t xml:space="preserve">WY </t>
        </is>
      </c>
      <c r="U818" t="n">
        <v>12</v>
      </c>
      <c r="V818" t="n">
        <v>12</v>
      </c>
      <c r="W818" t="inlineStr">
        <is>
          <t>2000-02-28</t>
        </is>
      </c>
      <c r="X818" t="inlineStr">
        <is>
          <t>2000-02-28</t>
        </is>
      </c>
      <c r="Y818" t="inlineStr">
        <is>
          <t>1987-12-29</t>
        </is>
      </c>
      <c r="Z818" t="inlineStr">
        <is>
          <t>1987-12-29</t>
        </is>
      </c>
      <c r="AA818" t="n">
        <v>330</v>
      </c>
      <c r="AB818" t="n">
        <v>313</v>
      </c>
      <c r="AC818" t="n">
        <v>320</v>
      </c>
      <c r="AD818" t="n">
        <v>3</v>
      </c>
      <c r="AE818" t="n">
        <v>3</v>
      </c>
      <c r="AF818" t="n">
        <v>13</v>
      </c>
      <c r="AG818" t="n">
        <v>13</v>
      </c>
      <c r="AH818" t="n">
        <v>4</v>
      </c>
      <c r="AI818" t="n">
        <v>4</v>
      </c>
      <c r="AJ818" t="n">
        <v>3</v>
      </c>
      <c r="AK818" t="n">
        <v>3</v>
      </c>
      <c r="AL818" t="n">
        <v>7</v>
      </c>
      <c r="AM818" t="n">
        <v>7</v>
      </c>
      <c r="AN818" t="n">
        <v>2</v>
      </c>
      <c r="AO818" t="n">
        <v>2</v>
      </c>
      <c r="AP818" t="n">
        <v>0</v>
      </c>
      <c r="AQ818" t="n">
        <v>0</v>
      </c>
      <c r="AR818" t="inlineStr">
        <is>
          <t>No</t>
        </is>
      </c>
      <c r="AS818" t="inlineStr">
        <is>
          <t>Yes</t>
        </is>
      </c>
      <c r="AT818">
        <f>HYPERLINK("http://catalog.hathitrust.org/Record/000089583","HathiTrust Record")</f>
        <v/>
      </c>
      <c r="AU818">
        <f>HYPERLINK("https://creighton-primo.hosted.exlibrisgroup.com/primo-explore/search?tab=default_tab&amp;search_scope=EVERYTHING&amp;vid=01CRU&amp;lang=en_US&amp;offset=0&amp;query=any,contains,991001136649702656","Catalog Record")</f>
        <v/>
      </c>
      <c r="AV818">
        <f>HYPERLINK("http://www.worldcat.org/oclc/3542501","WorldCat Record")</f>
        <v/>
      </c>
      <c r="AW818" t="inlineStr">
        <is>
          <t>11379098:eng</t>
        </is>
      </c>
      <c r="AX818" t="inlineStr">
        <is>
          <t>3542501</t>
        </is>
      </c>
      <c r="AY818" t="inlineStr">
        <is>
          <t>991001136649702656</t>
        </is>
      </c>
      <c r="AZ818" t="inlineStr">
        <is>
          <t>991001136649702656</t>
        </is>
      </c>
      <c r="BA818" t="inlineStr">
        <is>
          <t>2264339620002656</t>
        </is>
      </c>
      <c r="BB818" t="inlineStr">
        <is>
          <t>BOOK</t>
        </is>
      </c>
      <c r="BD818" t="inlineStr">
        <is>
          <t>9780801631436</t>
        </is>
      </c>
      <c r="BE818" t="inlineStr">
        <is>
          <t>30001000286437</t>
        </is>
      </c>
      <c r="BF818" t="inlineStr">
        <is>
          <t>893168036</t>
        </is>
      </c>
    </row>
    <row r="819">
      <c r="A819" t="inlineStr">
        <is>
          <t>No</t>
        </is>
      </c>
      <c r="B819" t="inlineStr">
        <is>
          <t>CUHSL</t>
        </is>
      </c>
      <c r="C819" t="inlineStr">
        <is>
          <t>SHELVES</t>
        </is>
      </c>
      <c r="D819" t="inlineStr">
        <is>
          <t>WY 87 I61 1984</t>
        </is>
      </c>
      <c r="E819" t="inlineStr">
        <is>
          <t>0                      WY 0087000I  61          1984</t>
        </is>
      </c>
      <c r="F819" t="inlineStr">
        <is>
          <t>Interpersonal communication in nursing : an interactionist approach / Paul Fritz ... [et al.].</t>
        </is>
      </c>
      <c r="H819" t="inlineStr">
        <is>
          <t>No</t>
        </is>
      </c>
      <c r="I819" t="inlineStr">
        <is>
          <t>1</t>
        </is>
      </c>
      <c r="J819" t="inlineStr">
        <is>
          <t>No</t>
        </is>
      </c>
      <c r="K819" t="inlineStr">
        <is>
          <t>No</t>
        </is>
      </c>
      <c r="L819" t="inlineStr">
        <is>
          <t>0</t>
        </is>
      </c>
      <c r="N819" t="inlineStr">
        <is>
          <t>Norwalk, Conn. : Appleton-Century-Crofts, c1984.</t>
        </is>
      </c>
      <c r="O819" t="inlineStr">
        <is>
          <t>1984</t>
        </is>
      </c>
      <c r="Q819" t="inlineStr">
        <is>
          <t>eng</t>
        </is>
      </c>
      <c r="R819" t="inlineStr">
        <is>
          <t>xxu</t>
        </is>
      </c>
      <c r="T819" t="inlineStr">
        <is>
          <t xml:space="preserve">WY </t>
        </is>
      </c>
      <c r="U819" t="n">
        <v>6</v>
      </c>
      <c r="V819" t="n">
        <v>6</v>
      </c>
      <c r="W819" t="inlineStr">
        <is>
          <t>1993-10-07</t>
        </is>
      </c>
      <c r="X819" t="inlineStr">
        <is>
          <t>1993-10-07</t>
        </is>
      </c>
      <c r="Y819" t="inlineStr">
        <is>
          <t>1987-12-29</t>
        </is>
      </c>
      <c r="Z819" t="inlineStr">
        <is>
          <t>1987-12-29</t>
        </is>
      </c>
      <c r="AA819" t="n">
        <v>220</v>
      </c>
      <c r="AB819" t="n">
        <v>160</v>
      </c>
      <c r="AC819" t="n">
        <v>167</v>
      </c>
      <c r="AD819" t="n">
        <v>1</v>
      </c>
      <c r="AE819" t="n">
        <v>1</v>
      </c>
      <c r="AF819" t="n">
        <v>4</v>
      </c>
      <c r="AG819" t="n">
        <v>4</v>
      </c>
      <c r="AH819" t="n">
        <v>1</v>
      </c>
      <c r="AI819" t="n">
        <v>1</v>
      </c>
      <c r="AJ819" t="n">
        <v>0</v>
      </c>
      <c r="AK819" t="n">
        <v>0</v>
      </c>
      <c r="AL819" t="n">
        <v>3</v>
      </c>
      <c r="AM819" t="n">
        <v>3</v>
      </c>
      <c r="AN819" t="n">
        <v>0</v>
      </c>
      <c r="AO819" t="n">
        <v>0</v>
      </c>
      <c r="AP819" t="n">
        <v>0</v>
      </c>
      <c r="AQ819" t="n">
        <v>0</v>
      </c>
      <c r="AR819" t="inlineStr">
        <is>
          <t>No</t>
        </is>
      </c>
      <c r="AS819" t="inlineStr">
        <is>
          <t>Yes</t>
        </is>
      </c>
      <c r="AT819">
        <f>HYPERLINK("http://catalog.hathitrust.org/Record/000322873","HathiTrust Record")</f>
        <v/>
      </c>
      <c r="AU819">
        <f>HYPERLINK("https://creighton-primo.hosted.exlibrisgroup.com/primo-explore/search?tab=default_tab&amp;search_scope=EVERYTHING&amp;vid=01CRU&amp;lang=en_US&amp;offset=0&amp;query=any,contains,991001136689702656","Catalog Record")</f>
        <v/>
      </c>
      <c r="AV819">
        <f>HYPERLINK("http://www.worldcat.org/oclc/9893387","WorldCat Record")</f>
        <v/>
      </c>
      <c r="AW819" t="inlineStr">
        <is>
          <t>836628560:eng</t>
        </is>
      </c>
      <c r="AX819" t="inlineStr">
        <is>
          <t>9893387</t>
        </is>
      </c>
      <c r="AY819" t="inlineStr">
        <is>
          <t>991001136689702656</t>
        </is>
      </c>
      <c r="AZ819" t="inlineStr">
        <is>
          <t>991001136689702656</t>
        </is>
      </c>
      <c r="BA819" t="inlineStr">
        <is>
          <t>2262181070002656</t>
        </is>
      </c>
      <c r="BB819" t="inlineStr">
        <is>
          <t>BOOK</t>
        </is>
      </c>
      <c r="BD819" t="inlineStr">
        <is>
          <t>9780838543122</t>
        </is>
      </c>
      <c r="BE819" t="inlineStr">
        <is>
          <t>30001000286452</t>
        </is>
      </c>
      <c r="BF819" t="inlineStr">
        <is>
          <t>893831934</t>
        </is>
      </c>
    </row>
    <row r="820">
      <c r="A820" t="inlineStr">
        <is>
          <t>No</t>
        </is>
      </c>
      <c r="B820" t="inlineStr">
        <is>
          <t>CUHSL</t>
        </is>
      </c>
      <c r="C820" t="inlineStr">
        <is>
          <t>SHELVES</t>
        </is>
      </c>
      <c r="D820" t="inlineStr">
        <is>
          <t>WY 87 J39b 1979</t>
        </is>
      </c>
      <c r="E820" t="inlineStr">
        <is>
          <t>0                      WY 0087000J  39b         1979</t>
        </is>
      </c>
      <c r="F820" t="inlineStr">
        <is>
          <t>Behavioral concepts and the nursing process / Sylvia Jasmin, Louise N. Trygstad.</t>
        </is>
      </c>
      <c r="H820" t="inlineStr">
        <is>
          <t>No</t>
        </is>
      </c>
      <c r="I820" t="inlineStr">
        <is>
          <t>1</t>
        </is>
      </c>
      <c r="J820" t="inlineStr">
        <is>
          <t>No</t>
        </is>
      </c>
      <c r="K820" t="inlineStr">
        <is>
          <t>No</t>
        </is>
      </c>
      <c r="L820" t="inlineStr">
        <is>
          <t>0</t>
        </is>
      </c>
      <c r="M820" t="inlineStr">
        <is>
          <t>Jasmin, Sylvia, 1943-</t>
        </is>
      </c>
      <c r="N820" t="inlineStr">
        <is>
          <t>-- St. Louis : Mosby, 1979.</t>
        </is>
      </c>
      <c r="O820" t="inlineStr">
        <is>
          <t>1979</t>
        </is>
      </c>
      <c r="Q820" t="inlineStr">
        <is>
          <t>eng</t>
        </is>
      </c>
      <c r="R820" t="inlineStr">
        <is>
          <t>mou</t>
        </is>
      </c>
      <c r="T820" t="inlineStr">
        <is>
          <t xml:space="preserve">WY </t>
        </is>
      </c>
      <c r="U820" t="n">
        <v>7</v>
      </c>
      <c r="V820" t="n">
        <v>7</v>
      </c>
      <c r="W820" t="inlineStr">
        <is>
          <t>1998-11-16</t>
        </is>
      </c>
      <c r="X820" t="inlineStr">
        <is>
          <t>1998-11-16</t>
        </is>
      </c>
      <c r="Y820" t="inlineStr">
        <is>
          <t>1988-01-09</t>
        </is>
      </c>
      <c r="Z820" t="inlineStr">
        <is>
          <t>1988-01-09</t>
        </is>
      </c>
      <c r="AA820" t="n">
        <v>214</v>
      </c>
      <c r="AB820" t="n">
        <v>163</v>
      </c>
      <c r="AC820" t="n">
        <v>165</v>
      </c>
      <c r="AD820" t="n">
        <v>5</v>
      </c>
      <c r="AE820" t="n">
        <v>5</v>
      </c>
      <c r="AF820" t="n">
        <v>7</v>
      </c>
      <c r="AG820" t="n">
        <v>7</v>
      </c>
      <c r="AH820" t="n">
        <v>1</v>
      </c>
      <c r="AI820" t="n">
        <v>1</v>
      </c>
      <c r="AJ820" t="n">
        <v>0</v>
      </c>
      <c r="AK820" t="n">
        <v>0</v>
      </c>
      <c r="AL820" t="n">
        <v>3</v>
      </c>
      <c r="AM820" t="n">
        <v>3</v>
      </c>
      <c r="AN820" t="n">
        <v>3</v>
      </c>
      <c r="AO820" t="n">
        <v>3</v>
      </c>
      <c r="AP820" t="n">
        <v>0</v>
      </c>
      <c r="AQ820" t="n">
        <v>0</v>
      </c>
      <c r="AR820" t="inlineStr">
        <is>
          <t>No</t>
        </is>
      </c>
      <c r="AS820" t="inlineStr">
        <is>
          <t>Yes</t>
        </is>
      </c>
      <c r="AT820">
        <f>HYPERLINK("http://catalog.hathitrust.org/Record/000255465","HathiTrust Record")</f>
        <v/>
      </c>
      <c r="AU820">
        <f>HYPERLINK("https://creighton-primo.hosted.exlibrisgroup.com/primo-explore/search?tab=default_tab&amp;search_scope=EVERYTHING&amp;vid=01CRU&amp;lang=en_US&amp;offset=0&amp;query=any,contains,991001136849702656","Catalog Record")</f>
        <v/>
      </c>
      <c r="AV820">
        <f>HYPERLINK("http://www.worldcat.org/oclc/4491835","WorldCat Record")</f>
        <v/>
      </c>
      <c r="AW820" t="inlineStr">
        <is>
          <t>14759271:eng</t>
        </is>
      </c>
      <c r="AX820" t="inlineStr">
        <is>
          <t>4491835</t>
        </is>
      </c>
      <c r="AY820" t="inlineStr">
        <is>
          <t>991001136849702656</t>
        </is>
      </c>
      <c r="AZ820" t="inlineStr">
        <is>
          <t>991001136849702656</t>
        </is>
      </c>
      <c r="BA820" t="inlineStr">
        <is>
          <t>2264120000002656</t>
        </is>
      </c>
      <c r="BB820" t="inlineStr">
        <is>
          <t>BOOK</t>
        </is>
      </c>
      <c r="BD820" t="inlineStr">
        <is>
          <t>9780801624353</t>
        </is>
      </c>
      <c r="BE820" t="inlineStr">
        <is>
          <t>30001000286486</t>
        </is>
      </c>
      <c r="BF820" t="inlineStr">
        <is>
          <t>893268111</t>
        </is>
      </c>
    </row>
    <row r="821">
      <c r="A821" t="inlineStr">
        <is>
          <t>No</t>
        </is>
      </c>
      <c r="B821" t="inlineStr">
        <is>
          <t>CUHSL</t>
        </is>
      </c>
      <c r="C821" t="inlineStr">
        <is>
          <t>SHELVES</t>
        </is>
      </c>
      <c r="D821" t="inlineStr">
        <is>
          <t>WY 87 K52t 1971</t>
        </is>
      </c>
      <c r="E821" t="inlineStr">
        <is>
          <t>0                      WY 0087000K  52t         1971</t>
        </is>
      </c>
      <c r="F821" t="inlineStr">
        <is>
          <t>Toward a theory for nursing : general concepts of human behavior / Imogene M. King.</t>
        </is>
      </c>
      <c r="H821" t="inlineStr">
        <is>
          <t>No</t>
        </is>
      </c>
      <c r="I821" t="inlineStr">
        <is>
          <t>1</t>
        </is>
      </c>
      <c r="J821" t="inlineStr">
        <is>
          <t>No</t>
        </is>
      </c>
      <c r="K821" t="inlineStr">
        <is>
          <t>No</t>
        </is>
      </c>
      <c r="L821" t="inlineStr">
        <is>
          <t>0</t>
        </is>
      </c>
      <c r="M821" t="inlineStr">
        <is>
          <t>King, Imogene M.</t>
        </is>
      </c>
      <c r="N821" t="inlineStr">
        <is>
          <t>New York, NY : Wiley 1971.</t>
        </is>
      </c>
      <c r="O821" t="inlineStr">
        <is>
          <t>1971</t>
        </is>
      </c>
      <c r="Q821" t="inlineStr">
        <is>
          <t>eng</t>
        </is>
      </c>
      <c r="R821" t="inlineStr">
        <is>
          <t>nyu</t>
        </is>
      </c>
      <c r="S821" t="inlineStr">
        <is>
          <t>Wiley paperback nursing series</t>
        </is>
      </c>
      <c r="T821" t="inlineStr">
        <is>
          <t xml:space="preserve">WY </t>
        </is>
      </c>
      <c r="U821" t="n">
        <v>15</v>
      </c>
      <c r="V821" t="n">
        <v>15</v>
      </c>
      <c r="W821" t="inlineStr">
        <is>
          <t>1998-11-17</t>
        </is>
      </c>
      <c r="X821" t="inlineStr">
        <is>
          <t>1998-11-17</t>
        </is>
      </c>
      <c r="Y821" t="inlineStr">
        <is>
          <t>1989-04-10</t>
        </is>
      </c>
      <c r="Z821" t="inlineStr">
        <is>
          <t>1989-04-10</t>
        </is>
      </c>
      <c r="AA821" t="n">
        <v>406</v>
      </c>
      <c r="AB821" t="n">
        <v>334</v>
      </c>
      <c r="AC821" t="n">
        <v>336</v>
      </c>
      <c r="AD821" t="n">
        <v>7</v>
      </c>
      <c r="AE821" t="n">
        <v>7</v>
      </c>
      <c r="AF821" t="n">
        <v>17</v>
      </c>
      <c r="AG821" t="n">
        <v>17</v>
      </c>
      <c r="AH821" t="n">
        <v>5</v>
      </c>
      <c r="AI821" t="n">
        <v>5</v>
      </c>
      <c r="AJ821" t="n">
        <v>4</v>
      </c>
      <c r="AK821" t="n">
        <v>4</v>
      </c>
      <c r="AL821" t="n">
        <v>6</v>
      </c>
      <c r="AM821" t="n">
        <v>6</v>
      </c>
      <c r="AN821" t="n">
        <v>5</v>
      </c>
      <c r="AO821" t="n">
        <v>5</v>
      </c>
      <c r="AP821" t="n">
        <v>0</v>
      </c>
      <c r="AQ821" t="n">
        <v>0</v>
      </c>
      <c r="AR821" t="inlineStr">
        <is>
          <t>No</t>
        </is>
      </c>
      <c r="AS821" t="inlineStr">
        <is>
          <t>Yes</t>
        </is>
      </c>
      <c r="AT821">
        <f>HYPERLINK("http://catalog.hathitrust.org/Record/001574436","HathiTrust Record")</f>
        <v/>
      </c>
      <c r="AU821">
        <f>HYPERLINK("https://creighton-primo.hosted.exlibrisgroup.com/primo-explore/search?tab=default_tab&amp;search_scope=EVERYTHING&amp;vid=01CRU&amp;lang=en_US&amp;offset=0&amp;query=any,contains,991001136959702656","Catalog Record")</f>
        <v/>
      </c>
      <c r="AV821">
        <f>HYPERLINK("http://www.worldcat.org/oclc/116519","WorldCat Record")</f>
        <v/>
      </c>
      <c r="AW821" t="inlineStr">
        <is>
          <t>3902579433:eng</t>
        </is>
      </c>
      <c r="AX821" t="inlineStr">
        <is>
          <t>116519</t>
        </is>
      </c>
      <c r="AY821" t="inlineStr">
        <is>
          <t>991001136959702656</t>
        </is>
      </c>
      <c r="AZ821" t="inlineStr">
        <is>
          <t>991001136959702656</t>
        </is>
      </c>
      <c r="BA821" t="inlineStr">
        <is>
          <t>2260518920002656</t>
        </is>
      </c>
      <c r="BB821" t="inlineStr">
        <is>
          <t>BOOK</t>
        </is>
      </c>
      <c r="BD821" t="inlineStr">
        <is>
          <t>9780471478003</t>
        </is>
      </c>
      <c r="BE821" t="inlineStr">
        <is>
          <t>30001000286502</t>
        </is>
      </c>
      <c r="BF821" t="inlineStr">
        <is>
          <t>893465224</t>
        </is>
      </c>
    </row>
    <row r="822">
      <c r="A822" t="inlineStr">
        <is>
          <t>No</t>
        </is>
      </c>
      <c r="B822" t="inlineStr">
        <is>
          <t>CUHSL</t>
        </is>
      </c>
      <c r="C822" t="inlineStr">
        <is>
          <t>SHELVES</t>
        </is>
      </c>
      <c r="D822" t="inlineStr">
        <is>
          <t>WY 87 K78a 1982</t>
        </is>
      </c>
      <c r="E822" t="inlineStr">
        <is>
          <t>0                      WY 0087000K  78a         1982</t>
        </is>
      </c>
      <c r="F822" t="inlineStr">
        <is>
          <t>Advocacy, risk and reality / Mary F. Kohnke.</t>
        </is>
      </c>
      <c r="H822" t="inlineStr">
        <is>
          <t>No</t>
        </is>
      </c>
      <c r="I822" t="inlineStr">
        <is>
          <t>1</t>
        </is>
      </c>
      <c r="J822" t="inlineStr">
        <is>
          <t>No</t>
        </is>
      </c>
      <c r="K822" t="inlineStr">
        <is>
          <t>No</t>
        </is>
      </c>
      <c r="L822" t="inlineStr">
        <is>
          <t>0</t>
        </is>
      </c>
      <c r="M822" t="inlineStr">
        <is>
          <t>Kohnke, Mary F.</t>
        </is>
      </c>
      <c r="N822" t="inlineStr">
        <is>
          <t>St. Louis : Mosby, c1982.</t>
        </is>
      </c>
      <c r="O822" t="inlineStr">
        <is>
          <t>1982</t>
        </is>
      </c>
      <c r="Q822" t="inlineStr">
        <is>
          <t>eng</t>
        </is>
      </c>
      <c r="R822" t="inlineStr">
        <is>
          <t>xxu</t>
        </is>
      </c>
      <c r="T822" t="inlineStr">
        <is>
          <t xml:space="preserve">WY </t>
        </is>
      </c>
      <c r="U822" t="n">
        <v>1</v>
      </c>
      <c r="V822" t="n">
        <v>1</v>
      </c>
      <c r="W822" t="inlineStr">
        <is>
          <t>1998-10-15</t>
        </is>
      </c>
      <c r="X822" t="inlineStr">
        <is>
          <t>1998-10-15</t>
        </is>
      </c>
      <c r="Y822" t="inlineStr">
        <is>
          <t>1987-10-22</t>
        </is>
      </c>
      <c r="Z822" t="inlineStr">
        <is>
          <t>1987-10-22</t>
        </is>
      </c>
      <c r="AA822" t="n">
        <v>277</v>
      </c>
      <c r="AB822" t="n">
        <v>211</v>
      </c>
      <c r="AC822" t="n">
        <v>218</v>
      </c>
      <c r="AD822" t="n">
        <v>2</v>
      </c>
      <c r="AE822" t="n">
        <v>2</v>
      </c>
      <c r="AF822" t="n">
        <v>8</v>
      </c>
      <c r="AG822" t="n">
        <v>8</v>
      </c>
      <c r="AH822" t="n">
        <v>2</v>
      </c>
      <c r="AI822" t="n">
        <v>2</v>
      </c>
      <c r="AJ822" t="n">
        <v>1</v>
      </c>
      <c r="AK822" t="n">
        <v>1</v>
      </c>
      <c r="AL822" t="n">
        <v>6</v>
      </c>
      <c r="AM822" t="n">
        <v>6</v>
      </c>
      <c r="AN822" t="n">
        <v>1</v>
      </c>
      <c r="AO822" t="n">
        <v>1</v>
      </c>
      <c r="AP822" t="n">
        <v>0</v>
      </c>
      <c r="AQ822" t="n">
        <v>0</v>
      </c>
      <c r="AR822" t="inlineStr">
        <is>
          <t>No</t>
        </is>
      </c>
      <c r="AS822" t="inlineStr">
        <is>
          <t>Yes</t>
        </is>
      </c>
      <c r="AT822">
        <f>HYPERLINK("http://catalog.hathitrust.org/Record/000108356","HathiTrust Record")</f>
        <v/>
      </c>
      <c r="AU822">
        <f>HYPERLINK("https://creighton-primo.hosted.exlibrisgroup.com/primo-explore/search?tab=default_tab&amp;search_scope=EVERYTHING&amp;vid=01CRU&amp;lang=en_US&amp;offset=0&amp;query=any,contains,991000738399702656","Catalog Record")</f>
        <v/>
      </c>
      <c r="AV822">
        <f>HYPERLINK("http://www.worldcat.org/oclc/8409918","WorldCat Record")</f>
        <v/>
      </c>
      <c r="AW822" t="inlineStr">
        <is>
          <t>31535476:eng</t>
        </is>
      </c>
      <c r="AX822" t="inlineStr">
        <is>
          <t>8409918</t>
        </is>
      </c>
      <c r="AY822" t="inlineStr">
        <is>
          <t>991000738399702656</t>
        </is>
      </c>
      <c r="AZ822" t="inlineStr">
        <is>
          <t>991000738399702656</t>
        </is>
      </c>
      <c r="BA822" t="inlineStr">
        <is>
          <t>2271390050002656</t>
        </is>
      </c>
      <c r="BB822" t="inlineStr">
        <is>
          <t>BOOK</t>
        </is>
      </c>
      <c r="BD822" t="inlineStr">
        <is>
          <t>9780801627217</t>
        </is>
      </c>
      <c r="BE822" t="inlineStr">
        <is>
          <t>30001000042533</t>
        </is>
      </c>
      <c r="BF822" t="inlineStr">
        <is>
          <t>893120095</t>
        </is>
      </c>
    </row>
    <row r="823">
      <c r="A823" t="inlineStr">
        <is>
          <t>No</t>
        </is>
      </c>
      <c r="B823" t="inlineStr">
        <is>
          <t>CUHSL</t>
        </is>
      </c>
      <c r="C823" t="inlineStr">
        <is>
          <t>SHELVES</t>
        </is>
      </c>
      <c r="D823" t="inlineStr">
        <is>
          <t>WY 87 L531n 1970</t>
        </is>
      </c>
      <c r="E823" t="inlineStr">
        <is>
          <t>0                      WY 0087000L  531n        1970</t>
        </is>
      </c>
      <c r="F823" t="inlineStr">
        <is>
          <t>Nursing and anthropology : two worlds to blend / Madeleine Leininger.</t>
        </is>
      </c>
      <c r="H823" t="inlineStr">
        <is>
          <t>No</t>
        </is>
      </c>
      <c r="I823" t="inlineStr">
        <is>
          <t>1</t>
        </is>
      </c>
      <c r="J823" t="inlineStr">
        <is>
          <t>No</t>
        </is>
      </c>
      <c r="K823" t="inlineStr">
        <is>
          <t>No</t>
        </is>
      </c>
      <c r="L823" t="inlineStr">
        <is>
          <t>0</t>
        </is>
      </c>
      <c r="M823" t="inlineStr">
        <is>
          <t>Leininger, Madeleine M.</t>
        </is>
      </c>
      <c r="N823" t="inlineStr">
        <is>
          <t>New York, NY : Wiley, 1970.</t>
        </is>
      </c>
      <c r="O823" t="inlineStr">
        <is>
          <t>1970</t>
        </is>
      </c>
      <c r="Q823" t="inlineStr">
        <is>
          <t>eng</t>
        </is>
      </c>
      <c r="R823" t="inlineStr">
        <is>
          <t>nyu</t>
        </is>
      </c>
      <c r="T823" t="inlineStr">
        <is>
          <t xml:space="preserve">WY </t>
        </is>
      </c>
      <c r="U823" t="n">
        <v>24</v>
      </c>
      <c r="V823" t="n">
        <v>24</v>
      </c>
      <c r="W823" t="inlineStr">
        <is>
          <t>1997-09-30</t>
        </is>
      </c>
      <c r="X823" t="inlineStr">
        <is>
          <t>1997-09-30</t>
        </is>
      </c>
      <c r="Y823" t="inlineStr">
        <is>
          <t>1988-01-05</t>
        </is>
      </c>
      <c r="Z823" t="inlineStr">
        <is>
          <t>1988-01-05</t>
        </is>
      </c>
      <c r="AA823" t="n">
        <v>436</v>
      </c>
      <c r="AB823" t="n">
        <v>370</v>
      </c>
      <c r="AC823" t="n">
        <v>396</v>
      </c>
      <c r="AD823" t="n">
        <v>4</v>
      </c>
      <c r="AE823" t="n">
        <v>5</v>
      </c>
      <c r="AF823" t="n">
        <v>19</v>
      </c>
      <c r="AG823" t="n">
        <v>21</v>
      </c>
      <c r="AH823" t="n">
        <v>7</v>
      </c>
      <c r="AI823" t="n">
        <v>8</v>
      </c>
      <c r="AJ823" t="n">
        <v>2</v>
      </c>
      <c r="AK823" t="n">
        <v>2</v>
      </c>
      <c r="AL823" t="n">
        <v>9</v>
      </c>
      <c r="AM823" t="n">
        <v>10</v>
      </c>
      <c r="AN823" t="n">
        <v>2</v>
      </c>
      <c r="AO823" t="n">
        <v>3</v>
      </c>
      <c r="AP823" t="n">
        <v>0</v>
      </c>
      <c r="AQ823" t="n">
        <v>0</v>
      </c>
      <c r="AR823" t="inlineStr">
        <is>
          <t>No</t>
        </is>
      </c>
      <c r="AS823" t="inlineStr">
        <is>
          <t>Yes</t>
        </is>
      </c>
      <c r="AT823">
        <f>HYPERLINK("http://catalog.hathitrust.org/Record/001574437","HathiTrust Record")</f>
        <v/>
      </c>
      <c r="AU823">
        <f>HYPERLINK("https://creighton-primo.hosted.exlibrisgroup.com/primo-explore/search?tab=default_tab&amp;search_scope=EVERYTHING&amp;vid=01CRU&amp;lang=en_US&amp;offset=0&amp;query=any,contains,991001137089702656","Catalog Record")</f>
        <v/>
      </c>
      <c r="AV823">
        <f>HYPERLINK("http://www.worldcat.org/oclc/109534","WorldCat Record")</f>
        <v/>
      </c>
      <c r="AW823" t="inlineStr">
        <is>
          <t>1221802:eng</t>
        </is>
      </c>
      <c r="AX823" t="inlineStr">
        <is>
          <t>109534</t>
        </is>
      </c>
      <c r="AY823" t="inlineStr">
        <is>
          <t>991001137089702656</t>
        </is>
      </c>
      <c r="AZ823" t="inlineStr">
        <is>
          <t>991001137089702656</t>
        </is>
      </c>
      <c r="BA823" t="inlineStr">
        <is>
          <t>2254971740002656</t>
        </is>
      </c>
      <c r="BB823" t="inlineStr">
        <is>
          <t>BOOK</t>
        </is>
      </c>
      <c r="BD823" t="inlineStr">
        <is>
          <t>9780471526025</t>
        </is>
      </c>
      <c r="BE823" t="inlineStr">
        <is>
          <t>30001000286544</t>
        </is>
      </c>
      <c r="BF823" t="inlineStr">
        <is>
          <t>893273729</t>
        </is>
      </c>
    </row>
    <row r="824">
      <c r="A824" t="inlineStr">
        <is>
          <t>No</t>
        </is>
      </c>
      <c r="B824" t="inlineStr">
        <is>
          <t>CUHSL</t>
        </is>
      </c>
      <c r="C824" t="inlineStr">
        <is>
          <t>SHELVES</t>
        </is>
      </c>
      <c r="D824" t="inlineStr">
        <is>
          <t>WY 87 L531t 1995</t>
        </is>
      </c>
      <c r="E824" t="inlineStr">
        <is>
          <t>0                      WY 0087000L  531t        1995</t>
        </is>
      </c>
      <c r="F824" t="inlineStr">
        <is>
          <t>Transcultural nursing : concepts, theories, research &amp; practices / Madeleine Leininger.</t>
        </is>
      </c>
      <c r="H824" t="inlineStr">
        <is>
          <t>No</t>
        </is>
      </c>
      <c r="I824" t="inlineStr">
        <is>
          <t>1</t>
        </is>
      </c>
      <c r="J824" t="inlineStr">
        <is>
          <t>No</t>
        </is>
      </c>
      <c r="K824" t="inlineStr">
        <is>
          <t>No</t>
        </is>
      </c>
      <c r="L824" t="inlineStr">
        <is>
          <t>0</t>
        </is>
      </c>
      <c r="M824" t="inlineStr">
        <is>
          <t>Leininger, Madeleine M.</t>
        </is>
      </c>
      <c r="N824" t="inlineStr">
        <is>
          <t>New York : McGraw-Hill, Inc., c1995.</t>
        </is>
      </c>
      <c r="O824" t="inlineStr">
        <is>
          <t>1995</t>
        </is>
      </c>
      <c r="P824" t="inlineStr">
        <is>
          <t>2nd ed.</t>
        </is>
      </c>
      <c r="Q824" t="inlineStr">
        <is>
          <t>eng</t>
        </is>
      </c>
      <c r="R824" t="inlineStr">
        <is>
          <t>nyu</t>
        </is>
      </c>
      <c r="S824" t="inlineStr">
        <is>
          <t>College custom series</t>
        </is>
      </c>
      <c r="T824" t="inlineStr">
        <is>
          <t xml:space="preserve">WY </t>
        </is>
      </c>
      <c r="U824" t="n">
        <v>19</v>
      </c>
      <c r="V824" t="n">
        <v>19</v>
      </c>
      <c r="W824" t="inlineStr">
        <is>
          <t>2004-08-10</t>
        </is>
      </c>
      <c r="X824" t="inlineStr">
        <is>
          <t>2004-08-10</t>
        </is>
      </c>
      <c r="Y824" t="inlineStr">
        <is>
          <t>1997-04-28</t>
        </is>
      </c>
      <c r="Z824" t="inlineStr">
        <is>
          <t>1997-04-28</t>
        </is>
      </c>
      <c r="AA824" t="n">
        <v>248</v>
      </c>
      <c r="AB824" t="n">
        <v>196</v>
      </c>
      <c r="AC824" t="n">
        <v>827</v>
      </c>
      <c r="AD824" t="n">
        <v>3</v>
      </c>
      <c r="AE824" t="n">
        <v>7</v>
      </c>
      <c r="AF824" t="n">
        <v>8</v>
      </c>
      <c r="AG824" t="n">
        <v>33</v>
      </c>
      <c r="AH824" t="n">
        <v>4</v>
      </c>
      <c r="AI824" t="n">
        <v>15</v>
      </c>
      <c r="AJ824" t="n">
        <v>1</v>
      </c>
      <c r="AK824" t="n">
        <v>5</v>
      </c>
      <c r="AL824" t="n">
        <v>3</v>
      </c>
      <c r="AM824" t="n">
        <v>13</v>
      </c>
      <c r="AN824" t="n">
        <v>2</v>
      </c>
      <c r="AO824" t="n">
        <v>6</v>
      </c>
      <c r="AP824" t="n">
        <v>0</v>
      </c>
      <c r="AQ824" t="n">
        <v>0</v>
      </c>
      <c r="AR824" t="inlineStr">
        <is>
          <t>No</t>
        </is>
      </c>
      <c r="AS824" t="inlineStr">
        <is>
          <t>No</t>
        </is>
      </c>
      <c r="AU824">
        <f>HYPERLINK("https://creighton-primo.hosted.exlibrisgroup.com/primo-explore/search?tab=default_tab&amp;search_scope=EVERYTHING&amp;vid=01CRU&amp;lang=en_US&amp;offset=0&amp;query=any,contains,991001048689702656","Catalog Record")</f>
        <v/>
      </c>
      <c r="AV824">
        <f>HYPERLINK("http://www.worldcat.org/oclc/34110081","WorldCat Record")</f>
        <v/>
      </c>
      <c r="AW824" t="inlineStr">
        <is>
          <t>2536725:eng</t>
        </is>
      </c>
      <c r="AX824" t="inlineStr">
        <is>
          <t>34110081</t>
        </is>
      </c>
      <c r="AY824" t="inlineStr">
        <is>
          <t>991001048689702656</t>
        </is>
      </c>
      <c r="AZ824" t="inlineStr">
        <is>
          <t>991001048689702656</t>
        </is>
      </c>
      <c r="BA824" t="inlineStr">
        <is>
          <t>2264929970002656</t>
        </is>
      </c>
      <c r="BB824" t="inlineStr">
        <is>
          <t>BOOK</t>
        </is>
      </c>
      <c r="BD824" t="inlineStr">
        <is>
          <t>9780070376601</t>
        </is>
      </c>
      <c r="BE824" t="inlineStr">
        <is>
          <t>30001003585686</t>
        </is>
      </c>
      <c r="BF824" t="inlineStr">
        <is>
          <t>893743615</t>
        </is>
      </c>
    </row>
    <row r="825">
      <c r="A825" t="inlineStr">
        <is>
          <t>No</t>
        </is>
      </c>
      <c r="B825" t="inlineStr">
        <is>
          <t>CUHSL</t>
        </is>
      </c>
      <c r="C825" t="inlineStr">
        <is>
          <t>SHELVES</t>
        </is>
      </c>
      <c r="D825" t="inlineStr">
        <is>
          <t>WY 87 L764e 1992</t>
        </is>
      </c>
      <c r="E825" t="inlineStr">
        <is>
          <t>0                      WY 0087000L  764e        1992</t>
        </is>
      </c>
      <c r="F825" t="inlineStr">
        <is>
          <t>Effective approaches to patients' behavior / Gladys B. Lipkin, Roberta G. Cohen.</t>
        </is>
      </c>
      <c r="H825" t="inlineStr">
        <is>
          <t>No</t>
        </is>
      </c>
      <c r="I825" t="inlineStr">
        <is>
          <t>1</t>
        </is>
      </c>
      <c r="J825" t="inlineStr">
        <is>
          <t>No</t>
        </is>
      </c>
      <c r="K825" t="inlineStr">
        <is>
          <t>Yes</t>
        </is>
      </c>
      <c r="L825" t="inlineStr">
        <is>
          <t>0</t>
        </is>
      </c>
      <c r="M825" t="inlineStr">
        <is>
          <t>Lipkin, Gladys B.</t>
        </is>
      </c>
      <c r="N825" t="inlineStr">
        <is>
          <t>New York : Springer Pub. Co., c1992.</t>
        </is>
      </c>
      <c r="O825" t="inlineStr">
        <is>
          <t>1992</t>
        </is>
      </c>
      <c r="P825" t="inlineStr">
        <is>
          <t>4th ed.</t>
        </is>
      </c>
      <c r="Q825" t="inlineStr">
        <is>
          <t>eng</t>
        </is>
      </c>
      <c r="R825" t="inlineStr">
        <is>
          <t>nyu</t>
        </is>
      </c>
      <c r="T825" t="inlineStr">
        <is>
          <t xml:space="preserve">WY </t>
        </is>
      </c>
      <c r="U825" t="n">
        <v>3</v>
      </c>
      <c r="V825" t="n">
        <v>3</v>
      </c>
      <c r="W825" t="inlineStr">
        <is>
          <t>1993-01-27</t>
        </is>
      </c>
      <c r="X825" t="inlineStr">
        <is>
          <t>1993-01-27</t>
        </is>
      </c>
      <c r="Y825" t="inlineStr">
        <is>
          <t>1992-12-10</t>
        </is>
      </c>
      <c r="Z825" t="inlineStr">
        <is>
          <t>1992-12-10</t>
        </is>
      </c>
      <c r="AA825" t="n">
        <v>183</v>
      </c>
      <c r="AB825" t="n">
        <v>149</v>
      </c>
      <c r="AC825" t="n">
        <v>356</v>
      </c>
      <c r="AD825" t="n">
        <v>2</v>
      </c>
      <c r="AE825" t="n">
        <v>3</v>
      </c>
      <c r="AF825" t="n">
        <v>9</v>
      </c>
      <c r="AG825" t="n">
        <v>14</v>
      </c>
      <c r="AH825" t="n">
        <v>3</v>
      </c>
      <c r="AI825" t="n">
        <v>5</v>
      </c>
      <c r="AJ825" t="n">
        <v>1</v>
      </c>
      <c r="AK825" t="n">
        <v>2</v>
      </c>
      <c r="AL825" t="n">
        <v>6</v>
      </c>
      <c r="AM825" t="n">
        <v>7</v>
      </c>
      <c r="AN825" t="n">
        <v>1</v>
      </c>
      <c r="AO825" t="n">
        <v>2</v>
      </c>
      <c r="AP825" t="n">
        <v>0</v>
      </c>
      <c r="AQ825" t="n">
        <v>0</v>
      </c>
      <c r="AR825" t="inlineStr">
        <is>
          <t>No</t>
        </is>
      </c>
      <c r="AS825" t="inlineStr">
        <is>
          <t>Yes</t>
        </is>
      </c>
      <c r="AT825">
        <f>HYPERLINK("http://catalog.hathitrust.org/Record/002533381","HathiTrust Record")</f>
        <v/>
      </c>
      <c r="AU825">
        <f>HYPERLINK("https://creighton-primo.hosted.exlibrisgroup.com/primo-explore/search?tab=default_tab&amp;search_scope=EVERYTHING&amp;vid=01CRU&amp;lang=en_US&amp;offset=0&amp;query=any,contains,991001351069702656","Catalog Record")</f>
        <v/>
      </c>
      <c r="AV825">
        <f>HYPERLINK("http://www.worldcat.org/oclc/23582553","WorldCat Record")</f>
        <v/>
      </c>
      <c r="AW825" t="inlineStr">
        <is>
          <t>966652:eng</t>
        </is>
      </c>
      <c r="AX825" t="inlineStr">
        <is>
          <t>23582553</t>
        </is>
      </c>
      <c r="AY825" t="inlineStr">
        <is>
          <t>991001351069702656</t>
        </is>
      </c>
      <c r="AZ825" t="inlineStr">
        <is>
          <t>991001351069702656</t>
        </is>
      </c>
      <c r="BA825" t="inlineStr">
        <is>
          <t>2255729600002656</t>
        </is>
      </c>
      <c r="BB825" t="inlineStr">
        <is>
          <t>BOOK</t>
        </is>
      </c>
      <c r="BD825" t="inlineStr">
        <is>
          <t>9780826114969</t>
        </is>
      </c>
      <c r="BE825" t="inlineStr">
        <is>
          <t>30001002459479</t>
        </is>
      </c>
      <c r="BF825" t="inlineStr">
        <is>
          <t>893560989</t>
        </is>
      </c>
    </row>
    <row r="826">
      <c r="A826" t="inlineStr">
        <is>
          <t>No</t>
        </is>
      </c>
      <c r="B826" t="inlineStr">
        <is>
          <t>CUHSL</t>
        </is>
      </c>
      <c r="C826" t="inlineStr">
        <is>
          <t>SHELVES</t>
        </is>
      </c>
      <c r="D826" t="inlineStr">
        <is>
          <t>WY 87 L848u 1981</t>
        </is>
      </c>
      <c r="E826" t="inlineStr">
        <is>
          <t>0                      WY 0087000L  848u        1981</t>
        </is>
      </c>
      <c r="F826" t="inlineStr">
        <is>
          <t>Understanding/responding : a communication manual for nurses / Lynette Long, Penny Prophit.</t>
        </is>
      </c>
      <c r="H826" t="inlineStr">
        <is>
          <t>No</t>
        </is>
      </c>
      <c r="I826" t="inlineStr">
        <is>
          <t>1</t>
        </is>
      </c>
      <c r="J826" t="inlineStr">
        <is>
          <t>No</t>
        </is>
      </c>
      <c r="K826" t="inlineStr">
        <is>
          <t>No</t>
        </is>
      </c>
      <c r="L826" t="inlineStr">
        <is>
          <t>0</t>
        </is>
      </c>
      <c r="M826" t="inlineStr">
        <is>
          <t>Long, Lynette.</t>
        </is>
      </c>
      <c r="N826" t="inlineStr">
        <is>
          <t>Montery Calif. : Wadsworth Health Sciences Division, c1981.</t>
        </is>
      </c>
      <c r="O826" t="inlineStr">
        <is>
          <t>1981</t>
        </is>
      </c>
      <c r="Q826" t="inlineStr">
        <is>
          <t>eng</t>
        </is>
      </c>
      <c r="R826" t="inlineStr">
        <is>
          <t>cau</t>
        </is>
      </c>
      <c r="T826" t="inlineStr">
        <is>
          <t xml:space="preserve">WY </t>
        </is>
      </c>
      <c r="U826" t="n">
        <v>2</v>
      </c>
      <c r="V826" t="n">
        <v>2</v>
      </c>
      <c r="W826" t="inlineStr">
        <is>
          <t>1989-09-11</t>
        </is>
      </c>
      <c r="X826" t="inlineStr">
        <is>
          <t>1989-09-11</t>
        </is>
      </c>
      <c r="Y826" t="inlineStr">
        <is>
          <t>1987-12-29</t>
        </is>
      </c>
      <c r="Z826" t="inlineStr">
        <is>
          <t>1987-12-29</t>
        </is>
      </c>
      <c r="AA826" t="n">
        <v>142</v>
      </c>
      <c r="AB826" t="n">
        <v>116</v>
      </c>
      <c r="AC826" t="n">
        <v>257</v>
      </c>
      <c r="AD826" t="n">
        <v>1</v>
      </c>
      <c r="AE826" t="n">
        <v>1</v>
      </c>
      <c r="AF826" t="n">
        <v>3</v>
      </c>
      <c r="AG826" t="n">
        <v>13</v>
      </c>
      <c r="AH826" t="n">
        <v>3</v>
      </c>
      <c r="AI826" t="n">
        <v>5</v>
      </c>
      <c r="AJ826" t="n">
        <v>0</v>
      </c>
      <c r="AK826" t="n">
        <v>1</v>
      </c>
      <c r="AL826" t="n">
        <v>1</v>
      </c>
      <c r="AM826" t="n">
        <v>10</v>
      </c>
      <c r="AN826" t="n">
        <v>0</v>
      </c>
      <c r="AO826" t="n">
        <v>0</v>
      </c>
      <c r="AP826" t="n">
        <v>0</v>
      </c>
      <c r="AQ826" t="n">
        <v>0</v>
      </c>
      <c r="AR826" t="inlineStr">
        <is>
          <t>No</t>
        </is>
      </c>
      <c r="AS826" t="inlineStr">
        <is>
          <t>Yes</t>
        </is>
      </c>
      <c r="AT826">
        <f>HYPERLINK("http://catalog.hathitrust.org/Record/000266480","HathiTrust Record")</f>
        <v/>
      </c>
      <c r="AU826">
        <f>HYPERLINK("https://creighton-primo.hosted.exlibrisgroup.com/primo-explore/search?tab=default_tab&amp;search_scope=EVERYTHING&amp;vid=01CRU&amp;lang=en_US&amp;offset=0&amp;query=any,contains,991001132639702656","Catalog Record")</f>
        <v/>
      </c>
      <c r="AV826">
        <f>HYPERLINK("http://www.worldcat.org/oclc/6447026","WorldCat Record")</f>
        <v/>
      </c>
      <c r="AW826" t="inlineStr">
        <is>
          <t>22613413:eng</t>
        </is>
      </c>
      <c r="AX826" t="inlineStr">
        <is>
          <t>6447026</t>
        </is>
      </c>
      <c r="AY826" t="inlineStr">
        <is>
          <t>991001132639702656</t>
        </is>
      </c>
      <c r="AZ826" t="inlineStr">
        <is>
          <t>991001132639702656</t>
        </is>
      </c>
      <c r="BA826" t="inlineStr">
        <is>
          <t>2255560540002656</t>
        </is>
      </c>
      <c r="BB826" t="inlineStr">
        <is>
          <t>BOOK</t>
        </is>
      </c>
      <c r="BD826" t="inlineStr">
        <is>
          <t>9780878722846</t>
        </is>
      </c>
      <c r="BE826" t="inlineStr">
        <is>
          <t>30001000285561</t>
        </is>
      </c>
      <c r="BF826" t="inlineStr">
        <is>
          <t>893148891</t>
        </is>
      </c>
    </row>
    <row r="827">
      <c r="A827" t="inlineStr">
        <is>
          <t>No</t>
        </is>
      </c>
      <c r="B827" t="inlineStr">
        <is>
          <t>CUHSL</t>
        </is>
      </c>
      <c r="C827" t="inlineStr">
        <is>
          <t>SHELVES</t>
        </is>
      </c>
      <c r="D827" t="inlineStr">
        <is>
          <t>WY 87 N234p 1979</t>
        </is>
      </c>
      <c r="E827" t="inlineStr">
        <is>
          <t>0                      WY 0087000N  234p        1979</t>
        </is>
      </c>
      <c r="F827" t="inlineStr">
        <is>
          <t>Patient teaching in nursing practice : a patient and family-centered approach / Barbara W. Narrow.</t>
        </is>
      </c>
      <c r="H827" t="inlineStr">
        <is>
          <t>No</t>
        </is>
      </c>
      <c r="I827" t="inlineStr">
        <is>
          <t>1</t>
        </is>
      </c>
      <c r="J827" t="inlineStr">
        <is>
          <t>No</t>
        </is>
      </c>
      <c r="K827" t="inlineStr">
        <is>
          <t>No</t>
        </is>
      </c>
      <c r="L827" t="inlineStr">
        <is>
          <t>0</t>
        </is>
      </c>
      <c r="M827" t="inlineStr">
        <is>
          <t>Narrow, Barbara W.</t>
        </is>
      </c>
      <c r="N827" t="inlineStr">
        <is>
          <t>New York : Wiley, c1979.</t>
        </is>
      </c>
      <c r="O827" t="inlineStr">
        <is>
          <t>1979</t>
        </is>
      </c>
      <c r="Q827" t="inlineStr">
        <is>
          <t>eng</t>
        </is>
      </c>
      <c r="R827" t="inlineStr">
        <is>
          <t>nyu</t>
        </is>
      </c>
      <c r="S827" t="inlineStr">
        <is>
          <t>A Wiley medical publication</t>
        </is>
      </c>
      <c r="T827" t="inlineStr">
        <is>
          <t xml:space="preserve">WY </t>
        </is>
      </c>
      <c r="U827" t="n">
        <v>3</v>
      </c>
      <c r="V827" t="n">
        <v>3</v>
      </c>
      <c r="W827" t="inlineStr">
        <is>
          <t>1997-06-23</t>
        </is>
      </c>
      <c r="X827" t="inlineStr">
        <is>
          <t>1997-06-23</t>
        </is>
      </c>
      <c r="Y827" t="inlineStr">
        <is>
          <t>1987-12-29</t>
        </is>
      </c>
      <c r="Z827" t="inlineStr">
        <is>
          <t>1987-12-29</t>
        </is>
      </c>
      <c r="AA827" t="n">
        <v>279</v>
      </c>
      <c r="AB827" t="n">
        <v>220</v>
      </c>
      <c r="AC827" t="n">
        <v>229</v>
      </c>
      <c r="AD827" t="n">
        <v>3</v>
      </c>
      <c r="AE827" t="n">
        <v>3</v>
      </c>
      <c r="AF827" t="n">
        <v>9</v>
      </c>
      <c r="AG827" t="n">
        <v>9</v>
      </c>
      <c r="AH827" t="n">
        <v>3</v>
      </c>
      <c r="AI827" t="n">
        <v>3</v>
      </c>
      <c r="AJ827" t="n">
        <v>2</v>
      </c>
      <c r="AK827" t="n">
        <v>2</v>
      </c>
      <c r="AL827" t="n">
        <v>3</v>
      </c>
      <c r="AM827" t="n">
        <v>3</v>
      </c>
      <c r="AN827" t="n">
        <v>2</v>
      </c>
      <c r="AO827" t="n">
        <v>2</v>
      </c>
      <c r="AP827" t="n">
        <v>0</v>
      </c>
      <c r="AQ827" t="n">
        <v>0</v>
      </c>
      <c r="AR827" t="inlineStr">
        <is>
          <t>No</t>
        </is>
      </c>
      <c r="AS827" t="inlineStr">
        <is>
          <t>Yes</t>
        </is>
      </c>
      <c r="AT827">
        <f>HYPERLINK("http://catalog.hathitrust.org/Record/000710164","HathiTrust Record")</f>
        <v/>
      </c>
      <c r="AU827">
        <f>HYPERLINK("https://creighton-primo.hosted.exlibrisgroup.com/primo-explore/search?tab=default_tab&amp;search_scope=EVERYTHING&amp;vid=01CRU&amp;lang=en_US&amp;offset=0&amp;query=any,contains,991001132829702656","Catalog Record")</f>
        <v/>
      </c>
      <c r="AV827">
        <f>HYPERLINK("http://www.worldcat.org/oclc/4496507","WorldCat Record")</f>
        <v/>
      </c>
      <c r="AW827" t="inlineStr">
        <is>
          <t>908056885:eng</t>
        </is>
      </c>
      <c r="AX827" t="inlineStr">
        <is>
          <t>4496507</t>
        </is>
      </c>
      <c r="AY827" t="inlineStr">
        <is>
          <t>991001132829702656</t>
        </is>
      </c>
      <c r="AZ827" t="inlineStr">
        <is>
          <t>991001132829702656</t>
        </is>
      </c>
      <c r="BA827" t="inlineStr">
        <is>
          <t>2268704110002656</t>
        </is>
      </c>
      <c r="BB827" t="inlineStr">
        <is>
          <t>BOOK</t>
        </is>
      </c>
      <c r="BD827" t="inlineStr">
        <is>
          <t>9780471040354</t>
        </is>
      </c>
      <c r="BE827" t="inlineStr">
        <is>
          <t>30001000285637</t>
        </is>
      </c>
      <c r="BF827" t="inlineStr">
        <is>
          <t>893268107</t>
        </is>
      </c>
    </row>
    <row r="828">
      <c r="A828" t="inlineStr">
        <is>
          <t>No</t>
        </is>
      </c>
      <c r="B828" t="inlineStr">
        <is>
          <t>CUHSL</t>
        </is>
      </c>
      <c r="C828" t="inlineStr">
        <is>
          <t>SHELVES</t>
        </is>
      </c>
      <c r="D828" t="inlineStr">
        <is>
          <t>WY 87 N275 1976</t>
        </is>
      </c>
      <c r="E828" t="inlineStr">
        <is>
          <t>0                      WY 0087000N  275         1976</t>
        </is>
      </c>
      <c r="F828" t="inlineStr">
        <is>
          <t>Socialization and resocialization of nurses for professional nursing practice : papers presented at the sixteenth conference of the Council of Baccalaureate and Higher Degree Programs, Philadelphia, Pennsylvania, November 1976.</t>
        </is>
      </c>
      <c r="H828" t="inlineStr">
        <is>
          <t>No</t>
        </is>
      </c>
      <c r="I828" t="inlineStr">
        <is>
          <t>1</t>
        </is>
      </c>
      <c r="J828" t="inlineStr">
        <is>
          <t>No</t>
        </is>
      </c>
      <c r="K828" t="inlineStr">
        <is>
          <t>No</t>
        </is>
      </c>
      <c r="L828" t="inlineStr">
        <is>
          <t>0</t>
        </is>
      </c>
      <c r="M828" t="inlineStr">
        <is>
          <t>National League for Nursing. Council of Baccalaureate and Higher Degree Programs.</t>
        </is>
      </c>
      <c r="N828" t="inlineStr">
        <is>
          <t>New York : National League for Nursing, c1977.</t>
        </is>
      </c>
      <c r="O828" t="inlineStr">
        <is>
          <t>1977</t>
        </is>
      </c>
      <c r="Q828" t="inlineStr">
        <is>
          <t>eng</t>
        </is>
      </c>
      <c r="R828" t="inlineStr">
        <is>
          <t>nyu</t>
        </is>
      </c>
      <c r="S828" t="inlineStr">
        <is>
          <t>NLN pub. no. 15-1659</t>
        </is>
      </c>
      <c r="T828" t="inlineStr">
        <is>
          <t xml:space="preserve">WY </t>
        </is>
      </c>
      <c r="U828" t="n">
        <v>1</v>
      </c>
      <c r="V828" t="n">
        <v>1</v>
      </c>
      <c r="W828" t="inlineStr">
        <is>
          <t>1990-04-06</t>
        </is>
      </c>
      <c r="X828" t="inlineStr">
        <is>
          <t>1990-04-06</t>
        </is>
      </c>
      <c r="Y828" t="inlineStr">
        <is>
          <t>1987-10-26</t>
        </is>
      </c>
      <c r="Z828" t="inlineStr">
        <is>
          <t>1987-10-26</t>
        </is>
      </c>
      <c r="AA828" t="n">
        <v>100</v>
      </c>
      <c r="AB828" t="n">
        <v>86</v>
      </c>
      <c r="AC828" t="n">
        <v>88</v>
      </c>
      <c r="AD828" t="n">
        <v>3</v>
      </c>
      <c r="AE828" t="n">
        <v>3</v>
      </c>
      <c r="AF828" t="n">
        <v>2</v>
      </c>
      <c r="AG828" t="n">
        <v>2</v>
      </c>
      <c r="AH828" t="n">
        <v>0</v>
      </c>
      <c r="AI828" t="n">
        <v>0</v>
      </c>
      <c r="AJ828" t="n">
        <v>0</v>
      </c>
      <c r="AK828" t="n">
        <v>0</v>
      </c>
      <c r="AL828" t="n">
        <v>1</v>
      </c>
      <c r="AM828" t="n">
        <v>1</v>
      </c>
      <c r="AN828" t="n">
        <v>1</v>
      </c>
      <c r="AO828" t="n">
        <v>1</v>
      </c>
      <c r="AP828" t="n">
        <v>0</v>
      </c>
      <c r="AQ828" t="n">
        <v>0</v>
      </c>
      <c r="AR828" t="inlineStr">
        <is>
          <t>No</t>
        </is>
      </c>
      <c r="AS828" t="inlineStr">
        <is>
          <t>Yes</t>
        </is>
      </c>
      <c r="AT828">
        <f>HYPERLINK("http://catalog.hathitrust.org/Record/000747785","HathiTrust Record")</f>
        <v/>
      </c>
      <c r="AU828">
        <f>HYPERLINK("https://creighton-primo.hosted.exlibrisgroup.com/primo-explore/search?tab=default_tab&amp;search_scope=EVERYTHING&amp;vid=01CRU&amp;lang=en_US&amp;offset=0&amp;query=any,contains,991001370539702656","Catalog Record")</f>
        <v/>
      </c>
      <c r="AV828">
        <f>HYPERLINK("http://www.worldcat.org/oclc/3293044","WorldCat Record")</f>
        <v/>
      </c>
      <c r="AW828" t="inlineStr">
        <is>
          <t>9643492:eng</t>
        </is>
      </c>
      <c r="AX828" t="inlineStr">
        <is>
          <t>3293044</t>
        </is>
      </c>
      <c r="AY828" t="inlineStr">
        <is>
          <t>991001370539702656</t>
        </is>
      </c>
      <c r="AZ828" t="inlineStr">
        <is>
          <t>991001370539702656</t>
        </is>
      </c>
      <c r="BA828" t="inlineStr">
        <is>
          <t>2268902740002656</t>
        </is>
      </c>
      <c r="BB828" t="inlineStr">
        <is>
          <t>BOOK</t>
        </is>
      </c>
      <c r="BE828" t="inlineStr">
        <is>
          <t>30001000461709</t>
        </is>
      </c>
      <c r="BF828" t="inlineStr">
        <is>
          <t>893560993</t>
        </is>
      </c>
    </row>
    <row r="829">
      <c r="A829" t="inlineStr">
        <is>
          <t>No</t>
        </is>
      </c>
      <c r="B829" t="inlineStr">
        <is>
          <t>CUHSL</t>
        </is>
      </c>
      <c r="C829" t="inlineStr">
        <is>
          <t>SHELVES</t>
        </is>
      </c>
      <c r="D829" t="inlineStr">
        <is>
          <t>WY 87 N974 1998</t>
        </is>
      </c>
      <c r="E829" t="inlineStr">
        <is>
          <t>0                      WY 0087000N  974         1998</t>
        </is>
      </c>
      <c r="F829" t="inlineStr">
        <is>
          <t>Nurse-client interaction : implementing the nursing process / Sandra J. Sundeen ... [et al.].</t>
        </is>
      </c>
      <c r="H829" t="inlineStr">
        <is>
          <t>No</t>
        </is>
      </c>
      <c r="I829" t="inlineStr">
        <is>
          <t>1</t>
        </is>
      </c>
      <c r="J829" t="inlineStr">
        <is>
          <t>No</t>
        </is>
      </c>
      <c r="K829" t="inlineStr">
        <is>
          <t>No</t>
        </is>
      </c>
      <c r="L829" t="inlineStr">
        <is>
          <t>0</t>
        </is>
      </c>
      <c r="N829" t="inlineStr">
        <is>
          <t>St. Louis, Mo. : Mosby, c1998.</t>
        </is>
      </c>
      <c r="O829" t="inlineStr">
        <is>
          <t>1998</t>
        </is>
      </c>
      <c r="P829" t="inlineStr">
        <is>
          <t>6th ed.</t>
        </is>
      </c>
      <c r="Q829" t="inlineStr">
        <is>
          <t>eng</t>
        </is>
      </c>
      <c r="R829" t="inlineStr">
        <is>
          <t>mou</t>
        </is>
      </c>
      <c r="T829" t="inlineStr">
        <is>
          <t xml:space="preserve">WY </t>
        </is>
      </c>
      <c r="U829" t="n">
        <v>1</v>
      </c>
      <c r="V829" t="n">
        <v>1</v>
      </c>
      <c r="W829" t="inlineStr">
        <is>
          <t>1998-02-27</t>
        </is>
      </c>
      <c r="X829" t="inlineStr">
        <is>
          <t>1998-02-27</t>
        </is>
      </c>
      <c r="Y829" t="inlineStr">
        <is>
          <t>1998-02-27</t>
        </is>
      </c>
      <c r="Z829" t="inlineStr">
        <is>
          <t>1998-02-27</t>
        </is>
      </c>
      <c r="AA829" t="n">
        <v>422</v>
      </c>
      <c r="AB829" t="n">
        <v>319</v>
      </c>
      <c r="AC829" t="n">
        <v>772</v>
      </c>
      <c r="AD829" t="n">
        <v>2</v>
      </c>
      <c r="AE829" t="n">
        <v>8</v>
      </c>
      <c r="AF829" t="n">
        <v>14</v>
      </c>
      <c r="AG829" t="n">
        <v>29</v>
      </c>
      <c r="AH829" t="n">
        <v>6</v>
      </c>
      <c r="AI829" t="n">
        <v>10</v>
      </c>
      <c r="AJ829" t="n">
        <v>2</v>
      </c>
      <c r="AK829" t="n">
        <v>6</v>
      </c>
      <c r="AL829" t="n">
        <v>8</v>
      </c>
      <c r="AM829" t="n">
        <v>13</v>
      </c>
      <c r="AN829" t="n">
        <v>1</v>
      </c>
      <c r="AO829" t="n">
        <v>6</v>
      </c>
      <c r="AP829" t="n">
        <v>0</v>
      </c>
      <c r="AQ829" t="n">
        <v>0</v>
      </c>
      <c r="AR829" t="inlineStr">
        <is>
          <t>No</t>
        </is>
      </c>
      <c r="AS829" t="inlineStr">
        <is>
          <t>Yes</t>
        </is>
      </c>
      <c r="AT829">
        <f>HYPERLINK("http://catalog.hathitrust.org/Record/003241221","HathiTrust Record")</f>
        <v/>
      </c>
      <c r="AU829">
        <f>HYPERLINK("https://creighton-primo.hosted.exlibrisgroup.com/primo-explore/search?tab=default_tab&amp;search_scope=EVERYTHING&amp;vid=01CRU&amp;lang=en_US&amp;offset=0&amp;query=any,contains,991001306049702656","Catalog Record")</f>
        <v/>
      </c>
      <c r="AV829">
        <f>HYPERLINK("http://www.worldcat.org/oclc/37879075","WorldCat Record")</f>
        <v/>
      </c>
      <c r="AW829" t="inlineStr">
        <is>
          <t>836920131:eng</t>
        </is>
      </c>
      <c r="AX829" t="inlineStr">
        <is>
          <t>37879075</t>
        </is>
      </c>
      <c r="AY829" t="inlineStr">
        <is>
          <t>991001306049702656</t>
        </is>
      </c>
      <c r="AZ829" t="inlineStr">
        <is>
          <t>991001306049702656</t>
        </is>
      </c>
      <c r="BA829" t="inlineStr">
        <is>
          <t>2264441580002656</t>
        </is>
      </c>
      <c r="BB829" t="inlineStr">
        <is>
          <t>BOOK</t>
        </is>
      </c>
      <c r="BD829" t="inlineStr">
        <is>
          <t>9780815126058</t>
        </is>
      </c>
      <c r="BE829" t="inlineStr">
        <is>
          <t>30001003749860</t>
        </is>
      </c>
      <c r="BF829" t="inlineStr">
        <is>
          <t>893651959</t>
        </is>
      </c>
    </row>
    <row r="830">
      <c r="A830" t="inlineStr">
        <is>
          <t>No</t>
        </is>
      </c>
      <c r="B830" t="inlineStr">
        <is>
          <t>CUHSL</t>
        </is>
      </c>
      <c r="C830" t="inlineStr">
        <is>
          <t>SHELVES</t>
        </is>
      </c>
      <c r="D830" t="inlineStr">
        <is>
          <t>WY 87 N9747 1983</t>
        </is>
      </c>
      <c r="E830" t="inlineStr">
        <is>
          <t>0                      WY 0087000N  9747        1983</t>
        </is>
      </c>
      <c r="F830" t="inlineStr">
        <is>
          <t>Nurses under stress / edited by Sharol F. Jacobson, H. Marie McGrath.</t>
        </is>
      </c>
      <c r="H830" t="inlineStr">
        <is>
          <t>No</t>
        </is>
      </c>
      <c r="I830" t="inlineStr">
        <is>
          <t>1</t>
        </is>
      </c>
      <c r="J830" t="inlineStr">
        <is>
          <t>No</t>
        </is>
      </c>
      <c r="K830" t="inlineStr">
        <is>
          <t>No</t>
        </is>
      </c>
      <c r="L830" t="inlineStr">
        <is>
          <t>0</t>
        </is>
      </c>
      <c r="N830" t="inlineStr">
        <is>
          <t>New York : Wiley, c1983.</t>
        </is>
      </c>
      <c r="O830" t="inlineStr">
        <is>
          <t>1983</t>
        </is>
      </c>
      <c r="Q830" t="inlineStr">
        <is>
          <t>eng</t>
        </is>
      </c>
      <c r="R830" t="inlineStr">
        <is>
          <t>xxu</t>
        </is>
      </c>
      <c r="S830" t="inlineStr">
        <is>
          <t>A Wiley medical publication</t>
        </is>
      </c>
      <c r="T830" t="inlineStr">
        <is>
          <t xml:space="preserve">WY </t>
        </is>
      </c>
      <c r="U830" t="n">
        <v>5</v>
      </c>
      <c r="V830" t="n">
        <v>5</v>
      </c>
      <c r="W830" t="inlineStr">
        <is>
          <t>2003-10-27</t>
        </is>
      </c>
      <c r="X830" t="inlineStr">
        <is>
          <t>2003-10-27</t>
        </is>
      </c>
      <c r="Y830" t="inlineStr">
        <is>
          <t>1987-12-29</t>
        </is>
      </c>
      <c r="Z830" t="inlineStr">
        <is>
          <t>1987-12-29</t>
        </is>
      </c>
      <c r="AA830" t="n">
        <v>402</v>
      </c>
      <c r="AB830" t="n">
        <v>338</v>
      </c>
      <c r="AC830" t="n">
        <v>345</v>
      </c>
      <c r="AD830" t="n">
        <v>3</v>
      </c>
      <c r="AE830" t="n">
        <v>3</v>
      </c>
      <c r="AF830" t="n">
        <v>14</v>
      </c>
      <c r="AG830" t="n">
        <v>14</v>
      </c>
      <c r="AH830" t="n">
        <v>7</v>
      </c>
      <c r="AI830" t="n">
        <v>7</v>
      </c>
      <c r="AJ830" t="n">
        <v>2</v>
      </c>
      <c r="AK830" t="n">
        <v>2</v>
      </c>
      <c r="AL830" t="n">
        <v>7</v>
      </c>
      <c r="AM830" t="n">
        <v>7</v>
      </c>
      <c r="AN830" t="n">
        <v>1</v>
      </c>
      <c r="AO830" t="n">
        <v>1</v>
      </c>
      <c r="AP830" t="n">
        <v>0</v>
      </c>
      <c r="AQ830" t="n">
        <v>0</v>
      </c>
      <c r="AR830" t="inlineStr">
        <is>
          <t>No</t>
        </is>
      </c>
      <c r="AS830" t="inlineStr">
        <is>
          <t>Yes</t>
        </is>
      </c>
      <c r="AT830">
        <f>HYPERLINK("http://catalog.hathitrust.org/Record/000116228","HathiTrust Record")</f>
        <v/>
      </c>
      <c r="AU830">
        <f>HYPERLINK("https://creighton-primo.hosted.exlibrisgroup.com/primo-explore/search?tab=default_tab&amp;search_scope=EVERYTHING&amp;vid=01CRU&amp;lang=en_US&amp;offset=0&amp;query=any,contains,991001132949702656","Catalog Record")</f>
        <v/>
      </c>
      <c r="AV830">
        <f>HYPERLINK("http://www.worldcat.org/oclc/8847213","WorldCat Record")</f>
        <v/>
      </c>
      <c r="AW830" t="inlineStr">
        <is>
          <t>355447276:eng</t>
        </is>
      </c>
      <c r="AX830" t="inlineStr">
        <is>
          <t>8847213</t>
        </is>
      </c>
      <c r="AY830" t="inlineStr">
        <is>
          <t>991001132949702656</t>
        </is>
      </c>
      <c r="AZ830" t="inlineStr">
        <is>
          <t>991001132949702656</t>
        </is>
      </c>
      <c r="BA830" t="inlineStr">
        <is>
          <t>2267352600002656</t>
        </is>
      </c>
      <c r="BB830" t="inlineStr">
        <is>
          <t>BOOK</t>
        </is>
      </c>
      <c r="BD830" t="inlineStr">
        <is>
          <t>9780471078999</t>
        </is>
      </c>
      <c r="BE830" t="inlineStr">
        <is>
          <t>30001000285686</t>
        </is>
      </c>
      <c r="BF830" t="inlineStr">
        <is>
          <t>893284437</t>
        </is>
      </c>
    </row>
    <row r="831">
      <c r="A831" t="inlineStr">
        <is>
          <t>No</t>
        </is>
      </c>
      <c r="B831" t="inlineStr">
        <is>
          <t>CUHSL</t>
        </is>
      </c>
      <c r="C831" t="inlineStr">
        <is>
          <t>SHELVES</t>
        </is>
      </c>
      <c r="D831" t="inlineStr">
        <is>
          <t>WY 87 N9755 1985</t>
        </is>
      </c>
      <c r="E831" t="inlineStr">
        <is>
          <t>0                      WY 0087000N  9755        1985</t>
        </is>
      </c>
      <c r="F831" t="inlineStr">
        <is>
          <t>Nursing interventions : treatments for nursing diagnoses / [edited by] Gloria M. Bulechek, Joanne C. McCloskey.</t>
        </is>
      </c>
      <c r="H831" t="inlineStr">
        <is>
          <t>No</t>
        </is>
      </c>
      <c r="I831" t="inlineStr">
        <is>
          <t>1</t>
        </is>
      </c>
      <c r="J831" t="inlineStr">
        <is>
          <t>No</t>
        </is>
      </c>
      <c r="K831" t="inlineStr">
        <is>
          <t>No</t>
        </is>
      </c>
      <c r="L831" t="inlineStr">
        <is>
          <t>0</t>
        </is>
      </c>
      <c r="N831" t="inlineStr">
        <is>
          <t>Philadelphia : Saunders, c1985.</t>
        </is>
      </c>
      <c r="O831" t="inlineStr">
        <is>
          <t>1985</t>
        </is>
      </c>
      <c r="Q831" t="inlineStr">
        <is>
          <t>eng</t>
        </is>
      </c>
      <c r="R831" t="inlineStr">
        <is>
          <t>xxu</t>
        </is>
      </c>
      <c r="T831" t="inlineStr">
        <is>
          <t xml:space="preserve">WY </t>
        </is>
      </c>
      <c r="U831" t="n">
        <v>14</v>
      </c>
      <c r="V831" t="n">
        <v>14</v>
      </c>
      <c r="W831" t="inlineStr">
        <is>
          <t>1994-10-12</t>
        </is>
      </c>
      <c r="X831" t="inlineStr">
        <is>
          <t>1994-10-12</t>
        </is>
      </c>
      <c r="Y831" t="inlineStr">
        <is>
          <t>1987-12-29</t>
        </is>
      </c>
      <c r="Z831" t="inlineStr">
        <is>
          <t>1987-12-29</t>
        </is>
      </c>
      <c r="AA831" t="n">
        <v>280</v>
      </c>
      <c r="AB831" t="n">
        <v>218</v>
      </c>
      <c r="AC831" t="n">
        <v>220</v>
      </c>
      <c r="AD831" t="n">
        <v>2</v>
      </c>
      <c r="AE831" t="n">
        <v>2</v>
      </c>
      <c r="AF831" t="n">
        <v>7</v>
      </c>
      <c r="AG831" t="n">
        <v>7</v>
      </c>
      <c r="AH831" t="n">
        <v>3</v>
      </c>
      <c r="AI831" t="n">
        <v>3</v>
      </c>
      <c r="AJ831" t="n">
        <v>0</v>
      </c>
      <c r="AK831" t="n">
        <v>0</v>
      </c>
      <c r="AL831" t="n">
        <v>3</v>
      </c>
      <c r="AM831" t="n">
        <v>3</v>
      </c>
      <c r="AN831" t="n">
        <v>1</v>
      </c>
      <c r="AO831" t="n">
        <v>1</v>
      </c>
      <c r="AP831" t="n">
        <v>0</v>
      </c>
      <c r="AQ831" t="n">
        <v>0</v>
      </c>
      <c r="AR831" t="inlineStr">
        <is>
          <t>No</t>
        </is>
      </c>
      <c r="AS831" t="inlineStr">
        <is>
          <t>Yes</t>
        </is>
      </c>
      <c r="AT831">
        <f>HYPERLINK("http://catalog.hathitrust.org/Record/000647841","HathiTrust Record")</f>
        <v/>
      </c>
      <c r="AU831">
        <f>HYPERLINK("https://creighton-primo.hosted.exlibrisgroup.com/primo-explore/search?tab=default_tab&amp;search_scope=EVERYTHING&amp;vid=01CRU&amp;lang=en_US&amp;offset=0&amp;query=any,contains,991001137689702656","Catalog Record")</f>
        <v/>
      </c>
      <c r="AV831">
        <f>HYPERLINK("http://www.worldcat.org/oclc/11842852","WorldCat Record")</f>
        <v/>
      </c>
      <c r="AW831" t="inlineStr">
        <is>
          <t>3901037548:eng</t>
        </is>
      </c>
      <c r="AX831" t="inlineStr">
        <is>
          <t>11842852</t>
        </is>
      </c>
      <c r="AY831" t="inlineStr">
        <is>
          <t>991001137689702656</t>
        </is>
      </c>
      <c r="AZ831" t="inlineStr">
        <is>
          <t>991001137689702656</t>
        </is>
      </c>
      <c r="BA831" t="inlineStr">
        <is>
          <t>2254844750002656</t>
        </is>
      </c>
      <c r="BB831" t="inlineStr">
        <is>
          <t>BOOK</t>
        </is>
      </c>
      <c r="BD831" t="inlineStr">
        <is>
          <t>9780721613109</t>
        </is>
      </c>
      <c r="BE831" t="inlineStr">
        <is>
          <t>30001000287005</t>
        </is>
      </c>
      <c r="BF831" t="inlineStr">
        <is>
          <t>893374281</t>
        </is>
      </c>
    </row>
    <row r="832">
      <c r="A832" t="inlineStr">
        <is>
          <t>No</t>
        </is>
      </c>
      <c r="B832" t="inlineStr">
        <is>
          <t>CUHSL</t>
        </is>
      </c>
      <c r="C832" t="inlineStr">
        <is>
          <t>SHELVES</t>
        </is>
      </c>
      <c r="D832" t="inlineStr">
        <is>
          <t>WY 87 O13c 1974</t>
        </is>
      </c>
      <c r="E832" t="inlineStr">
        <is>
          <t>0                      WY 0087000O  13c         1974</t>
        </is>
      </c>
      <c r="F832" t="inlineStr">
        <is>
          <t>Communications and relationships in nursing / Maureen J. O'Brien.</t>
        </is>
      </c>
      <c r="H832" t="inlineStr">
        <is>
          <t>No</t>
        </is>
      </c>
      <c r="I832" t="inlineStr">
        <is>
          <t>1</t>
        </is>
      </c>
      <c r="J832" t="inlineStr">
        <is>
          <t>No</t>
        </is>
      </c>
      <c r="K832" t="inlineStr">
        <is>
          <t>No</t>
        </is>
      </c>
      <c r="L832" t="inlineStr">
        <is>
          <t>0</t>
        </is>
      </c>
      <c r="M832" t="inlineStr">
        <is>
          <t>Flaherty, Maureen O'Brien, 1933-</t>
        </is>
      </c>
      <c r="N832" t="inlineStr">
        <is>
          <t>Saint Louis, MO : Mosby, 1974.</t>
        </is>
      </c>
      <c r="O832" t="inlineStr">
        <is>
          <t>1974</t>
        </is>
      </c>
      <c r="Q832" t="inlineStr">
        <is>
          <t>eng</t>
        </is>
      </c>
      <c r="R832" t="inlineStr">
        <is>
          <t>mou</t>
        </is>
      </c>
      <c r="T832" t="inlineStr">
        <is>
          <t xml:space="preserve">WY </t>
        </is>
      </c>
      <c r="U832" t="n">
        <v>3</v>
      </c>
      <c r="V832" t="n">
        <v>3</v>
      </c>
      <c r="W832" t="inlineStr">
        <is>
          <t>1991-02-19</t>
        </is>
      </c>
      <c r="X832" t="inlineStr">
        <is>
          <t>1991-02-19</t>
        </is>
      </c>
      <c r="Y832" t="inlineStr">
        <is>
          <t>1988-01-09</t>
        </is>
      </c>
      <c r="Z832" t="inlineStr">
        <is>
          <t>1988-01-09</t>
        </is>
      </c>
      <c r="AA832" t="n">
        <v>140</v>
      </c>
      <c r="AB832" t="n">
        <v>106</v>
      </c>
      <c r="AC832" t="n">
        <v>216</v>
      </c>
      <c r="AD832" t="n">
        <v>2</v>
      </c>
      <c r="AE832" t="n">
        <v>3</v>
      </c>
      <c r="AF832" t="n">
        <v>2</v>
      </c>
      <c r="AG832" t="n">
        <v>7</v>
      </c>
      <c r="AH832" t="n">
        <v>0</v>
      </c>
      <c r="AI832" t="n">
        <v>2</v>
      </c>
      <c r="AJ832" t="n">
        <v>0</v>
      </c>
      <c r="AK832" t="n">
        <v>0</v>
      </c>
      <c r="AL832" t="n">
        <v>1</v>
      </c>
      <c r="AM832" t="n">
        <v>3</v>
      </c>
      <c r="AN832" t="n">
        <v>1</v>
      </c>
      <c r="AO832" t="n">
        <v>2</v>
      </c>
      <c r="AP832" t="n">
        <v>0</v>
      </c>
      <c r="AQ832" t="n">
        <v>0</v>
      </c>
      <c r="AR832" t="inlineStr">
        <is>
          <t>No</t>
        </is>
      </c>
      <c r="AS832" t="inlineStr">
        <is>
          <t>Yes</t>
        </is>
      </c>
      <c r="AT832">
        <f>HYPERLINK("http://catalog.hathitrust.org/Record/001574323","HathiTrust Record")</f>
        <v/>
      </c>
      <c r="AU832">
        <f>HYPERLINK("https://creighton-primo.hosted.exlibrisgroup.com/primo-explore/search?tab=default_tab&amp;search_scope=EVERYTHING&amp;vid=01CRU&amp;lang=en_US&amp;offset=0&amp;query=any,contains,991001134879702656","Catalog Record")</f>
        <v/>
      </c>
      <c r="AV832">
        <f>HYPERLINK("http://www.worldcat.org/oclc/797873","WorldCat Record")</f>
        <v/>
      </c>
      <c r="AW832" t="inlineStr">
        <is>
          <t>1772849:eng</t>
        </is>
      </c>
      <c r="AX832" t="inlineStr">
        <is>
          <t>797873</t>
        </is>
      </c>
      <c r="AY832" t="inlineStr">
        <is>
          <t>991001134879702656</t>
        </is>
      </c>
      <c r="AZ832" t="inlineStr">
        <is>
          <t>991001134879702656</t>
        </is>
      </c>
      <c r="BA832" t="inlineStr">
        <is>
          <t>2261194160002656</t>
        </is>
      </c>
      <c r="BB832" t="inlineStr">
        <is>
          <t>BOOK</t>
        </is>
      </c>
      <c r="BD832" t="inlineStr">
        <is>
          <t>9780801636912</t>
        </is>
      </c>
      <c r="BE832" t="inlineStr">
        <is>
          <t>30001000286148</t>
        </is>
      </c>
      <c r="BF832" t="inlineStr">
        <is>
          <t>893546400</t>
        </is>
      </c>
    </row>
    <row r="833">
      <c r="A833" t="inlineStr">
        <is>
          <t>No</t>
        </is>
      </c>
      <c r="B833" t="inlineStr">
        <is>
          <t>CUHSL</t>
        </is>
      </c>
      <c r="C833" t="inlineStr">
        <is>
          <t>SHELVES</t>
        </is>
      </c>
      <c r="D833" t="inlineStr">
        <is>
          <t>WY 87 O45s 1968</t>
        </is>
      </c>
      <c r="E833" t="inlineStr">
        <is>
          <t>0                      WY 0087000O  45s         1968</t>
        </is>
      </c>
      <c r="F833" t="inlineStr">
        <is>
          <t>The silent dialogue : a study in the social psychology of professional socialization / Virginia L. Olesen and Elvi W. Whittaker.</t>
        </is>
      </c>
      <c r="H833" t="inlineStr">
        <is>
          <t>No</t>
        </is>
      </c>
      <c r="I833" t="inlineStr">
        <is>
          <t>1</t>
        </is>
      </c>
      <c r="J833" t="inlineStr">
        <is>
          <t>No</t>
        </is>
      </c>
      <c r="K833" t="inlineStr">
        <is>
          <t>No</t>
        </is>
      </c>
      <c r="L833" t="inlineStr">
        <is>
          <t>0</t>
        </is>
      </c>
      <c r="M833" t="inlineStr">
        <is>
          <t>Olesen, Virginia L.</t>
        </is>
      </c>
      <c r="N833" t="inlineStr">
        <is>
          <t>San Francisco : Jossey-Bass, c1968.</t>
        </is>
      </c>
      <c r="O833" t="inlineStr">
        <is>
          <t>1968</t>
        </is>
      </c>
      <c r="P833" t="inlineStr">
        <is>
          <t>[1st ed.]</t>
        </is>
      </c>
      <c r="Q833" t="inlineStr">
        <is>
          <t>eng</t>
        </is>
      </c>
      <c r="R833" t="inlineStr">
        <is>
          <t>cau</t>
        </is>
      </c>
      <c r="S833" t="inlineStr">
        <is>
          <t>The Jossey-Bass behavioral science series</t>
        </is>
      </c>
      <c r="T833" t="inlineStr">
        <is>
          <t xml:space="preserve">WY </t>
        </is>
      </c>
      <c r="U833" t="n">
        <v>2</v>
      </c>
      <c r="V833" t="n">
        <v>2</v>
      </c>
      <c r="W833" t="inlineStr">
        <is>
          <t>1990-09-07</t>
        </is>
      </c>
      <c r="X833" t="inlineStr">
        <is>
          <t>1990-09-07</t>
        </is>
      </c>
      <c r="Y833" t="inlineStr">
        <is>
          <t>1987-12-29</t>
        </is>
      </c>
      <c r="Z833" t="inlineStr">
        <is>
          <t>1987-12-29</t>
        </is>
      </c>
      <c r="AA833" t="n">
        <v>455</v>
      </c>
      <c r="AB833" t="n">
        <v>368</v>
      </c>
      <c r="AC833" t="n">
        <v>377</v>
      </c>
      <c r="AD833" t="n">
        <v>5</v>
      </c>
      <c r="AE833" t="n">
        <v>5</v>
      </c>
      <c r="AF833" t="n">
        <v>13</v>
      </c>
      <c r="AG833" t="n">
        <v>13</v>
      </c>
      <c r="AH833" t="n">
        <v>0</v>
      </c>
      <c r="AI833" t="n">
        <v>0</v>
      </c>
      <c r="AJ833" t="n">
        <v>3</v>
      </c>
      <c r="AK833" t="n">
        <v>3</v>
      </c>
      <c r="AL833" t="n">
        <v>6</v>
      </c>
      <c r="AM833" t="n">
        <v>6</v>
      </c>
      <c r="AN833" t="n">
        <v>4</v>
      </c>
      <c r="AO833" t="n">
        <v>4</v>
      </c>
      <c r="AP833" t="n">
        <v>0</v>
      </c>
      <c r="AQ833" t="n">
        <v>0</v>
      </c>
      <c r="AR833" t="inlineStr">
        <is>
          <t>No</t>
        </is>
      </c>
      <c r="AS833" t="inlineStr">
        <is>
          <t>Yes</t>
        </is>
      </c>
      <c r="AT833">
        <f>HYPERLINK("http://catalog.hathitrust.org/Record/001574602","HathiTrust Record")</f>
        <v/>
      </c>
      <c r="AU833">
        <f>HYPERLINK("https://creighton-primo.hosted.exlibrisgroup.com/primo-explore/search?tab=default_tab&amp;search_scope=EVERYTHING&amp;vid=01CRU&amp;lang=en_US&amp;offset=0&amp;query=any,contains,991001134789702656","Catalog Record")</f>
        <v/>
      </c>
      <c r="AV833">
        <f>HYPERLINK("http://www.worldcat.org/oclc/252423","WorldCat Record")</f>
        <v/>
      </c>
      <c r="AW833" t="inlineStr">
        <is>
          <t>902167596:eng</t>
        </is>
      </c>
      <c r="AX833" t="inlineStr">
        <is>
          <t>252423</t>
        </is>
      </c>
      <c r="AY833" t="inlineStr">
        <is>
          <t>991001134789702656</t>
        </is>
      </c>
      <c r="AZ833" t="inlineStr">
        <is>
          <t>991001134789702656</t>
        </is>
      </c>
      <c r="BA833" t="inlineStr">
        <is>
          <t>2270064940002656</t>
        </is>
      </c>
      <c r="BB833" t="inlineStr">
        <is>
          <t>BOOK</t>
        </is>
      </c>
      <c r="BE833" t="inlineStr">
        <is>
          <t>30001000286106</t>
        </is>
      </c>
      <c r="BF833" t="inlineStr">
        <is>
          <t>893727278</t>
        </is>
      </c>
    </row>
    <row r="834">
      <c r="A834" t="inlineStr">
        <is>
          <t>No</t>
        </is>
      </c>
      <c r="B834" t="inlineStr">
        <is>
          <t>CUHSL</t>
        </is>
      </c>
      <c r="C834" t="inlineStr">
        <is>
          <t>SHELVES</t>
        </is>
      </c>
      <c r="D834" t="inlineStr">
        <is>
          <t>WY 87 P128n 2008</t>
        </is>
      </c>
      <c r="E834" t="inlineStr">
        <is>
          <t>0                      WY 0087000P  128n        2008</t>
        </is>
      </c>
      <c r="F834" t="inlineStr">
        <is>
          <t>The nurse's etiquette advantage : how professional etiquette can advance your nursing career / by Kathleen D. Pagana.</t>
        </is>
      </c>
      <c r="H834" t="inlineStr">
        <is>
          <t>No</t>
        </is>
      </c>
      <c r="I834" t="inlineStr">
        <is>
          <t>1</t>
        </is>
      </c>
      <c r="J834" t="inlineStr">
        <is>
          <t>No</t>
        </is>
      </c>
      <c r="K834" t="inlineStr">
        <is>
          <t>No</t>
        </is>
      </c>
      <c r="L834" t="inlineStr">
        <is>
          <t>1</t>
        </is>
      </c>
      <c r="M834" t="inlineStr">
        <is>
          <t>Pagana, Kathleen Deska, 1952-</t>
        </is>
      </c>
      <c r="N834" t="inlineStr">
        <is>
          <t>Indianapolis, IN : Sigma Theta Tau International, c2008.</t>
        </is>
      </c>
      <c r="O834" t="inlineStr">
        <is>
          <t>2008</t>
        </is>
      </c>
      <c r="Q834" t="inlineStr">
        <is>
          <t>eng</t>
        </is>
      </c>
      <c r="R834" t="inlineStr">
        <is>
          <t>inu</t>
        </is>
      </c>
      <c r="T834" t="inlineStr">
        <is>
          <t xml:space="preserve">WY </t>
        </is>
      </c>
      <c r="U834" t="n">
        <v>3</v>
      </c>
      <c r="V834" t="n">
        <v>3</v>
      </c>
      <c r="W834" t="inlineStr">
        <is>
          <t>2009-09-08</t>
        </is>
      </c>
      <c r="X834" t="inlineStr">
        <is>
          <t>2009-09-08</t>
        </is>
      </c>
      <c r="Y834" t="inlineStr">
        <is>
          <t>2009-03-23</t>
        </is>
      </c>
      <c r="Z834" t="inlineStr">
        <is>
          <t>2009-03-23</t>
        </is>
      </c>
      <c r="AA834" t="n">
        <v>190</v>
      </c>
      <c r="AB834" t="n">
        <v>166</v>
      </c>
      <c r="AC834" t="n">
        <v>1051</v>
      </c>
      <c r="AD834" t="n">
        <v>2</v>
      </c>
      <c r="AE834" t="n">
        <v>12</v>
      </c>
      <c r="AF834" t="n">
        <v>9</v>
      </c>
      <c r="AG834" t="n">
        <v>38</v>
      </c>
      <c r="AH834" t="n">
        <v>5</v>
      </c>
      <c r="AI834" t="n">
        <v>15</v>
      </c>
      <c r="AJ834" t="n">
        <v>0</v>
      </c>
      <c r="AK834" t="n">
        <v>7</v>
      </c>
      <c r="AL834" t="n">
        <v>5</v>
      </c>
      <c r="AM834" t="n">
        <v>13</v>
      </c>
      <c r="AN834" t="n">
        <v>1</v>
      </c>
      <c r="AO834" t="n">
        <v>10</v>
      </c>
      <c r="AP834" t="n">
        <v>0</v>
      </c>
      <c r="AQ834" t="n">
        <v>1</v>
      </c>
      <c r="AR834" t="inlineStr">
        <is>
          <t>No</t>
        </is>
      </c>
      <c r="AS834" t="inlineStr">
        <is>
          <t>No</t>
        </is>
      </c>
      <c r="AU834">
        <f>HYPERLINK("https://creighton-primo.hosted.exlibrisgroup.com/primo-explore/search?tab=default_tab&amp;search_scope=EVERYTHING&amp;vid=01CRU&amp;lang=en_US&amp;offset=0&amp;query=any,contains,991001373999702656","Catalog Record")</f>
        <v/>
      </c>
      <c r="AV834">
        <f>HYPERLINK("http://www.worldcat.org/oclc/222135065","WorldCat Record")</f>
        <v/>
      </c>
      <c r="AW834" t="inlineStr">
        <is>
          <t>802396190:eng</t>
        </is>
      </c>
      <c r="AX834" t="inlineStr">
        <is>
          <t>222135065</t>
        </is>
      </c>
      <c r="AY834" t="inlineStr">
        <is>
          <t>991001373999702656</t>
        </is>
      </c>
      <c r="AZ834" t="inlineStr">
        <is>
          <t>991001373999702656</t>
        </is>
      </c>
      <c r="BA834" t="inlineStr">
        <is>
          <t>2264096960002656</t>
        </is>
      </c>
      <c r="BB834" t="inlineStr">
        <is>
          <t>BOOK</t>
        </is>
      </c>
      <c r="BD834" t="inlineStr">
        <is>
          <t>9781930538801</t>
        </is>
      </c>
      <c r="BE834" t="inlineStr">
        <is>
          <t>30001005391414</t>
        </is>
      </c>
      <c r="BF834" t="inlineStr">
        <is>
          <t>893268413</t>
        </is>
      </c>
    </row>
    <row r="835">
      <c r="A835" t="inlineStr">
        <is>
          <t>No</t>
        </is>
      </c>
      <c r="B835" t="inlineStr">
        <is>
          <t>CUHSL</t>
        </is>
      </c>
      <c r="C835" t="inlineStr">
        <is>
          <t>SHELVES</t>
        </is>
      </c>
      <c r="D835" t="inlineStr">
        <is>
          <t>WY 87 P296h 1988</t>
        </is>
      </c>
      <c r="E835" t="inlineStr">
        <is>
          <t>0                      WY 0087000P  296h        1988</t>
        </is>
      </c>
      <c r="F835" t="inlineStr">
        <is>
          <t>Humanistic nursing / Josephine G. Paterson, Loretta T. Zderad.</t>
        </is>
      </c>
      <c r="H835" t="inlineStr">
        <is>
          <t>No</t>
        </is>
      </c>
      <c r="I835" t="inlineStr">
        <is>
          <t>1</t>
        </is>
      </c>
      <c r="J835" t="inlineStr">
        <is>
          <t>No</t>
        </is>
      </c>
      <c r="K835" t="inlineStr">
        <is>
          <t>No</t>
        </is>
      </c>
      <c r="L835" t="inlineStr">
        <is>
          <t>0</t>
        </is>
      </c>
      <c r="M835" t="inlineStr">
        <is>
          <t>Paterson, Josephine G.</t>
        </is>
      </c>
      <c r="N835" t="inlineStr">
        <is>
          <t>New York : Wiley, c1988.</t>
        </is>
      </c>
      <c r="O835" t="inlineStr">
        <is>
          <t>1976</t>
        </is>
      </c>
      <c r="Q835" t="inlineStr">
        <is>
          <t>eng</t>
        </is>
      </c>
      <c r="R835" t="inlineStr">
        <is>
          <t>nyu</t>
        </is>
      </c>
      <c r="S835" t="inlineStr">
        <is>
          <t>Pub. No. 41-2218.</t>
        </is>
      </c>
      <c r="T835" t="inlineStr">
        <is>
          <t xml:space="preserve">WY </t>
        </is>
      </c>
      <c r="U835" t="n">
        <v>6</v>
      </c>
      <c r="V835" t="n">
        <v>6</v>
      </c>
      <c r="W835" t="inlineStr">
        <is>
          <t>2007-09-11</t>
        </is>
      </c>
      <c r="X835" t="inlineStr">
        <is>
          <t>2007-09-11</t>
        </is>
      </c>
      <c r="Y835" t="inlineStr">
        <is>
          <t>1988-04-22</t>
        </is>
      </c>
      <c r="Z835" t="inlineStr">
        <is>
          <t>1988-04-22</t>
        </is>
      </c>
      <c r="AA835" t="n">
        <v>281</v>
      </c>
      <c r="AB835" t="n">
        <v>225</v>
      </c>
      <c r="AC835" t="n">
        <v>426</v>
      </c>
      <c r="AD835" t="n">
        <v>2</v>
      </c>
      <c r="AE835" t="n">
        <v>5</v>
      </c>
      <c r="AF835" t="n">
        <v>10</v>
      </c>
      <c r="AG835" t="n">
        <v>25</v>
      </c>
      <c r="AH835" t="n">
        <v>2</v>
      </c>
      <c r="AI835" t="n">
        <v>9</v>
      </c>
      <c r="AJ835" t="n">
        <v>3</v>
      </c>
      <c r="AK835" t="n">
        <v>6</v>
      </c>
      <c r="AL835" t="n">
        <v>5</v>
      </c>
      <c r="AM835" t="n">
        <v>10</v>
      </c>
      <c r="AN835" t="n">
        <v>1</v>
      </c>
      <c r="AO835" t="n">
        <v>3</v>
      </c>
      <c r="AP835" t="n">
        <v>0</v>
      </c>
      <c r="AQ835" t="n">
        <v>0</v>
      </c>
      <c r="AR835" t="inlineStr">
        <is>
          <t>No</t>
        </is>
      </c>
      <c r="AS835" t="inlineStr">
        <is>
          <t>Yes</t>
        </is>
      </c>
      <c r="AT835">
        <f>HYPERLINK("http://catalog.hathitrust.org/Record/000710428","HathiTrust Record")</f>
        <v/>
      </c>
      <c r="AU835">
        <f>HYPERLINK("https://creighton-primo.hosted.exlibrisgroup.com/primo-explore/search?tab=default_tab&amp;search_scope=EVERYTHING&amp;vid=01CRU&amp;lang=en_US&amp;offset=0&amp;query=any,contains,991001186459702656","Catalog Record")</f>
        <v/>
      </c>
      <c r="AV835">
        <f>HYPERLINK("http://www.worldcat.org/oclc/1959544","WorldCat Record")</f>
        <v/>
      </c>
      <c r="AW835" t="inlineStr">
        <is>
          <t>2638530:eng</t>
        </is>
      </c>
      <c r="AX835" t="inlineStr">
        <is>
          <t>1959544</t>
        </is>
      </c>
      <c r="AY835" t="inlineStr">
        <is>
          <t>991001186459702656</t>
        </is>
      </c>
      <c r="AZ835" t="inlineStr">
        <is>
          <t>991001186459702656</t>
        </is>
      </c>
      <c r="BA835" t="inlineStr">
        <is>
          <t>2266098040002656</t>
        </is>
      </c>
      <c r="BB835" t="inlineStr">
        <is>
          <t>BOOK</t>
        </is>
      </c>
      <c r="BD835" t="inlineStr">
        <is>
          <t>9780471669463</t>
        </is>
      </c>
      <c r="BE835" t="inlineStr">
        <is>
          <t>30001000978173</t>
        </is>
      </c>
      <c r="BF835" t="inlineStr">
        <is>
          <t>893831984</t>
        </is>
      </c>
    </row>
    <row r="836">
      <c r="A836" t="inlineStr">
        <is>
          <t>No</t>
        </is>
      </c>
      <c r="B836" t="inlineStr">
        <is>
          <t>CUHSL</t>
        </is>
      </c>
      <c r="C836" t="inlineStr">
        <is>
          <t>SHELVES</t>
        </is>
      </c>
      <c r="D836" t="inlineStr">
        <is>
          <t>WY 87 P838c 1984</t>
        </is>
      </c>
      <c r="E836" t="inlineStr">
        <is>
          <t>0                      WY 0087000P  838c        1984</t>
        </is>
      </c>
      <c r="F836" t="inlineStr">
        <is>
          <t>Communication, choices for nurses / Lyn Porritt.</t>
        </is>
      </c>
      <c r="H836" t="inlineStr">
        <is>
          <t>No</t>
        </is>
      </c>
      <c r="I836" t="inlineStr">
        <is>
          <t>1</t>
        </is>
      </c>
      <c r="J836" t="inlineStr">
        <is>
          <t>No</t>
        </is>
      </c>
      <c r="K836" t="inlineStr">
        <is>
          <t>No</t>
        </is>
      </c>
      <c r="L836" t="inlineStr">
        <is>
          <t>0</t>
        </is>
      </c>
      <c r="M836" t="inlineStr">
        <is>
          <t>Porritt, Lyn.</t>
        </is>
      </c>
      <c r="N836" t="inlineStr">
        <is>
          <t>Melbourne ; New York : Churchill Livingstone, c1984.</t>
        </is>
      </c>
      <c r="O836" t="inlineStr">
        <is>
          <t>1984</t>
        </is>
      </c>
      <c r="Q836" t="inlineStr">
        <is>
          <t>eng</t>
        </is>
      </c>
      <c r="R836" t="inlineStr">
        <is>
          <t xml:space="preserve">at </t>
        </is>
      </c>
      <c r="T836" t="inlineStr">
        <is>
          <t xml:space="preserve">WY </t>
        </is>
      </c>
      <c r="U836" t="n">
        <v>9</v>
      </c>
      <c r="V836" t="n">
        <v>9</v>
      </c>
      <c r="W836" t="inlineStr">
        <is>
          <t>1998-10-01</t>
        </is>
      </c>
      <c r="X836" t="inlineStr">
        <is>
          <t>1998-10-01</t>
        </is>
      </c>
      <c r="Y836" t="inlineStr">
        <is>
          <t>1987-12-29</t>
        </is>
      </c>
      <c r="Z836" t="inlineStr">
        <is>
          <t>1987-12-29</t>
        </is>
      </c>
      <c r="AA836" t="n">
        <v>56</v>
      </c>
      <c r="AB836" t="n">
        <v>11</v>
      </c>
      <c r="AC836" t="n">
        <v>61</v>
      </c>
      <c r="AD836" t="n">
        <v>1</v>
      </c>
      <c r="AE836" t="n">
        <v>1</v>
      </c>
      <c r="AF836" t="n">
        <v>0</v>
      </c>
      <c r="AG836" t="n">
        <v>2</v>
      </c>
      <c r="AH836" t="n">
        <v>0</v>
      </c>
      <c r="AI836" t="n">
        <v>1</v>
      </c>
      <c r="AJ836" t="n">
        <v>0</v>
      </c>
      <c r="AK836" t="n">
        <v>0</v>
      </c>
      <c r="AL836" t="n">
        <v>0</v>
      </c>
      <c r="AM836" t="n">
        <v>2</v>
      </c>
      <c r="AN836" t="n">
        <v>0</v>
      </c>
      <c r="AO836" t="n">
        <v>0</v>
      </c>
      <c r="AP836" t="n">
        <v>0</v>
      </c>
      <c r="AQ836" t="n">
        <v>0</v>
      </c>
      <c r="AR836" t="inlineStr">
        <is>
          <t>No</t>
        </is>
      </c>
      <c r="AS836" t="inlineStr">
        <is>
          <t>No</t>
        </is>
      </c>
      <c r="AU836">
        <f>HYPERLINK("https://creighton-primo.hosted.exlibrisgroup.com/primo-explore/search?tab=default_tab&amp;search_scope=EVERYTHING&amp;vid=01CRU&amp;lang=en_US&amp;offset=0&amp;query=any,contains,991001134979702656","Catalog Record")</f>
        <v/>
      </c>
      <c r="AV836">
        <f>HYPERLINK("http://www.worldcat.org/oclc/9829356","WorldCat Record")</f>
        <v/>
      </c>
      <c r="AW836" t="inlineStr">
        <is>
          <t>43278900:eng</t>
        </is>
      </c>
      <c r="AX836" t="inlineStr">
        <is>
          <t>9829356</t>
        </is>
      </c>
      <c r="AY836" t="inlineStr">
        <is>
          <t>991001134979702656</t>
        </is>
      </c>
      <c r="AZ836" t="inlineStr">
        <is>
          <t>991001134979702656</t>
        </is>
      </c>
      <c r="BA836" t="inlineStr">
        <is>
          <t>2269894800002656</t>
        </is>
      </c>
      <c r="BB836" t="inlineStr">
        <is>
          <t>BOOK</t>
        </is>
      </c>
      <c r="BD836" t="inlineStr">
        <is>
          <t>9780443028519</t>
        </is>
      </c>
      <c r="BE836" t="inlineStr">
        <is>
          <t>30001000286163</t>
        </is>
      </c>
      <c r="BF836" t="inlineStr">
        <is>
          <t>893552175</t>
        </is>
      </c>
    </row>
    <row r="837">
      <c r="A837" t="inlineStr">
        <is>
          <t>No</t>
        </is>
      </c>
      <c r="B837" t="inlineStr">
        <is>
          <t>CUHSL</t>
        </is>
      </c>
      <c r="C837" t="inlineStr">
        <is>
          <t>SHELVES</t>
        </is>
      </c>
      <c r="D837" t="inlineStr">
        <is>
          <t>WY 87 P895 1978</t>
        </is>
      </c>
      <c r="E837" t="inlineStr">
        <is>
          <t>0                      WY 0087000P  895         1978</t>
        </is>
      </c>
      <c r="F837" t="inlineStr">
        <is>
          <t>A Practical manual for patient-teaching / edited by Karen S. Zander ... [et al.].</t>
        </is>
      </c>
      <c r="H837" t="inlineStr">
        <is>
          <t>No</t>
        </is>
      </c>
      <c r="I837" t="inlineStr">
        <is>
          <t>1</t>
        </is>
      </c>
      <c r="J837" t="inlineStr">
        <is>
          <t>No</t>
        </is>
      </c>
      <c r="K837" t="inlineStr">
        <is>
          <t>No</t>
        </is>
      </c>
      <c r="L837" t="inlineStr">
        <is>
          <t>0</t>
        </is>
      </c>
      <c r="N837" t="inlineStr">
        <is>
          <t>-- St. Louis : Mosby, 1978.</t>
        </is>
      </c>
      <c r="O837" t="inlineStr">
        <is>
          <t>1978</t>
        </is>
      </c>
      <c r="Q837" t="inlineStr">
        <is>
          <t>eng</t>
        </is>
      </c>
      <c r="R837" t="inlineStr">
        <is>
          <t>mou</t>
        </is>
      </c>
      <c r="T837" t="inlineStr">
        <is>
          <t xml:space="preserve">WY </t>
        </is>
      </c>
      <c r="U837" t="n">
        <v>5</v>
      </c>
      <c r="V837" t="n">
        <v>5</v>
      </c>
      <c r="W837" t="inlineStr">
        <is>
          <t>1992-06-25</t>
        </is>
      </c>
      <c r="X837" t="inlineStr">
        <is>
          <t>1992-06-25</t>
        </is>
      </c>
      <c r="Y837" t="inlineStr">
        <is>
          <t>1987-12-29</t>
        </is>
      </c>
      <c r="Z837" t="inlineStr">
        <is>
          <t>1987-12-29</t>
        </is>
      </c>
      <c r="AA837" t="n">
        <v>186</v>
      </c>
      <c r="AB837" t="n">
        <v>152</v>
      </c>
      <c r="AC837" t="n">
        <v>153</v>
      </c>
      <c r="AD837" t="n">
        <v>3</v>
      </c>
      <c r="AE837" t="n">
        <v>3</v>
      </c>
      <c r="AF837" t="n">
        <v>5</v>
      </c>
      <c r="AG837" t="n">
        <v>5</v>
      </c>
      <c r="AH837" t="n">
        <v>0</v>
      </c>
      <c r="AI837" t="n">
        <v>0</v>
      </c>
      <c r="AJ837" t="n">
        <v>0</v>
      </c>
      <c r="AK837" t="n">
        <v>0</v>
      </c>
      <c r="AL837" t="n">
        <v>3</v>
      </c>
      <c r="AM837" t="n">
        <v>3</v>
      </c>
      <c r="AN837" t="n">
        <v>2</v>
      </c>
      <c r="AO837" t="n">
        <v>2</v>
      </c>
      <c r="AP837" t="n">
        <v>0</v>
      </c>
      <c r="AQ837" t="n">
        <v>0</v>
      </c>
      <c r="AR837" t="inlineStr">
        <is>
          <t>No</t>
        </is>
      </c>
      <c r="AS837" t="inlineStr">
        <is>
          <t>No</t>
        </is>
      </c>
      <c r="AU837">
        <f>HYPERLINK("https://creighton-primo.hosted.exlibrisgroup.com/primo-explore/search?tab=default_tab&amp;search_scope=EVERYTHING&amp;vid=01CRU&amp;lang=en_US&amp;offset=0&amp;query=any,contains,991001135389702656","Catalog Record")</f>
        <v/>
      </c>
      <c r="AV837">
        <f>HYPERLINK("http://www.worldcat.org/oclc/3843355","WorldCat Record")</f>
        <v/>
      </c>
      <c r="AW837" t="inlineStr">
        <is>
          <t>13294167:eng</t>
        </is>
      </c>
      <c r="AX837" t="inlineStr">
        <is>
          <t>3843355</t>
        </is>
      </c>
      <c r="AY837" t="inlineStr">
        <is>
          <t>991001135389702656</t>
        </is>
      </c>
      <c r="AZ837" t="inlineStr">
        <is>
          <t>991001135389702656</t>
        </is>
      </c>
      <c r="BA837" t="inlineStr">
        <is>
          <t>2266429240002656</t>
        </is>
      </c>
      <c r="BB837" t="inlineStr">
        <is>
          <t>BOOK</t>
        </is>
      </c>
      <c r="BD837" t="inlineStr">
        <is>
          <t>9780801656781</t>
        </is>
      </c>
      <c r="BE837" t="inlineStr">
        <is>
          <t>30001000286239</t>
        </is>
      </c>
      <c r="BF837" t="inlineStr">
        <is>
          <t>893358251</t>
        </is>
      </c>
    </row>
    <row r="838">
      <c r="A838" t="inlineStr">
        <is>
          <t>No</t>
        </is>
      </c>
      <c r="B838" t="inlineStr">
        <is>
          <t>CUHSL</t>
        </is>
      </c>
      <c r="C838" t="inlineStr">
        <is>
          <t>SHELVES</t>
        </is>
      </c>
      <c r="D838" t="inlineStr">
        <is>
          <t>WY 87 P952 1984</t>
        </is>
      </c>
      <c r="E838" t="inlineStr">
        <is>
          <t>0                      WY 0087000P  952         1984</t>
        </is>
      </c>
      <c r="F838" t="inlineStr">
        <is>
          <t>Primary health care handbook : guidelines for patient education / edited by Sherry L. Shamansky, M. Carolyn Cecere, Evelyn Shellenberger.</t>
        </is>
      </c>
      <c r="H838" t="inlineStr">
        <is>
          <t>No</t>
        </is>
      </c>
      <c r="I838" t="inlineStr">
        <is>
          <t>1</t>
        </is>
      </c>
      <c r="J838" t="inlineStr">
        <is>
          <t>No</t>
        </is>
      </c>
      <c r="K838" t="inlineStr">
        <is>
          <t>No</t>
        </is>
      </c>
      <c r="L838" t="inlineStr">
        <is>
          <t>0</t>
        </is>
      </c>
      <c r="N838" t="inlineStr">
        <is>
          <t>Boston : Little, Brown, c1984.</t>
        </is>
      </c>
      <c r="O838" t="inlineStr">
        <is>
          <t>1984</t>
        </is>
      </c>
      <c r="P838" t="inlineStr">
        <is>
          <t>1st ed.</t>
        </is>
      </c>
      <c r="Q838" t="inlineStr">
        <is>
          <t>eng</t>
        </is>
      </c>
      <c r="R838" t="inlineStr">
        <is>
          <t>mau</t>
        </is>
      </c>
      <c r="T838" t="inlineStr">
        <is>
          <t xml:space="preserve">WY </t>
        </is>
      </c>
      <c r="U838" t="n">
        <v>3</v>
      </c>
      <c r="V838" t="n">
        <v>3</v>
      </c>
      <c r="W838" t="inlineStr">
        <is>
          <t>1992-06-25</t>
        </is>
      </c>
      <c r="X838" t="inlineStr">
        <is>
          <t>1992-06-25</t>
        </is>
      </c>
      <c r="Y838" t="inlineStr">
        <is>
          <t>1987-12-29</t>
        </is>
      </c>
      <c r="Z838" t="inlineStr">
        <is>
          <t>1987-12-29</t>
        </is>
      </c>
      <c r="AA838" t="n">
        <v>199</v>
      </c>
      <c r="AB838" t="n">
        <v>169</v>
      </c>
      <c r="AC838" t="n">
        <v>171</v>
      </c>
      <c r="AD838" t="n">
        <v>2</v>
      </c>
      <c r="AE838" t="n">
        <v>2</v>
      </c>
      <c r="AF838" t="n">
        <v>3</v>
      </c>
      <c r="AG838" t="n">
        <v>3</v>
      </c>
      <c r="AH838" t="n">
        <v>1</v>
      </c>
      <c r="AI838" t="n">
        <v>1</v>
      </c>
      <c r="AJ838" t="n">
        <v>0</v>
      </c>
      <c r="AK838" t="n">
        <v>0</v>
      </c>
      <c r="AL838" t="n">
        <v>2</v>
      </c>
      <c r="AM838" t="n">
        <v>2</v>
      </c>
      <c r="AN838" t="n">
        <v>0</v>
      </c>
      <c r="AO838" t="n">
        <v>0</v>
      </c>
      <c r="AP838" t="n">
        <v>0</v>
      </c>
      <c r="AQ838" t="n">
        <v>0</v>
      </c>
      <c r="AR838" t="inlineStr">
        <is>
          <t>No</t>
        </is>
      </c>
      <c r="AS838" t="inlineStr">
        <is>
          <t>Yes</t>
        </is>
      </c>
      <c r="AT838">
        <f>HYPERLINK("http://catalog.hathitrust.org/Record/000370578","HathiTrust Record")</f>
        <v/>
      </c>
      <c r="AU838">
        <f>HYPERLINK("https://creighton-primo.hosted.exlibrisgroup.com/primo-explore/search?tab=default_tab&amp;search_scope=EVERYTHING&amp;vid=01CRU&amp;lang=en_US&amp;offset=0&amp;query=any,contains,991001135219702656","Catalog Record")</f>
        <v/>
      </c>
      <c r="AV838">
        <f>HYPERLINK("http://www.worldcat.org/oclc/12667243","WorldCat Record")</f>
        <v/>
      </c>
      <c r="AW838" t="inlineStr">
        <is>
          <t>836673528:eng</t>
        </is>
      </c>
      <c r="AX838" t="inlineStr">
        <is>
          <t>12667243</t>
        </is>
      </c>
      <c r="AY838" t="inlineStr">
        <is>
          <t>991001135219702656</t>
        </is>
      </c>
      <c r="AZ838" t="inlineStr">
        <is>
          <t>991001135219702656</t>
        </is>
      </c>
      <c r="BA838" t="inlineStr">
        <is>
          <t>2272287600002656</t>
        </is>
      </c>
      <c r="BB838" t="inlineStr">
        <is>
          <t>BOOK</t>
        </is>
      </c>
      <c r="BD838" t="inlineStr">
        <is>
          <t>9780316787246</t>
        </is>
      </c>
      <c r="BE838" t="inlineStr">
        <is>
          <t>30001000286221</t>
        </is>
      </c>
      <c r="BF838" t="inlineStr">
        <is>
          <t>893820940</t>
        </is>
      </c>
    </row>
    <row r="839">
      <c r="A839" t="inlineStr">
        <is>
          <t>No</t>
        </is>
      </c>
      <c r="B839" t="inlineStr">
        <is>
          <t>CUHSL</t>
        </is>
      </c>
      <c r="C839" t="inlineStr">
        <is>
          <t>SHELVES</t>
        </is>
      </c>
      <c r="D839" t="inlineStr">
        <is>
          <t>WY 87 Q7n 1967</t>
        </is>
      </c>
      <c r="E839" t="inlineStr">
        <is>
          <t>0                      WY 0087000Q  7n          1967</t>
        </is>
      </c>
      <c r="F839" t="inlineStr">
        <is>
          <t>The nurse and the dying patient / Jeanne C. Quint.</t>
        </is>
      </c>
      <c r="H839" t="inlineStr">
        <is>
          <t>No</t>
        </is>
      </c>
      <c r="I839" t="inlineStr">
        <is>
          <t>1</t>
        </is>
      </c>
      <c r="J839" t="inlineStr">
        <is>
          <t>No</t>
        </is>
      </c>
      <c r="K839" t="inlineStr">
        <is>
          <t>No</t>
        </is>
      </c>
      <c r="L839" t="inlineStr">
        <is>
          <t>0</t>
        </is>
      </c>
      <c r="M839" t="inlineStr">
        <is>
          <t>Benoliel, Jeanne Quint.</t>
        </is>
      </c>
      <c r="N839" t="inlineStr">
        <is>
          <t>New York, NY : Macmillan 1967.</t>
        </is>
      </c>
      <c r="O839" t="inlineStr">
        <is>
          <t>1967</t>
        </is>
      </c>
      <c r="Q839" t="inlineStr">
        <is>
          <t>eng</t>
        </is>
      </c>
      <c r="R839" t="inlineStr">
        <is>
          <t>nyu</t>
        </is>
      </c>
      <c r="T839" t="inlineStr">
        <is>
          <t xml:space="preserve">WY </t>
        </is>
      </c>
      <c r="U839" t="n">
        <v>6</v>
      </c>
      <c r="V839" t="n">
        <v>6</v>
      </c>
      <c r="W839" t="inlineStr">
        <is>
          <t>1996-10-21</t>
        </is>
      </c>
      <c r="X839" t="inlineStr">
        <is>
          <t>1996-10-21</t>
        </is>
      </c>
      <c r="Y839" t="inlineStr">
        <is>
          <t>1988-01-05</t>
        </is>
      </c>
      <c r="Z839" t="inlineStr">
        <is>
          <t>1988-01-05</t>
        </is>
      </c>
      <c r="AA839" t="n">
        <v>405</v>
      </c>
      <c r="AB839" t="n">
        <v>337</v>
      </c>
      <c r="AC839" t="n">
        <v>340</v>
      </c>
      <c r="AD839" t="n">
        <v>5</v>
      </c>
      <c r="AE839" t="n">
        <v>5</v>
      </c>
      <c r="AF839" t="n">
        <v>14</v>
      </c>
      <c r="AG839" t="n">
        <v>14</v>
      </c>
      <c r="AH839" t="n">
        <v>2</v>
      </c>
      <c r="AI839" t="n">
        <v>2</v>
      </c>
      <c r="AJ839" t="n">
        <v>3</v>
      </c>
      <c r="AK839" t="n">
        <v>3</v>
      </c>
      <c r="AL839" t="n">
        <v>8</v>
      </c>
      <c r="AM839" t="n">
        <v>8</v>
      </c>
      <c r="AN839" t="n">
        <v>3</v>
      </c>
      <c r="AO839" t="n">
        <v>3</v>
      </c>
      <c r="AP839" t="n">
        <v>0</v>
      </c>
      <c r="AQ839" t="n">
        <v>0</v>
      </c>
      <c r="AR839" t="inlineStr">
        <is>
          <t>No</t>
        </is>
      </c>
      <c r="AS839" t="inlineStr">
        <is>
          <t>Yes</t>
        </is>
      </c>
      <c r="AT839">
        <f>HYPERLINK("http://catalog.hathitrust.org/Record/001574759","HathiTrust Record")</f>
        <v/>
      </c>
      <c r="AU839">
        <f>HYPERLINK("https://creighton-primo.hosted.exlibrisgroup.com/primo-explore/search?tab=default_tab&amp;search_scope=EVERYTHING&amp;vid=01CRU&amp;lang=en_US&amp;offset=0&amp;query=any,contains,991001135489702656","Catalog Record")</f>
        <v/>
      </c>
      <c r="AV839">
        <f>HYPERLINK("http://www.worldcat.org/oclc/274434","WorldCat Record")</f>
        <v/>
      </c>
      <c r="AW839" t="inlineStr">
        <is>
          <t>1407871:eng</t>
        </is>
      </c>
      <c r="AX839" t="inlineStr">
        <is>
          <t>274434</t>
        </is>
      </c>
      <c r="AY839" t="inlineStr">
        <is>
          <t>991001135489702656</t>
        </is>
      </c>
      <c r="AZ839" t="inlineStr">
        <is>
          <t>991001135489702656</t>
        </is>
      </c>
      <c r="BA839" t="inlineStr">
        <is>
          <t>2260857130002656</t>
        </is>
      </c>
      <c r="BB839" t="inlineStr">
        <is>
          <t>BOOK</t>
        </is>
      </c>
      <c r="BE839" t="inlineStr">
        <is>
          <t>30001000286254</t>
        </is>
      </c>
      <c r="BF839" t="inlineStr">
        <is>
          <t>893369134</t>
        </is>
      </c>
    </row>
    <row r="840">
      <c r="A840" t="inlineStr">
        <is>
          <t>No</t>
        </is>
      </c>
      <c r="B840" t="inlineStr">
        <is>
          <t>CUHSL</t>
        </is>
      </c>
      <c r="C840" t="inlineStr">
        <is>
          <t>SHELVES</t>
        </is>
      </c>
      <c r="D840" t="inlineStr">
        <is>
          <t>WY 87 R318p 1984</t>
        </is>
      </c>
      <c r="E840" t="inlineStr">
        <is>
          <t>0                      WY 0087000R  318p        1984</t>
        </is>
      </c>
      <c r="F840" t="inlineStr">
        <is>
          <t>The process of patient education / Barbara Klug Redman.</t>
        </is>
      </c>
      <c r="H840" t="inlineStr">
        <is>
          <t>No</t>
        </is>
      </c>
      <c r="I840" t="inlineStr">
        <is>
          <t>1</t>
        </is>
      </c>
      <c r="J840" t="inlineStr">
        <is>
          <t>No</t>
        </is>
      </c>
      <c r="K840" t="inlineStr">
        <is>
          <t>No</t>
        </is>
      </c>
      <c r="L840" t="inlineStr">
        <is>
          <t>0</t>
        </is>
      </c>
      <c r="M840" t="inlineStr">
        <is>
          <t>Redman, Barbara Klug.</t>
        </is>
      </c>
      <c r="N840" t="inlineStr">
        <is>
          <t>St. Louis : Mosby, c1984.</t>
        </is>
      </c>
      <c r="O840" t="inlineStr">
        <is>
          <t>1984</t>
        </is>
      </c>
      <c r="P840" t="inlineStr">
        <is>
          <t>5th ed.</t>
        </is>
      </c>
      <c r="Q840" t="inlineStr">
        <is>
          <t>eng</t>
        </is>
      </c>
      <c r="R840" t="inlineStr">
        <is>
          <t>xxu</t>
        </is>
      </c>
      <c r="T840" t="inlineStr">
        <is>
          <t xml:space="preserve">WY </t>
        </is>
      </c>
      <c r="U840" t="n">
        <v>10</v>
      </c>
      <c r="V840" t="n">
        <v>10</v>
      </c>
      <c r="W840" t="inlineStr">
        <is>
          <t>1997-06-23</t>
        </is>
      </c>
      <c r="X840" t="inlineStr">
        <is>
          <t>1997-06-23</t>
        </is>
      </c>
      <c r="Y840" t="inlineStr">
        <is>
          <t>1987-10-19</t>
        </is>
      </c>
      <c r="Z840" t="inlineStr">
        <is>
          <t>1987-10-19</t>
        </is>
      </c>
      <c r="AA840" t="n">
        <v>271</v>
      </c>
      <c r="AB840" t="n">
        <v>212</v>
      </c>
      <c r="AC840" t="n">
        <v>563</v>
      </c>
      <c r="AD840" t="n">
        <v>1</v>
      </c>
      <c r="AE840" t="n">
        <v>4</v>
      </c>
      <c r="AF840" t="n">
        <v>4</v>
      </c>
      <c r="AG840" t="n">
        <v>17</v>
      </c>
      <c r="AH840" t="n">
        <v>2</v>
      </c>
      <c r="AI840" t="n">
        <v>6</v>
      </c>
      <c r="AJ840" t="n">
        <v>0</v>
      </c>
      <c r="AK840" t="n">
        <v>3</v>
      </c>
      <c r="AL840" t="n">
        <v>2</v>
      </c>
      <c r="AM840" t="n">
        <v>10</v>
      </c>
      <c r="AN840" t="n">
        <v>0</v>
      </c>
      <c r="AO840" t="n">
        <v>2</v>
      </c>
      <c r="AP840" t="n">
        <v>0</v>
      </c>
      <c r="AQ840" t="n">
        <v>0</v>
      </c>
      <c r="AR840" t="inlineStr">
        <is>
          <t>No</t>
        </is>
      </c>
      <c r="AS840" t="inlineStr">
        <is>
          <t>Yes</t>
        </is>
      </c>
      <c r="AT840">
        <f>HYPERLINK("http://catalog.hathitrust.org/Record/000783678","HathiTrust Record")</f>
        <v/>
      </c>
      <c r="AU840">
        <f>HYPERLINK("https://creighton-primo.hosted.exlibrisgroup.com/primo-explore/search?tab=default_tab&amp;search_scope=EVERYTHING&amp;vid=01CRU&amp;lang=en_US&amp;offset=0&amp;query=any,contains,991000738239702656","Catalog Record")</f>
        <v/>
      </c>
      <c r="AV840">
        <f>HYPERLINK("http://www.worldcat.org/oclc/9557513","WorldCat Record")</f>
        <v/>
      </c>
      <c r="AW840" t="inlineStr">
        <is>
          <t>13086160:eng</t>
        </is>
      </c>
      <c r="AX840" t="inlineStr">
        <is>
          <t>9557513</t>
        </is>
      </c>
      <c r="AY840" t="inlineStr">
        <is>
          <t>991000738239702656</t>
        </is>
      </c>
      <c r="AZ840" t="inlineStr">
        <is>
          <t>991000738239702656</t>
        </is>
      </c>
      <c r="BA840" t="inlineStr">
        <is>
          <t>2258869280002656</t>
        </is>
      </c>
      <c r="BB840" t="inlineStr">
        <is>
          <t>BOOK</t>
        </is>
      </c>
      <c r="BD840" t="inlineStr">
        <is>
          <t>9780801641855</t>
        </is>
      </c>
      <c r="BE840" t="inlineStr">
        <is>
          <t>30001000042434</t>
        </is>
      </c>
      <c r="BF840" t="inlineStr">
        <is>
          <t>893272937</t>
        </is>
      </c>
    </row>
    <row r="841">
      <c r="A841" t="inlineStr">
        <is>
          <t>No</t>
        </is>
      </c>
      <c r="B841" t="inlineStr">
        <is>
          <t>CUHSL</t>
        </is>
      </c>
      <c r="C841" t="inlineStr">
        <is>
          <t>SHELVES</t>
        </is>
      </c>
      <c r="D841" t="inlineStr">
        <is>
          <t>WY 87 R318p 1997</t>
        </is>
      </c>
      <c r="E841" t="inlineStr">
        <is>
          <t>0                      WY 0087000R  318p        1997</t>
        </is>
      </c>
      <c r="F841" t="inlineStr">
        <is>
          <t>The practice of patient education / Barbara Klug Redman.</t>
        </is>
      </c>
      <c r="H841" t="inlineStr">
        <is>
          <t>No</t>
        </is>
      </c>
      <c r="I841" t="inlineStr">
        <is>
          <t>1</t>
        </is>
      </c>
      <c r="J841" t="inlineStr">
        <is>
          <t>No</t>
        </is>
      </c>
      <c r="K841" t="inlineStr">
        <is>
          <t>Yes</t>
        </is>
      </c>
      <c r="L841" t="inlineStr">
        <is>
          <t>0</t>
        </is>
      </c>
      <c r="M841" t="inlineStr">
        <is>
          <t>Redman, Barbara Klug.</t>
        </is>
      </c>
      <c r="N841" t="inlineStr">
        <is>
          <t>St. Louis : Mosby, c1997.</t>
        </is>
      </c>
      <c r="O841" t="inlineStr">
        <is>
          <t>1997</t>
        </is>
      </c>
      <c r="P841" t="inlineStr">
        <is>
          <t>8th ed.</t>
        </is>
      </c>
      <c r="Q841" t="inlineStr">
        <is>
          <t>eng</t>
        </is>
      </c>
      <c r="R841" t="inlineStr">
        <is>
          <t>mou</t>
        </is>
      </c>
      <c r="T841" t="inlineStr">
        <is>
          <t xml:space="preserve">WY </t>
        </is>
      </c>
      <c r="U841" t="n">
        <v>5</v>
      </c>
      <c r="V841" t="n">
        <v>5</v>
      </c>
      <c r="W841" t="inlineStr">
        <is>
          <t>1999-04-20</t>
        </is>
      </c>
      <c r="X841" t="inlineStr">
        <is>
          <t>1999-04-20</t>
        </is>
      </c>
      <c r="Y841" t="inlineStr">
        <is>
          <t>1999-04-13</t>
        </is>
      </c>
      <c r="Z841" t="inlineStr">
        <is>
          <t>1999-04-13</t>
        </is>
      </c>
      <c r="AA841" t="n">
        <v>361</v>
      </c>
      <c r="AB841" t="n">
        <v>297</v>
      </c>
      <c r="AC841" t="n">
        <v>507</v>
      </c>
      <c r="AD841" t="n">
        <v>2</v>
      </c>
      <c r="AE841" t="n">
        <v>3</v>
      </c>
      <c r="AF841" t="n">
        <v>8</v>
      </c>
      <c r="AG841" t="n">
        <v>21</v>
      </c>
      <c r="AH841" t="n">
        <v>3</v>
      </c>
      <c r="AI841" t="n">
        <v>11</v>
      </c>
      <c r="AJ841" t="n">
        <v>0</v>
      </c>
      <c r="AK841" t="n">
        <v>2</v>
      </c>
      <c r="AL841" t="n">
        <v>5</v>
      </c>
      <c r="AM841" t="n">
        <v>8</v>
      </c>
      <c r="AN841" t="n">
        <v>0</v>
      </c>
      <c r="AO841" t="n">
        <v>1</v>
      </c>
      <c r="AP841" t="n">
        <v>0</v>
      </c>
      <c r="AQ841" t="n">
        <v>0</v>
      </c>
      <c r="AR841" t="inlineStr">
        <is>
          <t>No</t>
        </is>
      </c>
      <c r="AS841" t="inlineStr">
        <is>
          <t>Yes</t>
        </is>
      </c>
      <c r="AT841">
        <f>HYPERLINK("http://catalog.hathitrust.org/Record/003139857","HathiTrust Record")</f>
        <v/>
      </c>
      <c r="AU841">
        <f>HYPERLINK("https://creighton-primo.hosted.exlibrisgroup.com/primo-explore/search?tab=default_tab&amp;search_scope=EVERYTHING&amp;vid=01CRU&amp;lang=en_US&amp;offset=0&amp;query=any,contains,991001572859702656","Catalog Record")</f>
        <v/>
      </c>
      <c r="AV841">
        <f>HYPERLINK("http://www.worldcat.org/oclc/34772122","WorldCat Record")</f>
        <v/>
      </c>
      <c r="AW841" t="inlineStr">
        <is>
          <t>20798663:eng</t>
        </is>
      </c>
      <c r="AX841" t="inlineStr">
        <is>
          <t>34772122</t>
        </is>
      </c>
      <c r="AY841" t="inlineStr">
        <is>
          <t>991001572859702656</t>
        </is>
      </c>
      <c r="AZ841" t="inlineStr">
        <is>
          <t>991001572859702656</t>
        </is>
      </c>
      <c r="BA841" t="inlineStr">
        <is>
          <t>2263148930002656</t>
        </is>
      </c>
      <c r="BB841" t="inlineStr">
        <is>
          <t>BOOK</t>
        </is>
      </c>
      <c r="BD841" t="inlineStr">
        <is>
          <t>9780815193579</t>
        </is>
      </c>
      <c r="BE841" t="inlineStr">
        <is>
          <t>30001004071066</t>
        </is>
      </c>
      <c r="BF841" t="inlineStr">
        <is>
          <t>893743905</t>
        </is>
      </c>
    </row>
    <row r="842">
      <c r="A842" t="inlineStr">
        <is>
          <t>No</t>
        </is>
      </c>
      <c r="B842" t="inlineStr">
        <is>
          <t>CUHSL</t>
        </is>
      </c>
      <c r="C842" t="inlineStr">
        <is>
          <t>SHELVES</t>
        </is>
      </c>
      <c r="D842" t="inlineStr">
        <is>
          <t>WY87 R318P 2001</t>
        </is>
      </c>
      <c r="E842" t="inlineStr">
        <is>
          <t>0                      WY 0087000R  318P        2001</t>
        </is>
      </c>
      <c r="F842" t="inlineStr">
        <is>
          <t>The practice of patient education / Barbara Klug Redman.</t>
        </is>
      </c>
      <c r="H842" t="inlineStr">
        <is>
          <t>No</t>
        </is>
      </c>
      <c r="I842" t="inlineStr">
        <is>
          <t>1</t>
        </is>
      </c>
      <c r="J842" t="inlineStr">
        <is>
          <t>No</t>
        </is>
      </c>
      <c r="K842" t="inlineStr">
        <is>
          <t>Yes</t>
        </is>
      </c>
      <c r="L842" t="inlineStr">
        <is>
          <t>0</t>
        </is>
      </c>
      <c r="M842" t="inlineStr">
        <is>
          <t>Redman, Barbara Klug.</t>
        </is>
      </c>
      <c r="N842" t="inlineStr">
        <is>
          <t>St. Louis, Mo. : Mosby, 2001.</t>
        </is>
      </c>
      <c r="O842" t="inlineStr">
        <is>
          <t>2001</t>
        </is>
      </c>
      <c r="P842" t="inlineStr">
        <is>
          <t>9th ed.</t>
        </is>
      </c>
      <c r="Q842" t="inlineStr">
        <is>
          <t>eng</t>
        </is>
      </c>
      <c r="R842" t="inlineStr">
        <is>
          <t>mou</t>
        </is>
      </c>
      <c r="T842" t="inlineStr">
        <is>
          <t xml:space="preserve">WY </t>
        </is>
      </c>
      <c r="U842" t="n">
        <v>4</v>
      </c>
      <c r="V842" t="n">
        <v>4</v>
      </c>
      <c r="W842" t="inlineStr">
        <is>
          <t>2009-11-01</t>
        </is>
      </c>
      <c r="X842" t="inlineStr">
        <is>
          <t>2009-11-01</t>
        </is>
      </c>
      <c r="Y842" t="inlineStr">
        <is>
          <t>2001-12-06</t>
        </is>
      </c>
      <c r="Z842" t="inlineStr">
        <is>
          <t>2001-12-06</t>
        </is>
      </c>
      <c r="AA842" t="n">
        <v>421</v>
      </c>
      <c r="AB842" t="n">
        <v>324</v>
      </c>
      <c r="AC842" t="n">
        <v>507</v>
      </c>
      <c r="AD842" t="n">
        <v>1</v>
      </c>
      <c r="AE842" t="n">
        <v>3</v>
      </c>
      <c r="AF842" t="n">
        <v>17</v>
      </c>
      <c r="AG842" t="n">
        <v>21</v>
      </c>
      <c r="AH842" t="n">
        <v>10</v>
      </c>
      <c r="AI842" t="n">
        <v>11</v>
      </c>
      <c r="AJ842" t="n">
        <v>2</v>
      </c>
      <c r="AK842" t="n">
        <v>2</v>
      </c>
      <c r="AL842" t="n">
        <v>5</v>
      </c>
      <c r="AM842" t="n">
        <v>8</v>
      </c>
      <c r="AN842" t="n">
        <v>1</v>
      </c>
      <c r="AO842" t="n">
        <v>1</v>
      </c>
      <c r="AP842" t="n">
        <v>0</v>
      </c>
      <c r="AQ842" t="n">
        <v>0</v>
      </c>
      <c r="AR842" t="inlineStr">
        <is>
          <t>No</t>
        </is>
      </c>
      <c r="AS842" t="inlineStr">
        <is>
          <t>Yes</t>
        </is>
      </c>
      <c r="AT842">
        <f>HYPERLINK("http://catalog.hathitrust.org/Record/004156709","HathiTrust Record")</f>
        <v/>
      </c>
      <c r="AU842">
        <f>HYPERLINK("https://creighton-primo.hosted.exlibrisgroup.com/primo-explore/search?tab=default_tab&amp;search_scope=EVERYTHING&amp;vid=01CRU&amp;lang=en_US&amp;offset=0&amp;query=any,contains,991001706329702656","Catalog Record")</f>
        <v/>
      </c>
      <c r="AV842">
        <f>HYPERLINK("http://www.worldcat.org/oclc/44979664","WorldCat Record")</f>
        <v/>
      </c>
      <c r="AW842" t="inlineStr">
        <is>
          <t>20798663:eng</t>
        </is>
      </c>
      <c r="AX842" t="inlineStr">
        <is>
          <t>44979664</t>
        </is>
      </c>
      <c r="AY842" t="inlineStr">
        <is>
          <t>991001706329702656</t>
        </is>
      </c>
      <c r="AZ842" t="inlineStr">
        <is>
          <t>991001706329702656</t>
        </is>
      </c>
      <c r="BA842" t="inlineStr">
        <is>
          <t>2271273290002656</t>
        </is>
      </c>
      <c r="BB842" t="inlineStr">
        <is>
          <t>BOOK</t>
        </is>
      </c>
      <c r="BD842" t="inlineStr">
        <is>
          <t>9780323012799</t>
        </is>
      </c>
      <c r="BE842" t="inlineStr">
        <is>
          <t>30001004560548</t>
        </is>
      </c>
      <c r="BF842" t="inlineStr">
        <is>
          <t>893558122</t>
        </is>
      </c>
    </row>
    <row r="843">
      <c r="A843" t="inlineStr">
        <is>
          <t>No</t>
        </is>
      </c>
      <c r="B843" t="inlineStr">
        <is>
          <t>CUHSL</t>
        </is>
      </c>
      <c r="C843" t="inlineStr">
        <is>
          <t>SHELVES</t>
        </is>
      </c>
      <c r="D843" t="inlineStr">
        <is>
          <t>WY 87 R647b 1978</t>
        </is>
      </c>
      <c r="E843" t="inlineStr">
        <is>
          <t>0                      WY 0087000R  647b        1978</t>
        </is>
      </c>
      <c r="F843" t="inlineStr">
        <is>
          <t>Behavioral concepts and nursing throughout the life span / Sharon L. Roberts.</t>
        </is>
      </c>
      <c r="H843" t="inlineStr">
        <is>
          <t>No</t>
        </is>
      </c>
      <c r="I843" t="inlineStr">
        <is>
          <t>1</t>
        </is>
      </c>
      <c r="J843" t="inlineStr">
        <is>
          <t>No</t>
        </is>
      </c>
      <c r="K843" t="inlineStr">
        <is>
          <t>No</t>
        </is>
      </c>
      <c r="L843" t="inlineStr">
        <is>
          <t>0</t>
        </is>
      </c>
      <c r="M843" t="inlineStr">
        <is>
          <t>Roberts, Sharon L.</t>
        </is>
      </c>
      <c r="N843" t="inlineStr">
        <is>
          <t>-- Englewood Cliffs, N.J. : Prentice-Hall, 1978.</t>
        </is>
      </c>
      <c r="O843" t="inlineStr">
        <is>
          <t>1978</t>
        </is>
      </c>
      <c r="Q843" t="inlineStr">
        <is>
          <t>eng</t>
        </is>
      </c>
      <c r="R843" t="inlineStr">
        <is>
          <t>nju</t>
        </is>
      </c>
      <c r="T843" t="inlineStr">
        <is>
          <t xml:space="preserve">WY </t>
        </is>
      </c>
      <c r="U843" t="n">
        <v>2</v>
      </c>
      <c r="V843" t="n">
        <v>2</v>
      </c>
      <c r="W843" t="inlineStr">
        <is>
          <t>1989-03-11</t>
        </is>
      </c>
      <c r="X843" t="inlineStr">
        <is>
          <t>1989-03-11</t>
        </is>
      </c>
      <c r="Y843" t="inlineStr">
        <is>
          <t>1987-12-29</t>
        </is>
      </c>
      <c r="Z843" t="inlineStr">
        <is>
          <t>1987-12-29</t>
        </is>
      </c>
      <c r="AA843" t="n">
        <v>302</v>
      </c>
      <c r="AB843" t="n">
        <v>253</v>
      </c>
      <c r="AC843" t="n">
        <v>260</v>
      </c>
      <c r="AD843" t="n">
        <v>2</v>
      </c>
      <c r="AE843" t="n">
        <v>2</v>
      </c>
      <c r="AF843" t="n">
        <v>13</v>
      </c>
      <c r="AG843" t="n">
        <v>13</v>
      </c>
      <c r="AH843" t="n">
        <v>4</v>
      </c>
      <c r="AI843" t="n">
        <v>4</v>
      </c>
      <c r="AJ843" t="n">
        <v>4</v>
      </c>
      <c r="AK843" t="n">
        <v>4</v>
      </c>
      <c r="AL843" t="n">
        <v>7</v>
      </c>
      <c r="AM843" t="n">
        <v>7</v>
      </c>
      <c r="AN843" t="n">
        <v>1</v>
      </c>
      <c r="AO843" t="n">
        <v>1</v>
      </c>
      <c r="AP843" t="n">
        <v>0</v>
      </c>
      <c r="AQ843" t="n">
        <v>0</v>
      </c>
      <c r="AR843" t="inlineStr">
        <is>
          <t>No</t>
        </is>
      </c>
      <c r="AS843" t="inlineStr">
        <is>
          <t>Yes</t>
        </is>
      </c>
      <c r="AT843">
        <f>HYPERLINK("http://catalog.hathitrust.org/Record/000295629","HathiTrust Record")</f>
        <v/>
      </c>
      <c r="AU843">
        <f>HYPERLINK("https://creighton-primo.hosted.exlibrisgroup.com/primo-explore/search?tab=default_tab&amp;search_scope=EVERYTHING&amp;vid=01CRU&amp;lang=en_US&amp;offset=0&amp;query=any,contains,991001136079702656","Catalog Record")</f>
        <v/>
      </c>
      <c r="AV843">
        <f>HYPERLINK("http://www.worldcat.org/oclc/3224072","WorldCat Record")</f>
        <v/>
      </c>
      <c r="AW843" t="inlineStr">
        <is>
          <t>410262:eng</t>
        </is>
      </c>
      <c r="AX843" t="inlineStr">
        <is>
          <t>3224072</t>
        </is>
      </c>
      <c r="AY843" t="inlineStr">
        <is>
          <t>991001136079702656</t>
        </is>
      </c>
      <c r="AZ843" t="inlineStr">
        <is>
          <t>991001136079702656</t>
        </is>
      </c>
      <c r="BA843" t="inlineStr">
        <is>
          <t>2258797960002656</t>
        </is>
      </c>
      <c r="BB843" t="inlineStr">
        <is>
          <t>BOOK</t>
        </is>
      </c>
      <c r="BD843" t="inlineStr">
        <is>
          <t>9780130745590</t>
        </is>
      </c>
      <c r="BE843" t="inlineStr">
        <is>
          <t>30001000286312</t>
        </is>
      </c>
      <c r="BF843" t="inlineStr">
        <is>
          <t>893648926</t>
        </is>
      </c>
    </row>
    <row r="844">
      <c r="A844" t="inlineStr">
        <is>
          <t>No</t>
        </is>
      </c>
      <c r="B844" t="inlineStr">
        <is>
          <t>CUHSL</t>
        </is>
      </c>
      <c r="C844" t="inlineStr">
        <is>
          <t>SHELVES</t>
        </is>
      </c>
      <c r="D844" t="inlineStr">
        <is>
          <t>WY 87 R787n 1987</t>
        </is>
      </c>
      <c r="E844" t="inlineStr">
        <is>
          <t>0                      WY 0087000R  787n        1987</t>
        </is>
      </c>
      <c r="F844" t="inlineStr">
        <is>
          <t>Nurses as health teachers : a practical guide / Judith Waring Rorden.</t>
        </is>
      </c>
      <c r="H844" t="inlineStr">
        <is>
          <t>No</t>
        </is>
      </c>
      <c r="I844" t="inlineStr">
        <is>
          <t>1</t>
        </is>
      </c>
      <c r="J844" t="inlineStr">
        <is>
          <t>No</t>
        </is>
      </c>
      <c r="K844" t="inlineStr">
        <is>
          <t>No</t>
        </is>
      </c>
      <c r="L844" t="inlineStr">
        <is>
          <t>0</t>
        </is>
      </c>
      <c r="M844" t="inlineStr">
        <is>
          <t>Rorden, Judith Waring.</t>
        </is>
      </c>
      <c r="N844" t="inlineStr">
        <is>
          <t>Philadelphia : Saunders, c1987.</t>
        </is>
      </c>
      <c r="O844" t="inlineStr">
        <is>
          <t>1987</t>
        </is>
      </c>
      <c r="Q844" t="inlineStr">
        <is>
          <t>eng</t>
        </is>
      </c>
      <c r="R844" t="inlineStr">
        <is>
          <t>xxu</t>
        </is>
      </c>
      <c r="T844" t="inlineStr">
        <is>
          <t xml:space="preserve">WY </t>
        </is>
      </c>
      <c r="U844" t="n">
        <v>11</v>
      </c>
      <c r="V844" t="n">
        <v>11</v>
      </c>
      <c r="W844" t="inlineStr">
        <is>
          <t>1997-06-23</t>
        </is>
      </c>
      <c r="X844" t="inlineStr">
        <is>
          <t>1997-06-23</t>
        </is>
      </c>
      <c r="Y844" t="inlineStr">
        <is>
          <t>1988-02-19</t>
        </is>
      </c>
      <c r="Z844" t="inlineStr">
        <is>
          <t>1988-02-19</t>
        </is>
      </c>
      <c r="AA844" t="n">
        <v>239</v>
      </c>
      <c r="AB844" t="n">
        <v>173</v>
      </c>
      <c r="AC844" t="n">
        <v>175</v>
      </c>
      <c r="AD844" t="n">
        <v>1</v>
      </c>
      <c r="AE844" t="n">
        <v>1</v>
      </c>
      <c r="AF844" t="n">
        <v>8</v>
      </c>
      <c r="AG844" t="n">
        <v>8</v>
      </c>
      <c r="AH844" t="n">
        <v>4</v>
      </c>
      <c r="AI844" t="n">
        <v>4</v>
      </c>
      <c r="AJ844" t="n">
        <v>0</v>
      </c>
      <c r="AK844" t="n">
        <v>0</v>
      </c>
      <c r="AL844" t="n">
        <v>5</v>
      </c>
      <c r="AM844" t="n">
        <v>5</v>
      </c>
      <c r="AN844" t="n">
        <v>0</v>
      </c>
      <c r="AO844" t="n">
        <v>0</v>
      </c>
      <c r="AP844" t="n">
        <v>0</v>
      </c>
      <c r="AQ844" t="n">
        <v>0</v>
      </c>
      <c r="AR844" t="inlineStr">
        <is>
          <t>No</t>
        </is>
      </c>
      <c r="AS844" t="inlineStr">
        <is>
          <t>Yes</t>
        </is>
      </c>
      <c r="AT844">
        <f>HYPERLINK("http://catalog.hathitrust.org/Record/000823440","HathiTrust Record")</f>
        <v/>
      </c>
      <c r="AU844">
        <f>HYPERLINK("https://creighton-primo.hosted.exlibrisgroup.com/primo-explore/search?tab=default_tab&amp;search_scope=EVERYTHING&amp;vid=01CRU&amp;lang=en_US&amp;offset=0&amp;query=any,contains,991001172659702656","Catalog Record")</f>
        <v/>
      </c>
      <c r="AV844">
        <f>HYPERLINK("http://www.worldcat.org/oclc/14693206","WorldCat Record")</f>
        <v/>
      </c>
      <c r="AW844" t="inlineStr">
        <is>
          <t>836689967:eng</t>
        </is>
      </c>
      <c r="AX844" t="inlineStr">
        <is>
          <t>14693206</t>
        </is>
      </c>
      <c r="AY844" t="inlineStr">
        <is>
          <t>991001172659702656</t>
        </is>
      </c>
      <c r="AZ844" t="inlineStr">
        <is>
          <t>991001172659702656</t>
        </is>
      </c>
      <c r="BA844" t="inlineStr">
        <is>
          <t>2257728450002656</t>
        </is>
      </c>
      <c r="BB844" t="inlineStr">
        <is>
          <t>BOOK</t>
        </is>
      </c>
      <c r="BD844" t="inlineStr">
        <is>
          <t>9780721618043</t>
        </is>
      </c>
      <c r="BE844" t="inlineStr">
        <is>
          <t>30001000975351</t>
        </is>
      </c>
      <c r="BF844" t="inlineStr">
        <is>
          <t>893287286</t>
        </is>
      </c>
    </row>
    <row r="845">
      <c r="A845" t="inlineStr">
        <is>
          <t>No</t>
        </is>
      </c>
      <c r="B845" t="inlineStr">
        <is>
          <t>CUHSL</t>
        </is>
      </c>
      <c r="C845" t="inlineStr">
        <is>
          <t>SHELVES</t>
        </is>
      </c>
      <c r="D845" t="inlineStr">
        <is>
          <t>WY 87 S347c 1979</t>
        </is>
      </c>
      <c r="E845" t="inlineStr">
        <is>
          <t>0                      WY 0087000S  347c        1979</t>
        </is>
      </c>
      <c r="F845" t="inlineStr">
        <is>
          <t>Coping with reality shock : the voices of experience / Claudia Schmalenberg, Marlene Kramer.</t>
        </is>
      </c>
      <c r="H845" t="inlineStr">
        <is>
          <t>No</t>
        </is>
      </c>
      <c r="I845" t="inlineStr">
        <is>
          <t>1</t>
        </is>
      </c>
      <c r="J845" t="inlineStr">
        <is>
          <t>No</t>
        </is>
      </c>
      <c r="K845" t="inlineStr">
        <is>
          <t>No</t>
        </is>
      </c>
      <c r="L845" t="inlineStr">
        <is>
          <t>0</t>
        </is>
      </c>
      <c r="M845" t="inlineStr">
        <is>
          <t>Schmalenberg, Claudia.</t>
        </is>
      </c>
      <c r="N845" t="inlineStr">
        <is>
          <t>Wakefield, Mass. : Nursing Resources, c1979.</t>
        </is>
      </c>
      <c r="O845" t="inlineStr">
        <is>
          <t>1979</t>
        </is>
      </c>
      <c r="P845" t="inlineStr">
        <is>
          <t>1st ed.</t>
        </is>
      </c>
      <c r="Q845" t="inlineStr">
        <is>
          <t>eng</t>
        </is>
      </c>
      <c r="R845" t="inlineStr">
        <is>
          <t>mau</t>
        </is>
      </c>
      <c r="T845" t="inlineStr">
        <is>
          <t xml:space="preserve">WY </t>
        </is>
      </c>
      <c r="U845" t="n">
        <v>2</v>
      </c>
      <c r="V845" t="n">
        <v>2</v>
      </c>
      <c r="W845" t="inlineStr">
        <is>
          <t>2008-09-17</t>
        </is>
      </c>
      <c r="X845" t="inlineStr">
        <is>
          <t>2008-09-17</t>
        </is>
      </c>
      <c r="Y845" t="inlineStr">
        <is>
          <t>1987-12-29</t>
        </is>
      </c>
      <c r="Z845" t="inlineStr">
        <is>
          <t>1987-12-29</t>
        </is>
      </c>
      <c r="AA845" t="n">
        <v>285</v>
      </c>
      <c r="AB845" t="n">
        <v>249</v>
      </c>
      <c r="AC845" t="n">
        <v>251</v>
      </c>
      <c r="AD845" t="n">
        <v>4</v>
      </c>
      <c r="AE845" t="n">
        <v>4</v>
      </c>
      <c r="AF845" t="n">
        <v>12</v>
      </c>
      <c r="AG845" t="n">
        <v>12</v>
      </c>
      <c r="AH845" t="n">
        <v>4</v>
      </c>
      <c r="AI845" t="n">
        <v>4</v>
      </c>
      <c r="AJ845" t="n">
        <v>2</v>
      </c>
      <c r="AK845" t="n">
        <v>2</v>
      </c>
      <c r="AL845" t="n">
        <v>6</v>
      </c>
      <c r="AM845" t="n">
        <v>6</v>
      </c>
      <c r="AN845" t="n">
        <v>3</v>
      </c>
      <c r="AO845" t="n">
        <v>3</v>
      </c>
      <c r="AP845" t="n">
        <v>0</v>
      </c>
      <c r="AQ845" t="n">
        <v>0</v>
      </c>
      <c r="AR845" t="inlineStr">
        <is>
          <t>No</t>
        </is>
      </c>
      <c r="AS845" t="inlineStr">
        <is>
          <t>Yes</t>
        </is>
      </c>
      <c r="AT845">
        <f>HYPERLINK("http://catalog.hathitrust.org/Record/000027909","HathiTrust Record")</f>
        <v/>
      </c>
      <c r="AU845">
        <f>HYPERLINK("https://creighton-primo.hosted.exlibrisgroup.com/primo-explore/search?tab=default_tab&amp;search_scope=EVERYTHING&amp;vid=01CRU&amp;lang=en_US&amp;offset=0&amp;query=any,contains,991001152209702656","Catalog Record")</f>
        <v/>
      </c>
      <c r="AV845">
        <f>HYPERLINK("http://www.worldcat.org/oclc/4668704","WorldCat Record")</f>
        <v/>
      </c>
      <c r="AW845" t="inlineStr">
        <is>
          <t>308080352:eng</t>
        </is>
      </c>
      <c r="AX845" t="inlineStr">
        <is>
          <t>4668704</t>
        </is>
      </c>
      <c r="AY845" t="inlineStr">
        <is>
          <t>991001152209702656</t>
        </is>
      </c>
      <c r="AZ845" t="inlineStr">
        <is>
          <t>991001152209702656</t>
        </is>
      </c>
      <c r="BA845" t="inlineStr">
        <is>
          <t>2259012160002656</t>
        </is>
      </c>
      <c r="BB845" t="inlineStr">
        <is>
          <t>BOOK</t>
        </is>
      </c>
      <c r="BD845" t="inlineStr">
        <is>
          <t>9780913654507</t>
        </is>
      </c>
      <c r="BE845" t="inlineStr">
        <is>
          <t>30001000296691</t>
        </is>
      </c>
      <c r="BF845" t="inlineStr">
        <is>
          <t>893121207</t>
        </is>
      </c>
    </row>
    <row r="846">
      <c r="A846" t="inlineStr">
        <is>
          <t>No</t>
        </is>
      </c>
      <c r="B846" t="inlineStr">
        <is>
          <t>CUHSL</t>
        </is>
      </c>
      <c r="C846" t="inlineStr">
        <is>
          <t>SHELVES</t>
        </is>
      </c>
      <c r="D846" t="inlineStr">
        <is>
          <t>WY 87 S399p 1972</t>
        </is>
      </c>
      <c r="E846" t="inlineStr">
        <is>
          <t>0                      WY 0087000S  399p        1972</t>
        </is>
      </c>
      <c r="F846" t="inlineStr">
        <is>
          <t>The psychodynamics of patient care / Lawrence H. Schwartz and Jane Linker Schwartz.</t>
        </is>
      </c>
      <c r="H846" t="inlineStr">
        <is>
          <t>No</t>
        </is>
      </c>
      <c r="I846" t="inlineStr">
        <is>
          <t>1</t>
        </is>
      </c>
      <c r="J846" t="inlineStr">
        <is>
          <t>No</t>
        </is>
      </c>
      <c r="K846" t="inlineStr">
        <is>
          <t>No</t>
        </is>
      </c>
      <c r="L846" t="inlineStr">
        <is>
          <t>0</t>
        </is>
      </c>
      <c r="M846" t="inlineStr">
        <is>
          <t>Schwartz, Lawrence H.</t>
        </is>
      </c>
      <c r="N846" t="inlineStr">
        <is>
          <t>Englewood Cliffs, NJ : Prentice-Hall, 1972.</t>
        </is>
      </c>
      <c r="O846" t="inlineStr">
        <is>
          <t>1972</t>
        </is>
      </c>
      <c r="Q846" t="inlineStr">
        <is>
          <t>eng</t>
        </is>
      </c>
      <c r="R846" t="inlineStr">
        <is>
          <t>nju</t>
        </is>
      </c>
      <c r="T846" t="inlineStr">
        <is>
          <t xml:space="preserve">WY </t>
        </is>
      </c>
      <c r="U846" t="n">
        <v>3</v>
      </c>
      <c r="V846" t="n">
        <v>3</v>
      </c>
      <c r="W846" t="inlineStr">
        <is>
          <t>2001-06-20</t>
        </is>
      </c>
      <c r="X846" t="inlineStr">
        <is>
          <t>2001-06-20</t>
        </is>
      </c>
      <c r="Y846" t="inlineStr">
        <is>
          <t>1988-01-05</t>
        </is>
      </c>
      <c r="Z846" t="inlineStr">
        <is>
          <t>1988-01-05</t>
        </is>
      </c>
      <c r="AA846" t="n">
        <v>268</v>
      </c>
      <c r="AB846" t="n">
        <v>214</v>
      </c>
      <c r="AC846" t="n">
        <v>223</v>
      </c>
      <c r="AD846" t="n">
        <v>2</v>
      </c>
      <c r="AE846" t="n">
        <v>2</v>
      </c>
      <c r="AF846" t="n">
        <v>11</v>
      </c>
      <c r="AG846" t="n">
        <v>11</v>
      </c>
      <c r="AH846" t="n">
        <v>3</v>
      </c>
      <c r="AI846" t="n">
        <v>3</v>
      </c>
      <c r="AJ846" t="n">
        <v>3</v>
      </c>
      <c r="AK846" t="n">
        <v>3</v>
      </c>
      <c r="AL846" t="n">
        <v>6</v>
      </c>
      <c r="AM846" t="n">
        <v>6</v>
      </c>
      <c r="AN846" t="n">
        <v>1</v>
      </c>
      <c r="AO846" t="n">
        <v>1</v>
      </c>
      <c r="AP846" t="n">
        <v>0</v>
      </c>
      <c r="AQ846" t="n">
        <v>0</v>
      </c>
      <c r="AR846" t="inlineStr">
        <is>
          <t>No</t>
        </is>
      </c>
      <c r="AS846" t="inlineStr">
        <is>
          <t>Yes</t>
        </is>
      </c>
      <c r="AT846">
        <f>HYPERLINK("http://catalog.hathitrust.org/Record/001574761","HathiTrust Record")</f>
        <v/>
      </c>
      <c r="AU846">
        <f>HYPERLINK("https://creighton-primo.hosted.exlibrisgroup.com/primo-explore/search?tab=default_tab&amp;search_scope=EVERYTHING&amp;vid=01CRU&amp;lang=en_US&amp;offset=0&amp;query=any,contains,991001152289702656","Catalog Record")</f>
        <v/>
      </c>
      <c r="AV846">
        <f>HYPERLINK("http://www.worldcat.org/oclc/286829","WorldCat Record")</f>
        <v/>
      </c>
      <c r="AW846" t="inlineStr">
        <is>
          <t>1456469:eng</t>
        </is>
      </c>
      <c r="AX846" t="inlineStr">
        <is>
          <t>286829</t>
        </is>
      </c>
      <c r="AY846" t="inlineStr">
        <is>
          <t>991001152289702656</t>
        </is>
      </c>
      <c r="AZ846" t="inlineStr">
        <is>
          <t>991001152289702656</t>
        </is>
      </c>
      <c r="BA846" t="inlineStr">
        <is>
          <t>2260871780002656</t>
        </is>
      </c>
      <c r="BB846" t="inlineStr">
        <is>
          <t>BOOK</t>
        </is>
      </c>
      <c r="BD846" t="inlineStr">
        <is>
          <t>9780137325863</t>
        </is>
      </c>
      <c r="BE846" t="inlineStr">
        <is>
          <t>30001000296709</t>
        </is>
      </c>
      <c r="BF846" t="inlineStr">
        <is>
          <t>893643265</t>
        </is>
      </c>
    </row>
    <row r="847">
      <c r="A847" t="inlineStr">
        <is>
          <t>No</t>
        </is>
      </c>
      <c r="B847" t="inlineStr">
        <is>
          <t>CUHSL</t>
        </is>
      </c>
      <c r="C847" t="inlineStr">
        <is>
          <t>SHELVES</t>
        </is>
      </c>
      <c r="D847" t="inlineStr">
        <is>
          <t>WY87 S544c 2005</t>
        </is>
      </c>
      <c r="E847" t="inlineStr">
        <is>
          <t>0                      WY 0087000S  544c        2005</t>
        </is>
      </c>
      <c r="F847" t="inlineStr">
        <is>
          <t>Communication for nurses : talking with patients / Lisa Kennedy Sheldon.</t>
        </is>
      </c>
      <c r="H847" t="inlineStr">
        <is>
          <t>No</t>
        </is>
      </c>
      <c r="I847" t="inlineStr">
        <is>
          <t>1</t>
        </is>
      </c>
      <c r="J847" t="inlineStr">
        <is>
          <t>No</t>
        </is>
      </c>
      <c r="K847" t="inlineStr">
        <is>
          <t>Yes</t>
        </is>
      </c>
      <c r="L847" t="inlineStr">
        <is>
          <t>0</t>
        </is>
      </c>
      <c r="M847" t="inlineStr">
        <is>
          <t>Sheldon, Lisa Kennedy.</t>
        </is>
      </c>
      <c r="N847" t="inlineStr">
        <is>
          <t>Boston : Jones and Bartlett, c2005.</t>
        </is>
      </c>
      <c r="O847" t="inlineStr">
        <is>
          <t>2005</t>
        </is>
      </c>
      <c r="Q847" t="inlineStr">
        <is>
          <t>eng</t>
        </is>
      </c>
      <c r="R847" t="inlineStr">
        <is>
          <t>mau</t>
        </is>
      </c>
      <c r="T847" t="inlineStr">
        <is>
          <t xml:space="preserve">WY </t>
        </is>
      </c>
      <c r="U847" t="n">
        <v>3</v>
      </c>
      <c r="V847" t="n">
        <v>3</v>
      </c>
      <c r="W847" t="inlineStr">
        <is>
          <t>2010-09-15</t>
        </is>
      </c>
      <c r="X847" t="inlineStr">
        <is>
          <t>2010-09-15</t>
        </is>
      </c>
      <c r="Y847" t="inlineStr">
        <is>
          <t>2006-04-20</t>
        </is>
      </c>
      <c r="Z847" t="inlineStr">
        <is>
          <t>2006-04-20</t>
        </is>
      </c>
      <c r="AA847" t="n">
        <v>210</v>
      </c>
      <c r="AB847" t="n">
        <v>155</v>
      </c>
      <c r="AC847" t="n">
        <v>701</v>
      </c>
      <c r="AD847" t="n">
        <v>2</v>
      </c>
      <c r="AE847" t="n">
        <v>4</v>
      </c>
      <c r="AF847" t="n">
        <v>3</v>
      </c>
      <c r="AG847" t="n">
        <v>22</v>
      </c>
      <c r="AH847" t="n">
        <v>2</v>
      </c>
      <c r="AI847" t="n">
        <v>8</v>
      </c>
      <c r="AJ847" t="n">
        <v>0</v>
      </c>
      <c r="AK847" t="n">
        <v>4</v>
      </c>
      <c r="AL847" t="n">
        <v>1</v>
      </c>
      <c r="AM847" t="n">
        <v>11</v>
      </c>
      <c r="AN847" t="n">
        <v>1</v>
      </c>
      <c r="AO847" t="n">
        <v>2</v>
      </c>
      <c r="AP847" t="n">
        <v>0</v>
      </c>
      <c r="AQ847" t="n">
        <v>0</v>
      </c>
      <c r="AR847" t="inlineStr">
        <is>
          <t>No</t>
        </is>
      </c>
      <c r="AS847" t="inlineStr">
        <is>
          <t>No</t>
        </is>
      </c>
      <c r="AU847">
        <f>HYPERLINK("https://creighton-primo.hosted.exlibrisgroup.com/primo-explore/search?tab=default_tab&amp;search_scope=EVERYTHING&amp;vid=01CRU&amp;lang=en_US&amp;offset=0&amp;query=any,contains,991000475939702656","Catalog Record")</f>
        <v/>
      </c>
      <c r="AV847">
        <f>HYPERLINK("http://www.worldcat.org/oclc/57937093","WorldCat Record")</f>
        <v/>
      </c>
      <c r="AW847" t="inlineStr">
        <is>
          <t>197057852:eng</t>
        </is>
      </c>
      <c r="AX847" t="inlineStr">
        <is>
          <t>57937093</t>
        </is>
      </c>
      <c r="AY847" t="inlineStr">
        <is>
          <t>991000475939702656</t>
        </is>
      </c>
      <c r="AZ847" t="inlineStr">
        <is>
          <t>991000475939702656</t>
        </is>
      </c>
      <c r="BA847" t="inlineStr">
        <is>
          <t>2258867070002656</t>
        </is>
      </c>
      <c r="BB847" t="inlineStr">
        <is>
          <t>BOOK</t>
        </is>
      </c>
      <c r="BD847" t="inlineStr">
        <is>
          <t>9780763735968</t>
        </is>
      </c>
      <c r="BE847" t="inlineStr">
        <is>
          <t>30001004914356</t>
        </is>
      </c>
      <c r="BF847" t="inlineStr">
        <is>
          <t>893733017</t>
        </is>
      </c>
    </row>
    <row r="848">
      <c r="A848" t="inlineStr">
        <is>
          <t>No</t>
        </is>
      </c>
      <c r="B848" t="inlineStr">
        <is>
          <t>CUHSL</t>
        </is>
      </c>
      <c r="C848" t="inlineStr">
        <is>
          <t>SHELVES</t>
        </is>
      </c>
      <c r="D848" t="inlineStr">
        <is>
          <t>WY 87 S545 1978</t>
        </is>
      </c>
      <c r="E848" t="inlineStr">
        <is>
          <t>0                      WY 0087000S  545         1978</t>
        </is>
      </c>
      <c r="F848" t="inlineStr">
        <is>
          <t>Spiritual care workbook : a companion to Spiritual care: the nurse's role / Judith Allen Shelly.</t>
        </is>
      </c>
      <c r="H848" t="inlineStr">
        <is>
          <t>No</t>
        </is>
      </c>
      <c r="I848" t="inlineStr">
        <is>
          <t>1</t>
        </is>
      </c>
      <c r="J848" t="inlineStr">
        <is>
          <t>No</t>
        </is>
      </c>
      <c r="K848" t="inlineStr">
        <is>
          <t>No</t>
        </is>
      </c>
      <c r="L848" t="inlineStr">
        <is>
          <t>0</t>
        </is>
      </c>
      <c r="M848" t="inlineStr">
        <is>
          <t>Shelly, Judith Allen.</t>
        </is>
      </c>
      <c r="N848" t="inlineStr">
        <is>
          <t>Downers Grove, IL : InterVarsity Press, c1978.</t>
        </is>
      </c>
      <c r="O848" t="inlineStr">
        <is>
          <t>1978</t>
        </is>
      </c>
      <c r="Q848" t="inlineStr">
        <is>
          <t>eng</t>
        </is>
      </c>
      <c r="R848" t="inlineStr">
        <is>
          <t>wiu</t>
        </is>
      </c>
      <c r="T848" t="inlineStr">
        <is>
          <t xml:space="preserve">WY </t>
        </is>
      </c>
      <c r="U848" t="n">
        <v>4</v>
      </c>
      <c r="V848" t="n">
        <v>4</v>
      </c>
      <c r="W848" t="inlineStr">
        <is>
          <t>1998-06-29</t>
        </is>
      </c>
      <c r="X848" t="inlineStr">
        <is>
          <t>1998-06-29</t>
        </is>
      </c>
      <c r="Y848" t="inlineStr">
        <is>
          <t>1987-12-29</t>
        </is>
      </c>
      <c r="Z848" t="inlineStr">
        <is>
          <t>1987-12-29</t>
        </is>
      </c>
      <c r="AA848" t="n">
        <v>43</v>
      </c>
      <c r="AB848" t="n">
        <v>38</v>
      </c>
      <c r="AC848" t="n">
        <v>38</v>
      </c>
      <c r="AD848" t="n">
        <v>2</v>
      </c>
      <c r="AE848" t="n">
        <v>2</v>
      </c>
      <c r="AF848" t="n">
        <v>5</v>
      </c>
      <c r="AG848" t="n">
        <v>5</v>
      </c>
      <c r="AH848" t="n">
        <v>1</v>
      </c>
      <c r="AI848" t="n">
        <v>1</v>
      </c>
      <c r="AJ848" t="n">
        <v>0</v>
      </c>
      <c r="AK848" t="n">
        <v>0</v>
      </c>
      <c r="AL848" t="n">
        <v>3</v>
      </c>
      <c r="AM848" t="n">
        <v>3</v>
      </c>
      <c r="AN848" t="n">
        <v>1</v>
      </c>
      <c r="AO848" t="n">
        <v>1</v>
      </c>
      <c r="AP848" t="n">
        <v>0</v>
      </c>
      <c r="AQ848" t="n">
        <v>0</v>
      </c>
      <c r="AR848" t="inlineStr">
        <is>
          <t>No</t>
        </is>
      </c>
      <c r="AS848" t="inlineStr">
        <is>
          <t>No</t>
        </is>
      </c>
      <c r="AU848">
        <f>HYPERLINK("https://creighton-primo.hosted.exlibrisgroup.com/primo-explore/search?tab=default_tab&amp;search_scope=EVERYTHING&amp;vid=01CRU&amp;lang=en_US&amp;offset=0&amp;query=any,contains,991001152309702656","Catalog Record")</f>
        <v/>
      </c>
      <c r="AV848">
        <f>HYPERLINK("http://www.worldcat.org/oclc/3856808","WorldCat Record")</f>
        <v/>
      </c>
      <c r="AW848" t="inlineStr">
        <is>
          <t>3373477814:eng</t>
        </is>
      </c>
      <c r="AX848" t="inlineStr">
        <is>
          <t>3856808</t>
        </is>
      </c>
      <c r="AY848" t="inlineStr">
        <is>
          <t>991001152309702656</t>
        </is>
      </c>
      <c r="AZ848" t="inlineStr">
        <is>
          <t>991001152309702656</t>
        </is>
      </c>
      <c r="BA848" t="inlineStr">
        <is>
          <t>2266583400002656</t>
        </is>
      </c>
      <c r="BB848" t="inlineStr">
        <is>
          <t>BOOK</t>
        </is>
      </c>
      <c r="BD848" t="inlineStr">
        <is>
          <t>9780877845072</t>
        </is>
      </c>
      <c r="BE848" t="inlineStr">
        <is>
          <t>30001000296717</t>
        </is>
      </c>
      <c r="BF848" t="inlineStr">
        <is>
          <t>893831949</t>
        </is>
      </c>
    </row>
    <row r="849">
      <c r="A849" t="inlineStr">
        <is>
          <t>No</t>
        </is>
      </c>
      <c r="B849" t="inlineStr">
        <is>
          <t>CUHSL</t>
        </is>
      </c>
      <c r="C849" t="inlineStr">
        <is>
          <t>SHELVES</t>
        </is>
      </c>
      <c r="D849" t="inlineStr">
        <is>
          <t>WY 87 S592n 1978</t>
        </is>
      </c>
      <c r="E849" t="inlineStr">
        <is>
          <t>0                      WY 0087000S  592n        1978</t>
        </is>
      </c>
      <c r="F849" t="inlineStr">
        <is>
          <t>The nurse person : developing perspectives for contemporary nursing / Lillian M. Simms, Janice B. Lindberg ; contributors, Harold W. Gold, Carol J. Schaupner.</t>
        </is>
      </c>
      <c r="H849" t="inlineStr">
        <is>
          <t>No</t>
        </is>
      </c>
      <c r="I849" t="inlineStr">
        <is>
          <t>1</t>
        </is>
      </c>
      <c r="J849" t="inlineStr">
        <is>
          <t>No</t>
        </is>
      </c>
      <c r="K849" t="inlineStr">
        <is>
          <t>No</t>
        </is>
      </c>
      <c r="L849" t="inlineStr">
        <is>
          <t>0</t>
        </is>
      </c>
      <c r="M849" t="inlineStr">
        <is>
          <t>Simms, Lillian M. (Lillian Margaret)</t>
        </is>
      </c>
      <c r="N849" t="inlineStr">
        <is>
          <t>New York : Harper &amp; Row, c1978.</t>
        </is>
      </c>
      <c r="O849" t="inlineStr">
        <is>
          <t>1978</t>
        </is>
      </c>
      <c r="Q849" t="inlineStr">
        <is>
          <t>eng</t>
        </is>
      </c>
      <c r="R849" t="inlineStr">
        <is>
          <t>nyu</t>
        </is>
      </c>
      <c r="T849" t="inlineStr">
        <is>
          <t xml:space="preserve">WY </t>
        </is>
      </c>
      <c r="U849" t="n">
        <v>3</v>
      </c>
      <c r="V849" t="n">
        <v>3</v>
      </c>
      <c r="W849" t="inlineStr">
        <is>
          <t>1988-03-20</t>
        </is>
      </c>
      <c r="X849" t="inlineStr">
        <is>
          <t>1988-03-20</t>
        </is>
      </c>
      <c r="Y849" t="inlineStr">
        <is>
          <t>1987-12-29</t>
        </is>
      </c>
      <c r="Z849" t="inlineStr">
        <is>
          <t>1987-12-29</t>
        </is>
      </c>
      <c r="AA849" t="n">
        <v>206</v>
      </c>
      <c r="AB849" t="n">
        <v>172</v>
      </c>
      <c r="AC849" t="n">
        <v>174</v>
      </c>
      <c r="AD849" t="n">
        <v>3</v>
      </c>
      <c r="AE849" t="n">
        <v>3</v>
      </c>
      <c r="AF849" t="n">
        <v>13</v>
      </c>
      <c r="AG849" t="n">
        <v>13</v>
      </c>
      <c r="AH849" t="n">
        <v>6</v>
      </c>
      <c r="AI849" t="n">
        <v>6</v>
      </c>
      <c r="AJ849" t="n">
        <v>1</v>
      </c>
      <c r="AK849" t="n">
        <v>1</v>
      </c>
      <c r="AL849" t="n">
        <v>5</v>
      </c>
      <c r="AM849" t="n">
        <v>5</v>
      </c>
      <c r="AN849" t="n">
        <v>2</v>
      </c>
      <c r="AO849" t="n">
        <v>2</v>
      </c>
      <c r="AP849" t="n">
        <v>0</v>
      </c>
      <c r="AQ849" t="n">
        <v>0</v>
      </c>
      <c r="AR849" t="inlineStr">
        <is>
          <t>No</t>
        </is>
      </c>
      <c r="AS849" t="inlineStr">
        <is>
          <t>Yes</t>
        </is>
      </c>
      <c r="AT849">
        <f>HYPERLINK("http://catalog.hathitrust.org/Record/000747327","HathiTrust Record")</f>
        <v/>
      </c>
      <c r="AU849">
        <f>HYPERLINK("https://creighton-primo.hosted.exlibrisgroup.com/primo-explore/search?tab=default_tab&amp;search_scope=EVERYTHING&amp;vid=01CRU&amp;lang=en_US&amp;offset=0&amp;query=any,contains,991001152349702656","Catalog Record")</f>
        <v/>
      </c>
      <c r="AV849">
        <f>HYPERLINK("http://www.worldcat.org/oclc/3275416","WorldCat Record")</f>
        <v/>
      </c>
      <c r="AW849" t="inlineStr">
        <is>
          <t>9310769:eng</t>
        </is>
      </c>
      <c r="AX849" t="inlineStr">
        <is>
          <t>3275416</t>
        </is>
      </c>
      <c r="AY849" t="inlineStr">
        <is>
          <t>991001152349702656</t>
        </is>
      </c>
      <c r="AZ849" t="inlineStr">
        <is>
          <t>991001152349702656</t>
        </is>
      </c>
      <c r="BA849" t="inlineStr">
        <is>
          <t>2255564570002656</t>
        </is>
      </c>
      <c r="BB849" t="inlineStr">
        <is>
          <t>BOOK</t>
        </is>
      </c>
      <c r="BD849" t="inlineStr">
        <is>
          <t>9780060462161</t>
        </is>
      </c>
      <c r="BE849" t="inlineStr">
        <is>
          <t>30001000296725</t>
        </is>
      </c>
      <c r="BF849" t="inlineStr">
        <is>
          <t>893820992</t>
        </is>
      </c>
    </row>
    <row r="850">
      <c r="A850" t="inlineStr">
        <is>
          <t>No</t>
        </is>
      </c>
      <c r="B850" t="inlineStr">
        <is>
          <t>CUHSL</t>
        </is>
      </c>
      <c r="C850" t="inlineStr">
        <is>
          <t>SHELVES</t>
        </is>
      </c>
      <c r="D850" t="inlineStr">
        <is>
          <t>WY 87 S661c 1992</t>
        </is>
      </c>
      <c r="E850" t="inlineStr">
        <is>
          <t>0                      WY 0087000S  661c        1992</t>
        </is>
      </c>
      <c r="F850" t="inlineStr">
        <is>
          <t>Communications in nursing : communicating assertively and responsibly in nursing : a guidebook / Susan Smith.</t>
        </is>
      </c>
      <c r="H850" t="inlineStr">
        <is>
          <t>No</t>
        </is>
      </c>
      <c r="I850" t="inlineStr">
        <is>
          <t>1</t>
        </is>
      </c>
      <c r="J850" t="inlineStr">
        <is>
          <t>No</t>
        </is>
      </c>
      <c r="K850" t="inlineStr">
        <is>
          <t>No</t>
        </is>
      </c>
      <c r="L850" t="inlineStr">
        <is>
          <t>0</t>
        </is>
      </c>
      <c r="M850" t="inlineStr">
        <is>
          <t>Smith, Susan, 1946-</t>
        </is>
      </c>
      <c r="N850" t="inlineStr">
        <is>
          <t>St. Louis : Mosby Year Book, c1992.</t>
        </is>
      </c>
      <c r="O850" t="inlineStr">
        <is>
          <t>1992</t>
        </is>
      </c>
      <c r="P850" t="inlineStr">
        <is>
          <t>2nd ed.</t>
        </is>
      </c>
      <c r="Q850" t="inlineStr">
        <is>
          <t>eng</t>
        </is>
      </c>
      <c r="R850" t="inlineStr">
        <is>
          <t>mou</t>
        </is>
      </c>
      <c r="T850" t="inlineStr">
        <is>
          <t xml:space="preserve">WY </t>
        </is>
      </c>
      <c r="U850" t="n">
        <v>9</v>
      </c>
      <c r="V850" t="n">
        <v>9</v>
      </c>
      <c r="W850" t="inlineStr">
        <is>
          <t>1998-10-21</t>
        </is>
      </c>
      <c r="X850" t="inlineStr">
        <is>
          <t>1998-10-21</t>
        </is>
      </c>
      <c r="Y850" t="inlineStr">
        <is>
          <t>1993-03-25</t>
        </is>
      </c>
      <c r="Z850" t="inlineStr">
        <is>
          <t>1993-03-25</t>
        </is>
      </c>
      <c r="AA850" t="n">
        <v>405</v>
      </c>
      <c r="AB850" t="n">
        <v>319</v>
      </c>
      <c r="AC850" t="n">
        <v>328</v>
      </c>
      <c r="AD850" t="n">
        <v>1</v>
      </c>
      <c r="AE850" t="n">
        <v>1</v>
      </c>
      <c r="AF850" t="n">
        <v>7</v>
      </c>
      <c r="AG850" t="n">
        <v>7</v>
      </c>
      <c r="AH850" t="n">
        <v>4</v>
      </c>
      <c r="AI850" t="n">
        <v>4</v>
      </c>
      <c r="AJ850" t="n">
        <v>1</v>
      </c>
      <c r="AK850" t="n">
        <v>1</v>
      </c>
      <c r="AL850" t="n">
        <v>5</v>
      </c>
      <c r="AM850" t="n">
        <v>5</v>
      </c>
      <c r="AN850" t="n">
        <v>0</v>
      </c>
      <c r="AO850" t="n">
        <v>0</v>
      </c>
      <c r="AP850" t="n">
        <v>0</v>
      </c>
      <c r="AQ850" t="n">
        <v>0</v>
      </c>
      <c r="AR850" t="inlineStr">
        <is>
          <t>No</t>
        </is>
      </c>
      <c r="AS850" t="inlineStr">
        <is>
          <t>Yes</t>
        </is>
      </c>
      <c r="AT850">
        <f>HYPERLINK("http://catalog.hathitrust.org/Record/002611720","HathiTrust Record")</f>
        <v/>
      </c>
      <c r="AU850">
        <f>HYPERLINK("https://creighton-primo.hosted.exlibrisgroup.com/primo-explore/search?tab=default_tab&amp;search_scope=EVERYTHING&amp;vid=01CRU&amp;lang=en_US&amp;offset=0&amp;query=any,contains,991001471499702656","Catalog Record")</f>
        <v/>
      </c>
      <c r="AV850">
        <f>HYPERLINK("http://www.worldcat.org/oclc/24319409","WorldCat Record")</f>
        <v/>
      </c>
      <c r="AW850" t="inlineStr">
        <is>
          <t>11728864:eng</t>
        </is>
      </c>
      <c r="AX850" t="inlineStr">
        <is>
          <t>24319409</t>
        </is>
      </c>
      <c r="AY850" t="inlineStr">
        <is>
          <t>991001471499702656</t>
        </is>
      </c>
      <c r="AZ850" t="inlineStr">
        <is>
          <t>991001471499702656</t>
        </is>
      </c>
      <c r="BA850" t="inlineStr">
        <is>
          <t>2272111960002656</t>
        </is>
      </c>
      <c r="BB850" t="inlineStr">
        <is>
          <t>BOOK</t>
        </is>
      </c>
      <c r="BD850" t="inlineStr">
        <is>
          <t>9780801663574</t>
        </is>
      </c>
      <c r="BE850" t="inlineStr">
        <is>
          <t>30001002563114</t>
        </is>
      </c>
      <c r="BF850" t="inlineStr">
        <is>
          <t>893826781</t>
        </is>
      </c>
    </row>
    <row r="851">
      <c r="A851" t="inlineStr">
        <is>
          <t>No</t>
        </is>
      </c>
      <c r="B851" t="inlineStr">
        <is>
          <t>CUHSL</t>
        </is>
      </c>
      <c r="C851" t="inlineStr">
        <is>
          <t>SHELVES</t>
        </is>
      </c>
      <c r="D851" t="inlineStr">
        <is>
          <t>WY 87 S75951 2008</t>
        </is>
      </c>
      <c r="E851" t="inlineStr">
        <is>
          <t>0                      WY 0087000S  75951       2008</t>
        </is>
      </c>
      <c r="F851" t="inlineStr">
        <is>
          <t>Spiritual dimensions of nursing practice / edited by Verna Benner Carson and Harold G. Koenig.</t>
        </is>
      </c>
      <c r="H851" t="inlineStr">
        <is>
          <t>No</t>
        </is>
      </c>
      <c r="I851" t="inlineStr">
        <is>
          <t>1</t>
        </is>
      </c>
      <c r="J851" t="inlineStr">
        <is>
          <t>No</t>
        </is>
      </c>
      <c r="K851" t="inlineStr">
        <is>
          <t>No</t>
        </is>
      </c>
      <c r="L851" t="inlineStr">
        <is>
          <t>1</t>
        </is>
      </c>
      <c r="N851" t="inlineStr">
        <is>
          <t>West Conshohocken, Pa. : Templeton Foundation Press, c2008.</t>
        </is>
      </c>
      <c r="O851" t="inlineStr">
        <is>
          <t>2008</t>
        </is>
      </c>
      <c r="P851" t="inlineStr">
        <is>
          <t>Rev. ed.</t>
        </is>
      </c>
      <c r="Q851" t="inlineStr">
        <is>
          <t>eng</t>
        </is>
      </c>
      <c r="R851" t="inlineStr">
        <is>
          <t>pau</t>
        </is>
      </c>
      <c r="T851" t="inlineStr">
        <is>
          <t xml:space="preserve">WY </t>
        </is>
      </c>
      <c r="U851" t="n">
        <v>2</v>
      </c>
      <c r="V851" t="n">
        <v>2</v>
      </c>
      <c r="W851" t="inlineStr">
        <is>
          <t>2009-09-08</t>
        </is>
      </c>
      <c r="X851" t="inlineStr">
        <is>
          <t>2009-09-08</t>
        </is>
      </c>
      <c r="Y851" t="inlineStr">
        <is>
          <t>2009-05-29</t>
        </is>
      </c>
      <c r="Z851" t="inlineStr">
        <is>
          <t>2009-05-29</t>
        </is>
      </c>
      <c r="AA851" t="n">
        <v>357</v>
      </c>
      <c r="AB851" t="n">
        <v>303</v>
      </c>
      <c r="AC851" t="n">
        <v>1558</v>
      </c>
      <c r="AD851" t="n">
        <v>2</v>
      </c>
      <c r="AE851" t="n">
        <v>16</v>
      </c>
      <c r="AF851" t="n">
        <v>13</v>
      </c>
      <c r="AG851" t="n">
        <v>58</v>
      </c>
      <c r="AH851" t="n">
        <v>7</v>
      </c>
      <c r="AI851" t="n">
        <v>21</v>
      </c>
      <c r="AJ851" t="n">
        <v>2</v>
      </c>
      <c r="AK851" t="n">
        <v>9</v>
      </c>
      <c r="AL851" t="n">
        <v>5</v>
      </c>
      <c r="AM851" t="n">
        <v>21</v>
      </c>
      <c r="AN851" t="n">
        <v>0</v>
      </c>
      <c r="AO851" t="n">
        <v>13</v>
      </c>
      <c r="AP851" t="n">
        <v>0</v>
      </c>
      <c r="AQ851" t="n">
        <v>3</v>
      </c>
      <c r="AR851" t="inlineStr">
        <is>
          <t>No</t>
        </is>
      </c>
      <c r="AS851" t="inlineStr">
        <is>
          <t>No</t>
        </is>
      </c>
      <c r="AU851">
        <f>HYPERLINK("https://creighton-primo.hosted.exlibrisgroup.com/primo-explore/search?tab=default_tab&amp;search_scope=EVERYTHING&amp;vid=01CRU&amp;lang=en_US&amp;offset=0&amp;query=any,contains,991001466789702656","Catalog Record")</f>
        <v/>
      </c>
      <c r="AV851">
        <f>HYPERLINK("http://www.worldcat.org/oclc/225389320","WorldCat Record")</f>
        <v/>
      </c>
      <c r="AW851" t="inlineStr">
        <is>
          <t>1258946536:eng</t>
        </is>
      </c>
      <c r="AX851" t="inlineStr">
        <is>
          <t>225389320</t>
        </is>
      </c>
      <c r="AY851" t="inlineStr">
        <is>
          <t>991001466789702656</t>
        </is>
      </c>
      <c r="AZ851" t="inlineStr">
        <is>
          <t>991001466789702656</t>
        </is>
      </c>
      <c r="BA851" t="inlineStr">
        <is>
          <t>2260134320002656</t>
        </is>
      </c>
      <c r="BB851" t="inlineStr">
        <is>
          <t>BOOK</t>
        </is>
      </c>
      <c r="BD851" t="inlineStr">
        <is>
          <t>9781599471457</t>
        </is>
      </c>
      <c r="BE851" t="inlineStr">
        <is>
          <t>30001004916971</t>
        </is>
      </c>
      <c r="BF851" t="inlineStr">
        <is>
          <t>893541431</t>
        </is>
      </c>
    </row>
    <row r="852">
      <c r="A852" t="inlineStr">
        <is>
          <t>No</t>
        </is>
      </c>
      <c r="B852" t="inlineStr">
        <is>
          <t>CUHSL</t>
        </is>
      </c>
      <c r="C852" t="inlineStr">
        <is>
          <t>SHELVES</t>
        </is>
      </c>
      <c r="D852" t="inlineStr">
        <is>
          <t>WY 87 S796h 1975</t>
        </is>
      </c>
      <c r="E852" t="inlineStr">
        <is>
          <t>0                      WY 0087000S  796h        1975</t>
        </is>
      </c>
      <c r="F852" t="inlineStr">
        <is>
          <t>Human development and behavior : psychology in nursing / Bernard D. Starr, Harris S. Goldstein ; with a foreword by Anne J. Doyle.</t>
        </is>
      </c>
      <c r="H852" t="inlineStr">
        <is>
          <t>No</t>
        </is>
      </c>
      <c r="I852" t="inlineStr">
        <is>
          <t>1</t>
        </is>
      </c>
      <c r="J852" t="inlineStr">
        <is>
          <t>No</t>
        </is>
      </c>
      <c r="K852" t="inlineStr">
        <is>
          <t>No</t>
        </is>
      </c>
      <c r="L852" t="inlineStr">
        <is>
          <t>0</t>
        </is>
      </c>
      <c r="M852" t="inlineStr">
        <is>
          <t>Starr, Bernard D.</t>
        </is>
      </c>
      <c r="N852" t="inlineStr">
        <is>
          <t>New York : Springer, c1975.</t>
        </is>
      </c>
      <c r="O852" t="inlineStr">
        <is>
          <t>1975</t>
        </is>
      </c>
      <c r="Q852" t="inlineStr">
        <is>
          <t>eng</t>
        </is>
      </c>
      <c r="R852" t="inlineStr">
        <is>
          <t>nyu</t>
        </is>
      </c>
      <c r="T852" t="inlineStr">
        <is>
          <t xml:space="preserve">WY </t>
        </is>
      </c>
      <c r="U852" t="n">
        <v>2</v>
      </c>
      <c r="V852" t="n">
        <v>2</v>
      </c>
      <c r="W852" t="inlineStr">
        <is>
          <t>1991-06-24</t>
        </is>
      </c>
      <c r="X852" t="inlineStr">
        <is>
          <t>1991-06-24</t>
        </is>
      </c>
      <c r="Y852" t="inlineStr">
        <is>
          <t>1987-12-29</t>
        </is>
      </c>
      <c r="Z852" t="inlineStr">
        <is>
          <t>1987-12-29</t>
        </is>
      </c>
      <c r="AA852" t="n">
        <v>204</v>
      </c>
      <c r="AB852" t="n">
        <v>167</v>
      </c>
      <c r="AC852" t="n">
        <v>172</v>
      </c>
      <c r="AD852" t="n">
        <v>1</v>
      </c>
      <c r="AE852" t="n">
        <v>1</v>
      </c>
      <c r="AF852" t="n">
        <v>6</v>
      </c>
      <c r="AG852" t="n">
        <v>6</v>
      </c>
      <c r="AH852" t="n">
        <v>2</v>
      </c>
      <c r="AI852" t="n">
        <v>2</v>
      </c>
      <c r="AJ852" t="n">
        <v>0</v>
      </c>
      <c r="AK852" t="n">
        <v>0</v>
      </c>
      <c r="AL852" t="n">
        <v>4</v>
      </c>
      <c r="AM852" t="n">
        <v>4</v>
      </c>
      <c r="AN852" t="n">
        <v>0</v>
      </c>
      <c r="AO852" t="n">
        <v>0</v>
      </c>
      <c r="AP852" t="n">
        <v>0</v>
      </c>
      <c r="AQ852" t="n">
        <v>0</v>
      </c>
      <c r="AR852" t="inlineStr">
        <is>
          <t>No</t>
        </is>
      </c>
      <c r="AS852" t="inlineStr">
        <is>
          <t>No</t>
        </is>
      </c>
      <c r="AU852">
        <f>HYPERLINK("https://creighton-primo.hosted.exlibrisgroup.com/primo-explore/search?tab=default_tab&amp;search_scope=EVERYTHING&amp;vid=01CRU&amp;lang=en_US&amp;offset=0&amp;query=any,contains,991001152379702656","Catalog Record")</f>
        <v/>
      </c>
      <c r="AV852">
        <f>HYPERLINK("http://www.worldcat.org/oclc/1169799","WorldCat Record")</f>
        <v/>
      </c>
      <c r="AW852" t="inlineStr">
        <is>
          <t>360345589:eng</t>
        </is>
      </c>
      <c r="AX852" t="inlineStr">
        <is>
          <t>1169799</t>
        </is>
      </c>
      <c r="AY852" t="inlineStr">
        <is>
          <t>991001152379702656</t>
        </is>
      </c>
      <c r="AZ852" t="inlineStr">
        <is>
          <t>991001152379702656</t>
        </is>
      </c>
      <c r="BA852" t="inlineStr">
        <is>
          <t>2266533320002656</t>
        </is>
      </c>
      <c r="BB852" t="inlineStr">
        <is>
          <t>BOOK</t>
        </is>
      </c>
      <c r="BD852" t="inlineStr">
        <is>
          <t>9780826115508</t>
        </is>
      </c>
      <c r="BE852" t="inlineStr">
        <is>
          <t>30001000296733</t>
        </is>
      </c>
      <c r="BF852" t="inlineStr">
        <is>
          <t>893268144</t>
        </is>
      </c>
    </row>
    <row r="853">
      <c r="A853" t="inlineStr">
        <is>
          <t>No</t>
        </is>
      </c>
      <c r="B853" t="inlineStr">
        <is>
          <t>CUHSL</t>
        </is>
      </c>
      <c r="C853" t="inlineStr">
        <is>
          <t>SHELVES</t>
        </is>
      </c>
      <c r="D853" t="inlineStr">
        <is>
          <t>WY 87 S811p 1982</t>
        </is>
      </c>
      <c r="E853" t="inlineStr">
        <is>
          <t>0                      WY 0087000S  811p        1982</t>
        </is>
      </c>
      <c r="F853" t="inlineStr">
        <is>
          <t>Patient contracting / Susan Boehm Steckel.</t>
        </is>
      </c>
      <c r="H853" t="inlineStr">
        <is>
          <t>No</t>
        </is>
      </c>
      <c r="I853" t="inlineStr">
        <is>
          <t>1</t>
        </is>
      </c>
      <c r="J853" t="inlineStr">
        <is>
          <t>No</t>
        </is>
      </c>
      <c r="K853" t="inlineStr">
        <is>
          <t>No</t>
        </is>
      </c>
      <c r="L853" t="inlineStr">
        <is>
          <t>0</t>
        </is>
      </c>
      <c r="M853" t="inlineStr">
        <is>
          <t>Steckel, Susan Boehm.</t>
        </is>
      </c>
      <c r="N853" t="inlineStr">
        <is>
          <t>New York : Appleton-Century-Crofts, c1982.</t>
        </is>
      </c>
      <c r="O853" t="inlineStr">
        <is>
          <t>1982</t>
        </is>
      </c>
      <c r="Q853" t="inlineStr">
        <is>
          <t>eng</t>
        </is>
      </c>
      <c r="R853" t="inlineStr">
        <is>
          <t>nyu</t>
        </is>
      </c>
      <c r="T853" t="inlineStr">
        <is>
          <t xml:space="preserve">WY </t>
        </is>
      </c>
      <c r="U853" t="n">
        <v>5</v>
      </c>
      <c r="V853" t="n">
        <v>5</v>
      </c>
      <c r="W853" t="inlineStr">
        <is>
          <t>1995-11-02</t>
        </is>
      </c>
      <c r="X853" t="inlineStr">
        <is>
          <t>1995-11-02</t>
        </is>
      </c>
      <c r="Y853" t="inlineStr">
        <is>
          <t>1987-12-29</t>
        </is>
      </c>
      <c r="Z853" t="inlineStr">
        <is>
          <t>1987-12-29</t>
        </is>
      </c>
      <c r="AA853" t="n">
        <v>179</v>
      </c>
      <c r="AB853" t="n">
        <v>142</v>
      </c>
      <c r="AC853" t="n">
        <v>144</v>
      </c>
      <c r="AD853" t="n">
        <v>1</v>
      </c>
      <c r="AE853" t="n">
        <v>1</v>
      </c>
      <c r="AF853" t="n">
        <v>4</v>
      </c>
      <c r="AG853" t="n">
        <v>4</v>
      </c>
      <c r="AH853" t="n">
        <v>2</v>
      </c>
      <c r="AI853" t="n">
        <v>2</v>
      </c>
      <c r="AJ853" t="n">
        <v>0</v>
      </c>
      <c r="AK853" t="n">
        <v>0</v>
      </c>
      <c r="AL853" t="n">
        <v>3</v>
      </c>
      <c r="AM853" t="n">
        <v>3</v>
      </c>
      <c r="AN853" t="n">
        <v>0</v>
      </c>
      <c r="AO853" t="n">
        <v>0</v>
      </c>
      <c r="AP853" t="n">
        <v>0</v>
      </c>
      <c r="AQ853" t="n">
        <v>0</v>
      </c>
      <c r="AR853" t="inlineStr">
        <is>
          <t>No</t>
        </is>
      </c>
      <c r="AS853" t="inlineStr">
        <is>
          <t>Yes</t>
        </is>
      </c>
      <c r="AT853">
        <f>HYPERLINK("http://catalog.hathitrust.org/Record/000307386","HathiTrust Record")</f>
        <v/>
      </c>
      <c r="AU853">
        <f>HYPERLINK("https://creighton-primo.hosted.exlibrisgroup.com/primo-explore/search?tab=default_tab&amp;search_scope=EVERYTHING&amp;vid=01CRU&amp;lang=en_US&amp;offset=0&amp;query=any,contains,991001152419702656","Catalog Record")</f>
        <v/>
      </c>
      <c r="AV853">
        <f>HYPERLINK("http://www.worldcat.org/oclc/8110656","WorldCat Record")</f>
        <v/>
      </c>
      <c r="AW853" t="inlineStr">
        <is>
          <t>503052:eng</t>
        </is>
      </c>
      <c r="AX853" t="inlineStr">
        <is>
          <t>8110656</t>
        </is>
      </c>
      <c r="AY853" t="inlineStr">
        <is>
          <t>991001152419702656</t>
        </is>
      </c>
      <c r="AZ853" t="inlineStr">
        <is>
          <t>991001152419702656</t>
        </is>
      </c>
      <c r="BA853" t="inlineStr">
        <is>
          <t>2255785930002656</t>
        </is>
      </c>
      <c r="BB853" t="inlineStr">
        <is>
          <t>BOOK</t>
        </is>
      </c>
      <c r="BD853" t="inlineStr">
        <is>
          <t>9780838577684</t>
        </is>
      </c>
      <c r="BE853" t="inlineStr">
        <is>
          <t>30001000296741</t>
        </is>
      </c>
      <c r="BF853" t="inlineStr">
        <is>
          <t>893369146</t>
        </is>
      </c>
    </row>
    <row r="854">
      <c r="A854" t="inlineStr">
        <is>
          <t>No</t>
        </is>
      </c>
      <c r="B854" t="inlineStr">
        <is>
          <t>CUHSL</t>
        </is>
      </c>
      <c r="C854" t="inlineStr">
        <is>
          <t>SHELVES</t>
        </is>
      </c>
      <c r="D854" t="inlineStr">
        <is>
          <t>WY 87 S814c 1981</t>
        </is>
      </c>
      <c r="E854" t="inlineStr">
        <is>
          <t>0                      WY 0087000S  814c        1981</t>
        </is>
      </c>
      <c r="F854" t="inlineStr">
        <is>
          <t>Creativity in nursing (and other professions) / Shirley M. Steele and Frank L. Maraviglia.</t>
        </is>
      </c>
      <c r="H854" t="inlineStr">
        <is>
          <t>No</t>
        </is>
      </c>
      <c r="I854" t="inlineStr">
        <is>
          <t>1</t>
        </is>
      </c>
      <c r="J854" t="inlineStr">
        <is>
          <t>No</t>
        </is>
      </c>
      <c r="K854" t="inlineStr">
        <is>
          <t>No</t>
        </is>
      </c>
      <c r="L854" t="inlineStr">
        <is>
          <t>0</t>
        </is>
      </c>
      <c r="M854" t="inlineStr">
        <is>
          <t>Steele, Shirley.</t>
        </is>
      </c>
      <c r="N854" t="inlineStr">
        <is>
          <t>Thorofare, N.J. : C.B. Slack, c1981.</t>
        </is>
      </c>
      <c r="O854" t="inlineStr">
        <is>
          <t>1981</t>
        </is>
      </c>
      <c r="Q854" t="inlineStr">
        <is>
          <t>eng</t>
        </is>
      </c>
      <c r="R854" t="inlineStr">
        <is>
          <t>nju</t>
        </is>
      </c>
      <c r="T854" t="inlineStr">
        <is>
          <t xml:space="preserve">WY </t>
        </is>
      </c>
      <c r="U854" t="n">
        <v>6</v>
      </c>
      <c r="V854" t="n">
        <v>6</v>
      </c>
      <c r="W854" t="inlineStr">
        <is>
          <t>1991-09-21</t>
        </is>
      </c>
      <c r="X854" t="inlineStr">
        <is>
          <t>1991-09-21</t>
        </is>
      </c>
      <c r="Y854" t="inlineStr">
        <is>
          <t>1987-12-29</t>
        </is>
      </c>
      <c r="Z854" t="inlineStr">
        <is>
          <t>1987-12-29</t>
        </is>
      </c>
      <c r="AA854" t="n">
        <v>217</v>
      </c>
      <c r="AB854" t="n">
        <v>188</v>
      </c>
      <c r="AC854" t="n">
        <v>195</v>
      </c>
      <c r="AD854" t="n">
        <v>1</v>
      </c>
      <c r="AE854" t="n">
        <v>1</v>
      </c>
      <c r="AF854" t="n">
        <v>10</v>
      </c>
      <c r="AG854" t="n">
        <v>10</v>
      </c>
      <c r="AH854" t="n">
        <v>3</v>
      </c>
      <c r="AI854" t="n">
        <v>3</v>
      </c>
      <c r="AJ854" t="n">
        <v>3</v>
      </c>
      <c r="AK854" t="n">
        <v>3</v>
      </c>
      <c r="AL854" t="n">
        <v>6</v>
      </c>
      <c r="AM854" t="n">
        <v>6</v>
      </c>
      <c r="AN854" t="n">
        <v>0</v>
      </c>
      <c r="AO854" t="n">
        <v>0</v>
      </c>
      <c r="AP854" t="n">
        <v>0</v>
      </c>
      <c r="AQ854" t="n">
        <v>0</v>
      </c>
      <c r="AR854" t="inlineStr">
        <is>
          <t>No</t>
        </is>
      </c>
      <c r="AS854" t="inlineStr">
        <is>
          <t>Yes</t>
        </is>
      </c>
      <c r="AT854">
        <f>HYPERLINK("http://catalog.hathitrust.org/Record/000105004","HathiTrust Record")</f>
        <v/>
      </c>
      <c r="AU854">
        <f>HYPERLINK("https://creighton-primo.hosted.exlibrisgroup.com/primo-explore/search?tab=default_tab&amp;search_scope=EVERYTHING&amp;vid=01CRU&amp;lang=en_US&amp;offset=0&amp;query=any,contains,991001152449702656","Catalog Record")</f>
        <v/>
      </c>
      <c r="AV854">
        <f>HYPERLINK("http://www.worldcat.org/oclc/7647168","WorldCat Record")</f>
        <v/>
      </c>
      <c r="AW854" t="inlineStr">
        <is>
          <t>558417:eng</t>
        </is>
      </c>
      <c r="AX854" t="inlineStr">
        <is>
          <t>7647168</t>
        </is>
      </c>
      <c r="AY854" t="inlineStr">
        <is>
          <t>991001152449702656</t>
        </is>
      </c>
      <c r="AZ854" t="inlineStr">
        <is>
          <t>991001152449702656</t>
        </is>
      </c>
      <c r="BA854" t="inlineStr">
        <is>
          <t>2265615490002656</t>
        </is>
      </c>
      <c r="BB854" t="inlineStr">
        <is>
          <t>BOOK</t>
        </is>
      </c>
      <c r="BD854" t="inlineStr">
        <is>
          <t>9780913590737</t>
        </is>
      </c>
      <c r="BE854" t="inlineStr">
        <is>
          <t>30001000296758</t>
        </is>
      </c>
      <c r="BF854" t="inlineStr">
        <is>
          <t>893541063</t>
        </is>
      </c>
    </row>
    <row r="855">
      <c r="A855" t="inlineStr">
        <is>
          <t>No</t>
        </is>
      </c>
      <c r="B855" t="inlineStr">
        <is>
          <t>CUHSL</t>
        </is>
      </c>
      <c r="C855" t="inlineStr">
        <is>
          <t>SHELVES</t>
        </is>
      </c>
      <c r="D855" t="inlineStr">
        <is>
          <t>WY87 T4615L 2002</t>
        </is>
      </c>
      <c r="E855" t="inlineStr">
        <is>
          <t>0                      WY 0087000T  4615L       2002</t>
        </is>
      </c>
      <c r="F855" t="inlineStr">
        <is>
          <t>Listening to patients : a phenomenological approach to nursing research and practice / Sandra P. Thomas, Howard R. Pollio.</t>
        </is>
      </c>
      <c r="H855" t="inlineStr">
        <is>
          <t>No</t>
        </is>
      </c>
      <c r="I855" t="inlineStr">
        <is>
          <t>1</t>
        </is>
      </c>
      <c r="J855" t="inlineStr">
        <is>
          <t>No</t>
        </is>
      </c>
      <c r="K855" t="inlineStr">
        <is>
          <t>No</t>
        </is>
      </c>
      <c r="L855" t="inlineStr">
        <is>
          <t>1</t>
        </is>
      </c>
      <c r="M855" t="inlineStr">
        <is>
          <t>Thomas, Sandra P.</t>
        </is>
      </c>
      <c r="N855" t="inlineStr">
        <is>
          <t>New York : Springer Pub. Co., c2002.</t>
        </is>
      </c>
      <c r="O855" t="inlineStr">
        <is>
          <t>2002</t>
        </is>
      </c>
      <c r="Q855" t="inlineStr">
        <is>
          <t>eng</t>
        </is>
      </c>
      <c r="R855" t="inlineStr">
        <is>
          <t>nyu</t>
        </is>
      </c>
      <c r="T855" t="inlineStr">
        <is>
          <t xml:space="preserve">WY </t>
        </is>
      </c>
      <c r="U855" t="n">
        <v>1</v>
      </c>
      <c r="V855" t="n">
        <v>1</v>
      </c>
      <c r="W855" t="inlineStr">
        <is>
          <t>2002-12-10</t>
        </is>
      </c>
      <c r="X855" t="inlineStr">
        <is>
          <t>2002-12-10</t>
        </is>
      </c>
      <c r="Y855" t="inlineStr">
        <is>
          <t>2002-04-22</t>
        </is>
      </c>
      <c r="Z855" t="inlineStr">
        <is>
          <t>2002-04-22</t>
        </is>
      </c>
      <c r="AA855" t="n">
        <v>549</v>
      </c>
      <c r="AB855" t="n">
        <v>467</v>
      </c>
      <c r="AC855" t="n">
        <v>1378</v>
      </c>
      <c r="AD855" t="n">
        <v>2</v>
      </c>
      <c r="AE855" t="n">
        <v>14</v>
      </c>
      <c r="AF855" t="n">
        <v>28</v>
      </c>
      <c r="AG855" t="n">
        <v>58</v>
      </c>
      <c r="AH855" t="n">
        <v>13</v>
      </c>
      <c r="AI855" t="n">
        <v>22</v>
      </c>
      <c r="AJ855" t="n">
        <v>6</v>
      </c>
      <c r="AK855" t="n">
        <v>11</v>
      </c>
      <c r="AL855" t="n">
        <v>14</v>
      </c>
      <c r="AM855" t="n">
        <v>21</v>
      </c>
      <c r="AN855" t="n">
        <v>1</v>
      </c>
      <c r="AO855" t="n">
        <v>12</v>
      </c>
      <c r="AP855" t="n">
        <v>0</v>
      </c>
      <c r="AQ855" t="n">
        <v>2</v>
      </c>
      <c r="AR855" t="inlineStr">
        <is>
          <t>No</t>
        </is>
      </c>
      <c r="AS855" t="inlineStr">
        <is>
          <t>Yes</t>
        </is>
      </c>
      <c r="AT855">
        <f>HYPERLINK("http://catalog.hathitrust.org/Record/004212976","HathiTrust Record")</f>
        <v/>
      </c>
      <c r="AU855">
        <f>HYPERLINK("https://creighton-primo.hosted.exlibrisgroup.com/primo-explore/search?tab=default_tab&amp;search_scope=EVERYTHING&amp;vid=01CRU&amp;lang=en_US&amp;offset=0&amp;query=any,contains,991000308449702656","Catalog Record")</f>
        <v/>
      </c>
      <c r="AV855">
        <f>HYPERLINK("http://www.worldcat.org/oclc/46928686","WorldCat Record")</f>
        <v/>
      </c>
      <c r="AW855" t="inlineStr">
        <is>
          <t>794238562:eng</t>
        </is>
      </c>
      <c r="AX855" t="inlineStr">
        <is>
          <t>46928686</t>
        </is>
      </c>
      <c r="AY855" t="inlineStr">
        <is>
          <t>991000308449702656</t>
        </is>
      </c>
      <c r="AZ855" t="inlineStr">
        <is>
          <t>991000308449702656</t>
        </is>
      </c>
      <c r="BA855" t="inlineStr">
        <is>
          <t>2263414520002656</t>
        </is>
      </c>
      <c r="BB855" t="inlineStr">
        <is>
          <t>BOOK</t>
        </is>
      </c>
      <c r="BD855" t="inlineStr">
        <is>
          <t>9780826114662</t>
        </is>
      </c>
      <c r="BE855" t="inlineStr">
        <is>
          <t>30001004237469</t>
        </is>
      </c>
      <c r="BF855" t="inlineStr">
        <is>
          <t>893832754</t>
        </is>
      </c>
    </row>
    <row r="856">
      <c r="A856" t="inlineStr">
        <is>
          <t>No</t>
        </is>
      </c>
      <c r="B856" t="inlineStr">
        <is>
          <t>CUHSL</t>
        </is>
      </c>
      <c r="C856" t="inlineStr">
        <is>
          <t>SHELVES</t>
        </is>
      </c>
      <c r="D856" t="inlineStr">
        <is>
          <t>WY 87 T7715 1991</t>
        </is>
      </c>
      <c r="E856" t="inlineStr">
        <is>
          <t>0                      WY 0087000T  7715        1991</t>
        </is>
      </c>
      <c r="F856" t="inlineStr">
        <is>
          <t>Transcultural nursing : assessment and intervention / [edited by] Joyce Newman Giger, Ruth Elaine Davidhizar.</t>
        </is>
      </c>
      <c r="H856" t="inlineStr">
        <is>
          <t>No</t>
        </is>
      </c>
      <c r="I856" t="inlineStr">
        <is>
          <t>1</t>
        </is>
      </c>
      <c r="J856" t="inlineStr">
        <is>
          <t>No</t>
        </is>
      </c>
      <c r="K856" t="inlineStr">
        <is>
          <t>Yes</t>
        </is>
      </c>
      <c r="L856" t="inlineStr">
        <is>
          <t>0</t>
        </is>
      </c>
      <c r="N856" t="inlineStr">
        <is>
          <t>St. Louis : Mosby, c1991.</t>
        </is>
      </c>
      <c r="O856" t="inlineStr">
        <is>
          <t>1991</t>
        </is>
      </c>
      <c r="Q856" t="inlineStr">
        <is>
          <t>eng</t>
        </is>
      </c>
      <c r="R856" t="inlineStr">
        <is>
          <t>mou</t>
        </is>
      </c>
      <c r="T856" t="inlineStr">
        <is>
          <t xml:space="preserve">WY </t>
        </is>
      </c>
      <c r="U856" t="n">
        <v>30</v>
      </c>
      <c r="V856" t="n">
        <v>30</v>
      </c>
      <c r="W856" t="inlineStr">
        <is>
          <t>1999-11-09</t>
        </is>
      </c>
      <c r="X856" t="inlineStr">
        <is>
          <t>1999-11-09</t>
        </is>
      </c>
      <c r="Y856" t="inlineStr">
        <is>
          <t>1990-11-28</t>
        </is>
      </c>
      <c r="Z856" t="inlineStr">
        <is>
          <t>1990-11-28</t>
        </is>
      </c>
      <c r="AA856" t="n">
        <v>322</v>
      </c>
      <c r="AB856" t="n">
        <v>268</v>
      </c>
      <c r="AC856" t="n">
        <v>1146</v>
      </c>
      <c r="AD856" t="n">
        <v>1</v>
      </c>
      <c r="AE856" t="n">
        <v>7</v>
      </c>
      <c r="AF856" t="n">
        <v>8</v>
      </c>
      <c r="AG856" t="n">
        <v>31</v>
      </c>
      <c r="AH856" t="n">
        <v>4</v>
      </c>
      <c r="AI856" t="n">
        <v>11</v>
      </c>
      <c r="AJ856" t="n">
        <v>1</v>
      </c>
      <c r="AK856" t="n">
        <v>6</v>
      </c>
      <c r="AL856" t="n">
        <v>5</v>
      </c>
      <c r="AM856" t="n">
        <v>16</v>
      </c>
      <c r="AN856" t="n">
        <v>0</v>
      </c>
      <c r="AO856" t="n">
        <v>5</v>
      </c>
      <c r="AP856" t="n">
        <v>0</v>
      </c>
      <c r="AQ856" t="n">
        <v>0</v>
      </c>
      <c r="AR856" t="inlineStr">
        <is>
          <t>No</t>
        </is>
      </c>
      <c r="AS856" t="inlineStr">
        <is>
          <t>Yes</t>
        </is>
      </c>
      <c r="AT856">
        <f>HYPERLINK("http://catalog.hathitrust.org/Record/002475347","HathiTrust Record")</f>
        <v/>
      </c>
      <c r="AU856">
        <f>HYPERLINK("https://creighton-primo.hosted.exlibrisgroup.com/primo-explore/search?tab=default_tab&amp;search_scope=EVERYTHING&amp;vid=01CRU&amp;lang=en_US&amp;offset=0&amp;query=any,contains,991000781179702656","Catalog Record")</f>
        <v/>
      </c>
      <c r="AV856">
        <f>HYPERLINK("http://www.worldcat.org/oclc/21558701","WorldCat Record")</f>
        <v/>
      </c>
      <c r="AW856" t="inlineStr">
        <is>
          <t>836955562:eng</t>
        </is>
      </c>
      <c r="AX856" t="inlineStr">
        <is>
          <t>21558701</t>
        </is>
      </c>
      <c r="AY856" t="inlineStr">
        <is>
          <t>991000781179702656</t>
        </is>
      </c>
      <c r="AZ856" t="inlineStr">
        <is>
          <t>991000781179702656</t>
        </is>
      </c>
      <c r="BA856" t="inlineStr">
        <is>
          <t>2271179290002656</t>
        </is>
      </c>
      <c r="BB856" t="inlineStr">
        <is>
          <t>BOOK</t>
        </is>
      </c>
      <c r="BD856" t="inlineStr">
        <is>
          <t>9780801619281</t>
        </is>
      </c>
      <c r="BE856" t="inlineStr">
        <is>
          <t>30001002064634</t>
        </is>
      </c>
      <c r="BF856" t="inlineStr">
        <is>
          <t>893637443</t>
        </is>
      </c>
    </row>
    <row r="857">
      <c r="A857" t="inlineStr">
        <is>
          <t>No</t>
        </is>
      </c>
      <c r="B857" t="inlineStr">
        <is>
          <t>CUHSL</t>
        </is>
      </c>
      <c r="C857" t="inlineStr">
        <is>
          <t>SHELVES</t>
        </is>
      </c>
      <c r="D857" t="inlineStr">
        <is>
          <t>WY 87 T779i 1971</t>
        </is>
      </c>
      <c r="E857" t="inlineStr">
        <is>
          <t>0                      WY 0087000T  779i        1971</t>
        </is>
      </c>
      <c r="F857" t="inlineStr">
        <is>
          <t>Interpersonal aspects of nursing.</t>
        </is>
      </c>
      <c r="H857" t="inlineStr">
        <is>
          <t>No</t>
        </is>
      </c>
      <c r="I857" t="inlineStr">
        <is>
          <t>1</t>
        </is>
      </c>
      <c r="J857" t="inlineStr">
        <is>
          <t>No</t>
        </is>
      </c>
      <c r="K857" t="inlineStr">
        <is>
          <t>No</t>
        </is>
      </c>
      <c r="L857" t="inlineStr">
        <is>
          <t>0</t>
        </is>
      </c>
      <c r="M857" t="inlineStr">
        <is>
          <t>Travelbee, Joyce.</t>
        </is>
      </c>
      <c r="N857" t="inlineStr">
        <is>
          <t>Philadelphia, PA : F.A. Davis Co., 1971.</t>
        </is>
      </c>
      <c r="O857" t="inlineStr">
        <is>
          <t>1971</t>
        </is>
      </c>
      <c r="P857" t="inlineStr">
        <is>
          <t>2nd ed.</t>
        </is>
      </c>
      <c r="Q857" t="inlineStr">
        <is>
          <t>eng</t>
        </is>
      </c>
      <c r="R857" t="inlineStr">
        <is>
          <t>pau</t>
        </is>
      </c>
      <c r="T857" t="inlineStr">
        <is>
          <t xml:space="preserve">WY </t>
        </is>
      </c>
      <c r="U857" t="n">
        <v>7</v>
      </c>
      <c r="V857" t="n">
        <v>7</v>
      </c>
      <c r="W857" t="inlineStr">
        <is>
          <t>2010-08-19</t>
        </is>
      </c>
      <c r="X857" t="inlineStr">
        <is>
          <t>2010-08-19</t>
        </is>
      </c>
      <c r="Y857" t="inlineStr">
        <is>
          <t>1988-01-05</t>
        </is>
      </c>
      <c r="Z857" t="inlineStr">
        <is>
          <t>1988-01-05</t>
        </is>
      </c>
      <c r="AA857" t="n">
        <v>311</v>
      </c>
      <c r="AB857" t="n">
        <v>252</v>
      </c>
      <c r="AC857" t="n">
        <v>323</v>
      </c>
      <c r="AD857" t="n">
        <v>4</v>
      </c>
      <c r="AE857" t="n">
        <v>5</v>
      </c>
      <c r="AF857" t="n">
        <v>19</v>
      </c>
      <c r="AG857" t="n">
        <v>23</v>
      </c>
      <c r="AH857" t="n">
        <v>9</v>
      </c>
      <c r="AI857" t="n">
        <v>11</v>
      </c>
      <c r="AJ857" t="n">
        <v>3</v>
      </c>
      <c r="AK857" t="n">
        <v>4</v>
      </c>
      <c r="AL857" t="n">
        <v>10</v>
      </c>
      <c r="AM857" t="n">
        <v>11</v>
      </c>
      <c r="AN857" t="n">
        <v>2</v>
      </c>
      <c r="AO857" t="n">
        <v>3</v>
      </c>
      <c r="AP857" t="n">
        <v>0</v>
      </c>
      <c r="AQ857" t="n">
        <v>0</v>
      </c>
      <c r="AR857" t="inlineStr">
        <is>
          <t>No</t>
        </is>
      </c>
      <c r="AS857" t="inlineStr">
        <is>
          <t>No</t>
        </is>
      </c>
      <c r="AU857">
        <f>HYPERLINK("https://creighton-primo.hosted.exlibrisgroup.com/primo-explore/search?tab=default_tab&amp;search_scope=EVERYTHING&amp;vid=01CRU&amp;lang=en_US&amp;offset=0&amp;query=any,contains,991001152549702656","Catalog Record")</f>
        <v/>
      </c>
      <c r="AV857">
        <f>HYPERLINK("http://www.worldcat.org/oclc/157323","WorldCat Record")</f>
        <v/>
      </c>
      <c r="AW857" t="inlineStr">
        <is>
          <t>1193395:eng</t>
        </is>
      </c>
      <c r="AX857" t="inlineStr">
        <is>
          <t>157323</t>
        </is>
      </c>
      <c r="AY857" t="inlineStr">
        <is>
          <t>991001152549702656</t>
        </is>
      </c>
      <c r="AZ857" t="inlineStr">
        <is>
          <t>991001152549702656</t>
        </is>
      </c>
      <c r="BA857" t="inlineStr">
        <is>
          <t>2256092970002656</t>
        </is>
      </c>
      <c r="BB857" t="inlineStr">
        <is>
          <t>BOOK</t>
        </is>
      </c>
      <c r="BD857" t="inlineStr">
        <is>
          <t>9780803686014</t>
        </is>
      </c>
      <c r="BE857" t="inlineStr">
        <is>
          <t>30001000296782</t>
        </is>
      </c>
      <c r="BF857" t="inlineStr">
        <is>
          <t>893465236</t>
        </is>
      </c>
    </row>
    <row r="858">
      <c r="A858" t="inlineStr">
        <is>
          <t>No</t>
        </is>
      </c>
      <c r="B858" t="inlineStr">
        <is>
          <t>CUHSL</t>
        </is>
      </c>
      <c r="C858" t="inlineStr">
        <is>
          <t>SHELVES</t>
        </is>
      </c>
      <c r="D858" t="inlineStr">
        <is>
          <t>WY 87 U33n 1963</t>
        </is>
      </c>
      <c r="E858" t="inlineStr">
        <is>
          <t>0                      WY 0087000U  33n         1963</t>
        </is>
      </c>
      <c r="F858" t="inlineStr">
        <is>
          <t>The nurse and her problem patients.</t>
        </is>
      </c>
      <c r="H858" t="inlineStr">
        <is>
          <t>No</t>
        </is>
      </c>
      <c r="I858" t="inlineStr">
        <is>
          <t>1</t>
        </is>
      </c>
      <c r="J858" t="inlineStr">
        <is>
          <t>No</t>
        </is>
      </c>
      <c r="K858" t="inlineStr">
        <is>
          <t>No</t>
        </is>
      </c>
      <c r="L858" t="inlineStr">
        <is>
          <t>0</t>
        </is>
      </c>
      <c r="M858" t="inlineStr">
        <is>
          <t>Ujhely, Gertrud B. (Gertrud Bertrand)</t>
        </is>
      </c>
      <c r="N858" t="inlineStr">
        <is>
          <t>New York, NY : Springer Pub. Co. 1963.</t>
        </is>
      </c>
      <c r="O858" t="inlineStr">
        <is>
          <t>1963</t>
        </is>
      </c>
      <c r="Q858" t="inlineStr">
        <is>
          <t>eng</t>
        </is>
      </c>
      <c r="R858" t="inlineStr">
        <is>
          <t>nyu</t>
        </is>
      </c>
      <c r="T858" t="inlineStr">
        <is>
          <t xml:space="preserve">WY </t>
        </is>
      </c>
      <c r="U858" t="n">
        <v>1</v>
      </c>
      <c r="V858" t="n">
        <v>1</v>
      </c>
      <c r="W858" t="inlineStr">
        <is>
          <t>1995-07-19</t>
        </is>
      </c>
      <c r="X858" t="inlineStr">
        <is>
          <t>1995-07-19</t>
        </is>
      </c>
      <c r="Y858" t="inlineStr">
        <is>
          <t>1988-01-09</t>
        </is>
      </c>
      <c r="Z858" t="inlineStr">
        <is>
          <t>1988-01-09</t>
        </is>
      </c>
      <c r="AA858" t="n">
        <v>177</v>
      </c>
      <c r="AB858" t="n">
        <v>156</v>
      </c>
      <c r="AC858" t="n">
        <v>169</v>
      </c>
      <c r="AD858" t="n">
        <v>2</v>
      </c>
      <c r="AE858" t="n">
        <v>2</v>
      </c>
      <c r="AF858" t="n">
        <v>6</v>
      </c>
      <c r="AG858" t="n">
        <v>6</v>
      </c>
      <c r="AH858" t="n">
        <v>1</v>
      </c>
      <c r="AI858" t="n">
        <v>1</v>
      </c>
      <c r="AJ858" t="n">
        <v>1</v>
      </c>
      <c r="AK858" t="n">
        <v>1</v>
      </c>
      <c r="AL858" t="n">
        <v>3</v>
      </c>
      <c r="AM858" t="n">
        <v>3</v>
      </c>
      <c r="AN858" t="n">
        <v>1</v>
      </c>
      <c r="AO858" t="n">
        <v>1</v>
      </c>
      <c r="AP858" t="n">
        <v>0</v>
      </c>
      <c r="AQ858" t="n">
        <v>0</v>
      </c>
      <c r="AR858" t="inlineStr">
        <is>
          <t>Yes</t>
        </is>
      </c>
      <c r="AS858" t="inlineStr">
        <is>
          <t>No</t>
        </is>
      </c>
      <c r="AT858">
        <f>HYPERLINK("http://catalog.hathitrust.org/Record/002071692","HathiTrust Record")</f>
        <v/>
      </c>
      <c r="AU858">
        <f>HYPERLINK("https://creighton-primo.hosted.exlibrisgroup.com/primo-explore/search?tab=default_tab&amp;search_scope=EVERYTHING&amp;vid=01CRU&amp;lang=en_US&amp;offset=0&amp;query=any,contains,991001152589702656","Catalog Record")</f>
        <v/>
      </c>
      <c r="AV858">
        <f>HYPERLINK("http://www.worldcat.org/oclc/312815","WorldCat Record")</f>
        <v/>
      </c>
      <c r="AW858" t="inlineStr">
        <is>
          <t>1376284:eng</t>
        </is>
      </c>
      <c r="AX858" t="inlineStr">
        <is>
          <t>312815</t>
        </is>
      </c>
      <c r="AY858" t="inlineStr">
        <is>
          <t>991001152589702656</t>
        </is>
      </c>
      <c r="AZ858" t="inlineStr">
        <is>
          <t>991001152589702656</t>
        </is>
      </c>
      <c r="BA858" t="inlineStr">
        <is>
          <t>2271226140002656</t>
        </is>
      </c>
      <c r="BB858" t="inlineStr">
        <is>
          <t>BOOK</t>
        </is>
      </c>
      <c r="BE858" t="inlineStr">
        <is>
          <t>30001000296790</t>
        </is>
      </c>
      <c r="BF858" t="inlineStr">
        <is>
          <t>893552189</t>
        </is>
      </c>
    </row>
    <row r="859">
      <c r="A859" t="inlineStr">
        <is>
          <t>No</t>
        </is>
      </c>
      <c r="B859" t="inlineStr">
        <is>
          <t>CUHSL</t>
        </is>
      </c>
      <c r="C859" t="inlineStr">
        <is>
          <t>SHELVES</t>
        </is>
      </c>
      <c r="D859" t="inlineStr">
        <is>
          <t>WY87 W951s 2005</t>
        </is>
      </c>
      <c r="E859" t="inlineStr">
        <is>
          <t>0                      WY 0087000W  951s        2005</t>
        </is>
      </c>
      <c r="F859" t="inlineStr">
        <is>
          <t>Spirituality, suffering, and illness : ideas for healing / Lorraine M. Wright.</t>
        </is>
      </c>
      <c r="H859" t="inlineStr">
        <is>
          <t>No</t>
        </is>
      </c>
      <c r="I859" t="inlineStr">
        <is>
          <t>1</t>
        </is>
      </c>
      <c r="J859" t="inlineStr">
        <is>
          <t>No</t>
        </is>
      </c>
      <c r="K859" t="inlineStr">
        <is>
          <t>No</t>
        </is>
      </c>
      <c r="L859" t="inlineStr">
        <is>
          <t>0</t>
        </is>
      </c>
      <c r="M859" t="inlineStr">
        <is>
          <t>Wright, Lorraine M., 1944-</t>
        </is>
      </c>
      <c r="N859" t="inlineStr">
        <is>
          <t>Philadelphia : F.A. Davis Co., c2005.</t>
        </is>
      </c>
      <c r="O859" t="inlineStr">
        <is>
          <t>2005</t>
        </is>
      </c>
      <c r="Q859" t="inlineStr">
        <is>
          <t>eng</t>
        </is>
      </c>
      <c r="R859" t="inlineStr">
        <is>
          <t>pau</t>
        </is>
      </c>
      <c r="T859" t="inlineStr">
        <is>
          <t xml:space="preserve">WY </t>
        </is>
      </c>
      <c r="U859" t="n">
        <v>5</v>
      </c>
      <c r="V859" t="n">
        <v>5</v>
      </c>
      <c r="W859" t="inlineStr">
        <is>
          <t>2009-06-04</t>
        </is>
      </c>
      <c r="X859" t="inlineStr">
        <is>
          <t>2009-06-04</t>
        </is>
      </c>
      <c r="Y859" t="inlineStr">
        <is>
          <t>2006-02-09</t>
        </is>
      </c>
      <c r="Z859" t="inlineStr">
        <is>
          <t>2006-02-09</t>
        </is>
      </c>
      <c r="AA859" t="n">
        <v>323</v>
      </c>
      <c r="AB859" t="n">
        <v>248</v>
      </c>
      <c r="AC859" t="n">
        <v>568</v>
      </c>
      <c r="AD859" t="n">
        <v>1</v>
      </c>
      <c r="AE859" t="n">
        <v>12</v>
      </c>
      <c r="AF859" t="n">
        <v>11</v>
      </c>
      <c r="AG859" t="n">
        <v>23</v>
      </c>
      <c r="AH859" t="n">
        <v>7</v>
      </c>
      <c r="AI859" t="n">
        <v>12</v>
      </c>
      <c r="AJ859" t="n">
        <v>2</v>
      </c>
      <c r="AK859" t="n">
        <v>3</v>
      </c>
      <c r="AL859" t="n">
        <v>4</v>
      </c>
      <c r="AM859" t="n">
        <v>4</v>
      </c>
      <c r="AN859" t="n">
        <v>0</v>
      </c>
      <c r="AO859" t="n">
        <v>7</v>
      </c>
      <c r="AP859" t="n">
        <v>0</v>
      </c>
      <c r="AQ859" t="n">
        <v>0</v>
      </c>
      <c r="AR859" t="inlineStr">
        <is>
          <t>No</t>
        </is>
      </c>
      <c r="AS859" t="inlineStr">
        <is>
          <t>No</t>
        </is>
      </c>
      <c r="AU859">
        <f>HYPERLINK("https://creighton-primo.hosted.exlibrisgroup.com/primo-explore/search?tab=default_tab&amp;search_scope=EVERYTHING&amp;vid=01CRU&amp;lang=en_US&amp;offset=0&amp;query=any,contains,991000463679702656","Catalog Record")</f>
        <v/>
      </c>
      <c r="AV859">
        <f>HYPERLINK("http://www.worldcat.org/oclc/55494911","WorldCat Record")</f>
        <v/>
      </c>
      <c r="AW859" t="inlineStr">
        <is>
          <t>802034306:eng</t>
        </is>
      </c>
      <c r="AX859" t="inlineStr">
        <is>
          <t>55494911</t>
        </is>
      </c>
      <c r="AY859" t="inlineStr">
        <is>
          <t>991000463679702656</t>
        </is>
      </c>
      <c r="AZ859" t="inlineStr">
        <is>
          <t>991000463679702656</t>
        </is>
      </c>
      <c r="BA859" t="inlineStr">
        <is>
          <t>2263651490002656</t>
        </is>
      </c>
      <c r="BB859" t="inlineStr">
        <is>
          <t>BOOK</t>
        </is>
      </c>
      <c r="BD859" t="inlineStr">
        <is>
          <t>9780803611719</t>
        </is>
      </c>
      <c r="BE859" t="inlineStr">
        <is>
          <t>30001004912772</t>
        </is>
      </c>
      <c r="BF859" t="inlineStr">
        <is>
          <t>893817118</t>
        </is>
      </c>
    </row>
    <row r="860">
      <c r="A860" t="inlineStr">
        <is>
          <t>No</t>
        </is>
      </c>
      <c r="B860" t="inlineStr">
        <is>
          <t>CUHSL</t>
        </is>
      </c>
      <c r="C860" t="inlineStr">
        <is>
          <t>SHELVES</t>
        </is>
      </c>
      <c r="D860" t="inlineStr">
        <is>
          <t>WY 90 P977n 1997</t>
        </is>
      </c>
      <c r="E860" t="inlineStr">
        <is>
          <t>0                      WY 0090000P  977n        1997</t>
        </is>
      </c>
      <c r="F860" t="inlineStr">
        <is>
          <t>The nurse consultant's handbook / Belinda Puetz, Linda J. Shinn.</t>
        </is>
      </c>
      <c r="H860" t="inlineStr">
        <is>
          <t>No</t>
        </is>
      </c>
      <c r="I860" t="inlineStr">
        <is>
          <t>1</t>
        </is>
      </c>
      <c r="J860" t="inlineStr">
        <is>
          <t>No</t>
        </is>
      </c>
      <c r="K860" t="inlineStr">
        <is>
          <t>No</t>
        </is>
      </c>
      <c r="L860" t="inlineStr">
        <is>
          <t>0</t>
        </is>
      </c>
      <c r="M860" t="inlineStr">
        <is>
          <t>Puetz, Belinda E.</t>
        </is>
      </c>
      <c r="N860" t="inlineStr">
        <is>
          <t>New York, NY : Springer Pub. Co., c1997.</t>
        </is>
      </c>
      <c r="O860" t="inlineStr">
        <is>
          <t>1997</t>
        </is>
      </c>
      <c r="Q860" t="inlineStr">
        <is>
          <t>eng</t>
        </is>
      </c>
      <c r="R860" t="inlineStr">
        <is>
          <t>nyu</t>
        </is>
      </c>
      <c r="T860" t="inlineStr">
        <is>
          <t xml:space="preserve">WY </t>
        </is>
      </c>
      <c r="U860" t="n">
        <v>4</v>
      </c>
      <c r="V860" t="n">
        <v>4</v>
      </c>
      <c r="W860" t="inlineStr">
        <is>
          <t>1998-09-30</t>
        </is>
      </c>
      <c r="X860" t="inlineStr">
        <is>
          <t>1998-09-30</t>
        </is>
      </c>
      <c r="Y860" t="inlineStr">
        <is>
          <t>1998-07-29</t>
        </is>
      </c>
      <c r="Z860" t="inlineStr">
        <is>
          <t>1998-07-29</t>
        </is>
      </c>
      <c r="AA860" t="n">
        <v>166</v>
      </c>
      <c r="AB860" t="n">
        <v>140</v>
      </c>
      <c r="AC860" t="n">
        <v>142</v>
      </c>
      <c r="AD860" t="n">
        <v>1</v>
      </c>
      <c r="AE860" t="n">
        <v>1</v>
      </c>
      <c r="AF860" t="n">
        <v>7</v>
      </c>
      <c r="AG860" t="n">
        <v>7</v>
      </c>
      <c r="AH860" t="n">
        <v>4</v>
      </c>
      <c r="AI860" t="n">
        <v>4</v>
      </c>
      <c r="AJ860" t="n">
        <v>0</v>
      </c>
      <c r="AK860" t="n">
        <v>0</v>
      </c>
      <c r="AL860" t="n">
        <v>6</v>
      </c>
      <c r="AM860" t="n">
        <v>6</v>
      </c>
      <c r="AN860" t="n">
        <v>0</v>
      </c>
      <c r="AO860" t="n">
        <v>0</v>
      </c>
      <c r="AP860" t="n">
        <v>0</v>
      </c>
      <c r="AQ860" t="n">
        <v>0</v>
      </c>
      <c r="AR860" t="inlineStr">
        <is>
          <t>No</t>
        </is>
      </c>
      <c r="AS860" t="inlineStr">
        <is>
          <t>Yes</t>
        </is>
      </c>
      <c r="AT860">
        <f>HYPERLINK("http://catalog.hathitrust.org/Record/003130009","HathiTrust Record")</f>
        <v/>
      </c>
      <c r="AU860">
        <f>HYPERLINK("https://creighton-primo.hosted.exlibrisgroup.com/primo-explore/search?tab=default_tab&amp;search_scope=EVERYTHING&amp;vid=01CRU&amp;lang=en_US&amp;offset=0&amp;query=any,contains,991001569219702656","Catalog Record")</f>
        <v/>
      </c>
      <c r="AV860">
        <f>HYPERLINK("http://www.worldcat.org/oclc/35741782","WorldCat Record")</f>
        <v/>
      </c>
      <c r="AW860" t="inlineStr">
        <is>
          <t>968387:eng</t>
        </is>
      </c>
      <c r="AX860" t="inlineStr">
        <is>
          <t>35741782</t>
        </is>
      </c>
      <c r="AY860" t="inlineStr">
        <is>
          <t>991001569219702656</t>
        </is>
      </c>
      <c r="AZ860" t="inlineStr">
        <is>
          <t>991001569219702656</t>
        </is>
      </c>
      <c r="BA860" t="inlineStr">
        <is>
          <t>2260231220002656</t>
        </is>
      </c>
      <c r="BB860" t="inlineStr">
        <is>
          <t>BOOK</t>
        </is>
      </c>
      <c r="BD860" t="inlineStr">
        <is>
          <t>9780826195203</t>
        </is>
      </c>
      <c r="BE860" t="inlineStr">
        <is>
          <t>30001004090512</t>
        </is>
      </c>
      <c r="BF860" t="inlineStr">
        <is>
          <t>893541518</t>
        </is>
      </c>
    </row>
    <row r="861">
      <c r="A861" t="inlineStr">
        <is>
          <t>No</t>
        </is>
      </c>
      <c r="B861" t="inlineStr">
        <is>
          <t>CUHSL</t>
        </is>
      </c>
      <c r="C861" t="inlineStr">
        <is>
          <t>SHELVES</t>
        </is>
      </c>
      <c r="D861" t="inlineStr">
        <is>
          <t>WY 100 A227 1983</t>
        </is>
      </c>
      <c r="E861" t="inlineStr">
        <is>
          <t>0                      WY 0100000A  227         1983</t>
        </is>
      </c>
      <c r="F861" t="inlineStr">
        <is>
          <t>The Addison-Wesley manual of nursing practice / Dolores F. Saxton ... [et al.].</t>
        </is>
      </c>
      <c r="H861" t="inlineStr">
        <is>
          <t>No</t>
        </is>
      </c>
      <c r="I861" t="inlineStr">
        <is>
          <t>1</t>
        </is>
      </c>
      <c r="J861" t="inlineStr">
        <is>
          <t>No</t>
        </is>
      </c>
      <c r="K861" t="inlineStr">
        <is>
          <t>No</t>
        </is>
      </c>
      <c r="L861" t="inlineStr">
        <is>
          <t>0</t>
        </is>
      </c>
      <c r="N861" t="inlineStr">
        <is>
          <t>Menlo Park, Calif. : Addison-Wesley Pub. Co., c1983.</t>
        </is>
      </c>
      <c r="O861" t="inlineStr">
        <is>
          <t>1983</t>
        </is>
      </c>
      <c r="Q861" t="inlineStr">
        <is>
          <t>eng</t>
        </is>
      </c>
      <c r="R861" t="inlineStr">
        <is>
          <t>xxu</t>
        </is>
      </c>
      <c r="T861" t="inlineStr">
        <is>
          <t xml:space="preserve">WY </t>
        </is>
      </c>
      <c r="U861" t="n">
        <v>3</v>
      </c>
      <c r="V861" t="n">
        <v>3</v>
      </c>
      <c r="W861" t="inlineStr">
        <is>
          <t>1990-10-25</t>
        </is>
      </c>
      <c r="X861" t="inlineStr">
        <is>
          <t>1990-10-25</t>
        </is>
      </c>
      <c r="Y861" t="inlineStr">
        <is>
          <t>1987-12-29</t>
        </is>
      </c>
      <c r="Z861" t="inlineStr">
        <is>
          <t>1987-12-29</t>
        </is>
      </c>
      <c r="AA861" t="n">
        <v>47</v>
      </c>
      <c r="AB861" t="n">
        <v>40</v>
      </c>
      <c r="AC861" t="n">
        <v>169</v>
      </c>
      <c r="AD861" t="n">
        <v>1</v>
      </c>
      <c r="AE861" t="n">
        <v>1</v>
      </c>
      <c r="AF861" t="n">
        <v>0</v>
      </c>
      <c r="AG861" t="n">
        <v>4</v>
      </c>
      <c r="AH861" t="n">
        <v>0</v>
      </c>
      <c r="AI861" t="n">
        <v>3</v>
      </c>
      <c r="AJ861" t="n">
        <v>0</v>
      </c>
      <c r="AK861" t="n">
        <v>1</v>
      </c>
      <c r="AL861" t="n">
        <v>0</v>
      </c>
      <c r="AM861" t="n">
        <v>1</v>
      </c>
      <c r="AN861" t="n">
        <v>0</v>
      </c>
      <c r="AO861" t="n">
        <v>0</v>
      </c>
      <c r="AP861" t="n">
        <v>0</v>
      </c>
      <c r="AQ861" t="n">
        <v>0</v>
      </c>
      <c r="AR861" t="inlineStr">
        <is>
          <t>No</t>
        </is>
      </c>
      <c r="AS861" t="inlineStr">
        <is>
          <t>No</t>
        </is>
      </c>
      <c r="AU861">
        <f>HYPERLINK("https://creighton-primo.hosted.exlibrisgroup.com/primo-explore/search?tab=default_tab&amp;search_scope=EVERYTHING&amp;vid=01CRU&amp;lang=en_US&amp;offset=0&amp;query=any,contains,991001152669702656","Catalog Record")</f>
        <v/>
      </c>
      <c r="AV861">
        <f>HYPERLINK("http://www.worldcat.org/oclc/9465145","WorldCat Record")</f>
        <v/>
      </c>
      <c r="AW861" t="inlineStr">
        <is>
          <t>54571176:eng</t>
        </is>
      </c>
      <c r="AX861" t="inlineStr">
        <is>
          <t>9465145</t>
        </is>
      </c>
      <c r="AY861" t="inlineStr">
        <is>
          <t>991001152669702656</t>
        </is>
      </c>
      <c r="AZ861" t="inlineStr">
        <is>
          <t>991001152669702656</t>
        </is>
      </c>
      <c r="BA861" t="inlineStr">
        <is>
          <t>2264665120002656</t>
        </is>
      </c>
      <c r="BB861" t="inlineStr">
        <is>
          <t>BOOK</t>
        </is>
      </c>
      <c r="BD861" t="inlineStr">
        <is>
          <t>9780201071450</t>
        </is>
      </c>
      <c r="BE861" t="inlineStr">
        <is>
          <t>30001000296816</t>
        </is>
      </c>
      <c r="BF861" t="inlineStr">
        <is>
          <t>893358275</t>
        </is>
      </c>
    </row>
    <row r="862">
      <c r="A862" t="inlineStr">
        <is>
          <t>No</t>
        </is>
      </c>
      <c r="B862" t="inlineStr">
        <is>
          <t>CUHSL</t>
        </is>
      </c>
      <c r="C862" t="inlineStr">
        <is>
          <t>SHELVES</t>
        </is>
      </c>
      <c r="D862" t="inlineStr">
        <is>
          <t>WY 100 A2443 1986</t>
        </is>
      </c>
      <c r="E862" t="inlineStr">
        <is>
          <t>0                      WY 0100000A  2443        1986</t>
        </is>
      </c>
      <c r="F862" t="inlineStr">
        <is>
          <t>Adult health nursing : a biopsychosocial approach / [edited by] Carol Ren Kneisl, SueAnn Wooster Ames.</t>
        </is>
      </c>
      <c r="H862" t="inlineStr">
        <is>
          <t>No</t>
        </is>
      </c>
      <c r="I862" t="inlineStr">
        <is>
          <t>1</t>
        </is>
      </c>
      <c r="J862" t="inlineStr">
        <is>
          <t>No</t>
        </is>
      </c>
      <c r="K862" t="inlineStr">
        <is>
          <t>No</t>
        </is>
      </c>
      <c r="L862" t="inlineStr">
        <is>
          <t>0</t>
        </is>
      </c>
      <c r="N862" t="inlineStr">
        <is>
          <t>Reading, Mass. : Addison-Wesley, c1986.</t>
        </is>
      </c>
      <c r="O862" t="inlineStr">
        <is>
          <t>1986</t>
        </is>
      </c>
      <c r="Q862" t="inlineStr">
        <is>
          <t>eng</t>
        </is>
      </c>
      <c r="R862" t="inlineStr">
        <is>
          <t>xxu</t>
        </is>
      </c>
      <c r="T862" t="inlineStr">
        <is>
          <t xml:space="preserve">WY </t>
        </is>
      </c>
      <c r="U862" t="n">
        <v>100</v>
      </c>
      <c r="V862" t="n">
        <v>100</v>
      </c>
      <c r="W862" t="inlineStr">
        <is>
          <t>1991-09-05</t>
        </is>
      </c>
      <c r="X862" t="inlineStr">
        <is>
          <t>1991-09-05</t>
        </is>
      </c>
      <c r="Y862" t="inlineStr">
        <is>
          <t>1987-10-19</t>
        </is>
      </c>
      <c r="Z862" t="inlineStr">
        <is>
          <t>1987-10-19</t>
        </is>
      </c>
      <c r="AA862" t="n">
        <v>257</v>
      </c>
      <c r="AB862" t="n">
        <v>188</v>
      </c>
      <c r="AC862" t="n">
        <v>194</v>
      </c>
      <c r="AD862" t="n">
        <v>2</v>
      </c>
      <c r="AE862" t="n">
        <v>2</v>
      </c>
      <c r="AF862" t="n">
        <v>5</v>
      </c>
      <c r="AG862" t="n">
        <v>5</v>
      </c>
      <c r="AH862" t="n">
        <v>2</v>
      </c>
      <c r="AI862" t="n">
        <v>2</v>
      </c>
      <c r="AJ862" t="n">
        <v>2</v>
      </c>
      <c r="AK862" t="n">
        <v>2</v>
      </c>
      <c r="AL862" t="n">
        <v>2</v>
      </c>
      <c r="AM862" t="n">
        <v>2</v>
      </c>
      <c r="AN862" t="n">
        <v>0</v>
      </c>
      <c r="AO862" t="n">
        <v>0</v>
      </c>
      <c r="AP862" t="n">
        <v>0</v>
      </c>
      <c r="AQ862" t="n">
        <v>0</v>
      </c>
      <c r="AR862" t="inlineStr">
        <is>
          <t>No</t>
        </is>
      </c>
      <c r="AS862" t="inlineStr">
        <is>
          <t>No</t>
        </is>
      </c>
      <c r="AU862">
        <f>HYPERLINK("https://creighton-primo.hosted.exlibrisgroup.com/primo-explore/search?tab=default_tab&amp;search_scope=EVERYTHING&amp;vid=01CRU&amp;lang=en_US&amp;offset=0&amp;query=any,contains,991000738319702656","Catalog Record")</f>
        <v/>
      </c>
      <c r="AV862">
        <f>HYPERLINK("http://www.worldcat.org/oclc/13269354","WorldCat Record")</f>
        <v/>
      </c>
      <c r="AW862" t="inlineStr">
        <is>
          <t>836623418:eng</t>
        </is>
      </c>
      <c r="AX862" t="inlineStr">
        <is>
          <t>13269354</t>
        </is>
      </c>
      <c r="AY862" t="inlineStr">
        <is>
          <t>991000738319702656</t>
        </is>
      </c>
      <c r="AZ862" t="inlineStr">
        <is>
          <t>991000738319702656</t>
        </is>
      </c>
      <c r="BA862" t="inlineStr">
        <is>
          <t>2259123670002656</t>
        </is>
      </c>
      <c r="BB862" t="inlineStr">
        <is>
          <t>BOOK</t>
        </is>
      </c>
      <c r="BD862" t="inlineStr">
        <is>
          <t>9780201126501</t>
        </is>
      </c>
      <c r="BE862" t="inlineStr">
        <is>
          <t>30001000042467</t>
        </is>
      </c>
      <c r="BF862" t="inlineStr">
        <is>
          <t>893735451</t>
        </is>
      </c>
    </row>
    <row r="863">
      <c r="A863" t="inlineStr">
        <is>
          <t>No</t>
        </is>
      </c>
      <c r="B863" t="inlineStr">
        <is>
          <t>CUHSL</t>
        </is>
      </c>
      <c r="C863" t="inlineStr">
        <is>
          <t>SHELVES</t>
        </is>
      </c>
      <c r="D863" t="inlineStr">
        <is>
          <t>WY 100 A385a 1998</t>
        </is>
      </c>
      <c r="E863" t="inlineStr">
        <is>
          <t>0                      WY 0100000A  385a        1998</t>
        </is>
      </c>
      <c r="F863" t="inlineStr">
        <is>
          <t>Applying nursing process : a step-by-step guide / Rosalinda Alfaro-LeFevre.</t>
        </is>
      </c>
      <c r="H863" t="inlineStr">
        <is>
          <t>No</t>
        </is>
      </c>
      <c r="I863" t="inlineStr">
        <is>
          <t>1</t>
        </is>
      </c>
      <c r="J863" t="inlineStr">
        <is>
          <t>No</t>
        </is>
      </c>
      <c r="K863" t="inlineStr">
        <is>
          <t>No</t>
        </is>
      </c>
      <c r="L863" t="inlineStr">
        <is>
          <t>0</t>
        </is>
      </c>
      <c r="M863" t="inlineStr">
        <is>
          <t>Alfaro-LeFevre, Rosalinda.</t>
        </is>
      </c>
      <c r="N863" t="inlineStr">
        <is>
          <t>Philadelphia : Lippincott-Raven, c1998.</t>
        </is>
      </c>
      <c r="O863" t="inlineStr">
        <is>
          <t>1998</t>
        </is>
      </c>
      <c r="P863" t="inlineStr">
        <is>
          <t>4th ed.</t>
        </is>
      </c>
      <c r="Q863" t="inlineStr">
        <is>
          <t>eng</t>
        </is>
      </c>
      <c r="R863" t="inlineStr">
        <is>
          <t>pau</t>
        </is>
      </c>
      <c r="T863" t="inlineStr">
        <is>
          <t xml:space="preserve">WY </t>
        </is>
      </c>
      <c r="U863" t="n">
        <v>1</v>
      </c>
      <c r="V863" t="n">
        <v>1</v>
      </c>
      <c r="W863" t="inlineStr">
        <is>
          <t>1999-04-13</t>
        </is>
      </c>
      <c r="X863" t="inlineStr">
        <is>
          <t>1999-04-13</t>
        </is>
      </c>
      <c r="Y863" t="inlineStr">
        <is>
          <t>1999-04-13</t>
        </is>
      </c>
      <c r="Z863" t="inlineStr">
        <is>
          <t>1999-04-13</t>
        </is>
      </c>
      <c r="AA863" t="n">
        <v>195</v>
      </c>
      <c r="AB863" t="n">
        <v>144</v>
      </c>
      <c r="AC863" t="n">
        <v>393</v>
      </c>
      <c r="AD863" t="n">
        <v>1</v>
      </c>
      <c r="AE863" t="n">
        <v>2</v>
      </c>
      <c r="AF863" t="n">
        <v>4</v>
      </c>
      <c r="AG863" t="n">
        <v>9</v>
      </c>
      <c r="AH863" t="n">
        <v>1</v>
      </c>
      <c r="AI863" t="n">
        <v>3</v>
      </c>
      <c r="AJ863" t="n">
        <v>0</v>
      </c>
      <c r="AK863" t="n">
        <v>1</v>
      </c>
      <c r="AL863" t="n">
        <v>4</v>
      </c>
      <c r="AM863" t="n">
        <v>7</v>
      </c>
      <c r="AN863" t="n">
        <v>0</v>
      </c>
      <c r="AO863" t="n">
        <v>1</v>
      </c>
      <c r="AP863" t="n">
        <v>0</v>
      </c>
      <c r="AQ863" t="n">
        <v>0</v>
      </c>
      <c r="AR863" t="inlineStr">
        <is>
          <t>No</t>
        </is>
      </c>
      <c r="AS863" t="inlineStr">
        <is>
          <t>Yes</t>
        </is>
      </c>
      <c r="AT863">
        <f>HYPERLINK("http://catalog.hathitrust.org/Record/003956196","HathiTrust Record")</f>
        <v/>
      </c>
      <c r="AU863">
        <f>HYPERLINK("https://creighton-primo.hosted.exlibrisgroup.com/primo-explore/search?tab=default_tab&amp;search_scope=EVERYTHING&amp;vid=01CRU&amp;lang=en_US&amp;offset=0&amp;query=any,contains,991000783949702656","Catalog Record")</f>
        <v/>
      </c>
      <c r="AV863">
        <f>HYPERLINK("http://www.worldcat.org/oclc/37116372","WorldCat Record")</f>
        <v/>
      </c>
      <c r="AW863" t="inlineStr">
        <is>
          <t>2754331543:eng</t>
        </is>
      </c>
      <c r="AX863" t="inlineStr">
        <is>
          <t>37116372</t>
        </is>
      </c>
      <c r="AY863" t="inlineStr">
        <is>
          <t>991000783949702656</t>
        </is>
      </c>
      <c r="AZ863" t="inlineStr">
        <is>
          <t>991000783949702656</t>
        </is>
      </c>
      <c r="BA863" t="inlineStr">
        <is>
          <t>2265187710002656</t>
        </is>
      </c>
      <c r="BB863" t="inlineStr">
        <is>
          <t>BOOK</t>
        </is>
      </c>
      <c r="BD863" t="inlineStr">
        <is>
          <t>9780397554539</t>
        </is>
      </c>
      <c r="BE863" t="inlineStr">
        <is>
          <t>30001004071140</t>
        </is>
      </c>
      <c r="BF863" t="inlineStr">
        <is>
          <t>893834321</t>
        </is>
      </c>
    </row>
    <row r="864">
      <c r="A864" t="inlineStr">
        <is>
          <t>No</t>
        </is>
      </c>
      <c r="B864" t="inlineStr">
        <is>
          <t>CUHSL</t>
        </is>
      </c>
      <c r="C864" t="inlineStr">
        <is>
          <t>SHELVES</t>
        </is>
      </c>
      <c r="D864" t="inlineStr">
        <is>
          <t>WY 100 A385c 1995</t>
        </is>
      </c>
      <c r="E864" t="inlineStr">
        <is>
          <t>0                      WY 0100000A  385c        1995</t>
        </is>
      </c>
      <c r="F864" t="inlineStr">
        <is>
          <t>Critical thinking in nursing : a practical approach / Rosalinda Alfaro-LeFevre.</t>
        </is>
      </c>
      <c r="H864" t="inlineStr">
        <is>
          <t>No</t>
        </is>
      </c>
      <c r="I864" t="inlineStr">
        <is>
          <t>1</t>
        </is>
      </c>
      <c r="J864" t="inlineStr">
        <is>
          <t>No</t>
        </is>
      </c>
      <c r="K864" t="inlineStr">
        <is>
          <t>No</t>
        </is>
      </c>
      <c r="L864" t="inlineStr">
        <is>
          <t>0</t>
        </is>
      </c>
      <c r="M864" t="inlineStr">
        <is>
          <t>Alfaro-LeFevre, Rosalinda.</t>
        </is>
      </c>
      <c r="N864" t="inlineStr">
        <is>
          <t>Philadelphia : Saunders, c1995.</t>
        </is>
      </c>
      <c r="O864" t="inlineStr">
        <is>
          <t>1995</t>
        </is>
      </c>
      <c r="Q864" t="inlineStr">
        <is>
          <t>eng</t>
        </is>
      </c>
      <c r="R864" t="inlineStr">
        <is>
          <t>pau</t>
        </is>
      </c>
      <c r="T864" t="inlineStr">
        <is>
          <t xml:space="preserve">WY </t>
        </is>
      </c>
      <c r="U864" t="n">
        <v>8</v>
      </c>
      <c r="V864" t="n">
        <v>8</v>
      </c>
      <c r="W864" t="inlineStr">
        <is>
          <t>2007-10-14</t>
        </is>
      </c>
      <c r="X864" t="inlineStr">
        <is>
          <t>2007-10-14</t>
        </is>
      </c>
      <c r="Y864" t="inlineStr">
        <is>
          <t>1996-09-10</t>
        </is>
      </c>
      <c r="Z864" t="inlineStr">
        <is>
          <t>1996-09-10</t>
        </is>
      </c>
      <c r="AA864" t="n">
        <v>278</v>
      </c>
      <c r="AB864" t="n">
        <v>196</v>
      </c>
      <c r="AC864" t="n">
        <v>347</v>
      </c>
      <c r="AD864" t="n">
        <v>1</v>
      </c>
      <c r="AE864" t="n">
        <v>2</v>
      </c>
      <c r="AF864" t="n">
        <v>9</v>
      </c>
      <c r="AG864" t="n">
        <v>12</v>
      </c>
      <c r="AH864" t="n">
        <v>3</v>
      </c>
      <c r="AI864" t="n">
        <v>4</v>
      </c>
      <c r="AJ864" t="n">
        <v>1</v>
      </c>
      <c r="AK864" t="n">
        <v>2</v>
      </c>
      <c r="AL864" t="n">
        <v>7</v>
      </c>
      <c r="AM864" t="n">
        <v>9</v>
      </c>
      <c r="AN864" t="n">
        <v>0</v>
      </c>
      <c r="AO864" t="n">
        <v>0</v>
      </c>
      <c r="AP864" t="n">
        <v>0</v>
      </c>
      <c r="AQ864" t="n">
        <v>0</v>
      </c>
      <c r="AR864" t="inlineStr">
        <is>
          <t>No</t>
        </is>
      </c>
      <c r="AS864" t="inlineStr">
        <is>
          <t>Yes</t>
        </is>
      </c>
      <c r="AT864">
        <f>HYPERLINK("http://catalog.hathitrust.org/Record/002961023","HathiTrust Record")</f>
        <v/>
      </c>
      <c r="AU864">
        <f>HYPERLINK("https://creighton-primo.hosted.exlibrisgroup.com/primo-explore/search?tab=default_tab&amp;search_scope=EVERYTHING&amp;vid=01CRU&amp;lang=en_US&amp;offset=0&amp;query=any,contains,991001769219702656","Catalog Record")</f>
        <v/>
      </c>
      <c r="AV864">
        <f>HYPERLINK("http://www.worldcat.org/oclc/31604972","WorldCat Record")</f>
        <v/>
      </c>
      <c r="AW864" t="inlineStr">
        <is>
          <t>3943864725:eng</t>
        </is>
      </c>
      <c r="AX864" t="inlineStr">
        <is>
          <t>31604972</t>
        </is>
      </c>
      <c r="AY864" t="inlineStr">
        <is>
          <t>991001769219702656</t>
        </is>
      </c>
      <c r="AZ864" t="inlineStr">
        <is>
          <t>991001769219702656</t>
        </is>
      </c>
      <c r="BA864" t="inlineStr">
        <is>
          <t>2266048290002656</t>
        </is>
      </c>
      <c r="BB864" t="inlineStr">
        <is>
          <t>BOOK</t>
        </is>
      </c>
      <c r="BD864" t="inlineStr">
        <is>
          <t>9780721658971</t>
        </is>
      </c>
      <c r="BE864" t="inlineStr">
        <is>
          <t>30001003441781</t>
        </is>
      </c>
      <c r="BF864" t="inlineStr">
        <is>
          <t>893369975</t>
        </is>
      </c>
    </row>
    <row r="865">
      <c r="A865" t="inlineStr">
        <is>
          <t>No</t>
        </is>
      </c>
      <c r="B865" t="inlineStr">
        <is>
          <t>CUHSL</t>
        </is>
      </c>
      <c r="C865" t="inlineStr">
        <is>
          <t>SHELVES</t>
        </is>
      </c>
      <c r="D865" t="inlineStr">
        <is>
          <t>WY 100 A512na 1987</t>
        </is>
      </c>
      <c r="E865" t="inlineStr">
        <is>
          <t>0                      WY 0100000A  512na       1987</t>
        </is>
      </c>
      <c r="F865" t="inlineStr">
        <is>
          <t>The Nursing center : concept &amp; design.</t>
        </is>
      </c>
      <c r="H865" t="inlineStr">
        <is>
          <t>No</t>
        </is>
      </c>
      <c r="I865" t="inlineStr">
        <is>
          <t>1</t>
        </is>
      </c>
      <c r="J865" t="inlineStr">
        <is>
          <t>No</t>
        </is>
      </c>
      <c r="K865" t="inlineStr">
        <is>
          <t>No</t>
        </is>
      </c>
      <c r="L865" t="inlineStr">
        <is>
          <t>0</t>
        </is>
      </c>
      <c r="N865" t="inlineStr">
        <is>
          <t>Kansas City, MO (2420 Pershing Rd., Kansas City 64108) : American Nurses' Association, c1987.</t>
        </is>
      </c>
      <c r="O865" t="inlineStr">
        <is>
          <t>1987</t>
        </is>
      </c>
      <c r="Q865" t="inlineStr">
        <is>
          <t>eng</t>
        </is>
      </c>
      <c r="R865" t="inlineStr">
        <is>
          <t>mou</t>
        </is>
      </c>
      <c r="S865" t="inlineStr">
        <is>
          <t>ANA pub ; no. CH-17</t>
        </is>
      </c>
      <c r="T865" t="inlineStr">
        <is>
          <t xml:space="preserve">WY </t>
        </is>
      </c>
      <c r="U865" t="n">
        <v>3</v>
      </c>
      <c r="V865" t="n">
        <v>3</v>
      </c>
      <c r="W865" t="inlineStr">
        <is>
          <t>1994-02-04</t>
        </is>
      </c>
      <c r="X865" t="inlineStr">
        <is>
          <t>1994-02-04</t>
        </is>
      </c>
      <c r="Y865" t="inlineStr">
        <is>
          <t>1988-06-10</t>
        </is>
      </c>
      <c r="Z865" t="inlineStr">
        <is>
          <t>1988-06-10</t>
        </is>
      </c>
      <c r="AA865" t="n">
        <v>103</v>
      </c>
      <c r="AB865" t="n">
        <v>97</v>
      </c>
      <c r="AC865" t="n">
        <v>97</v>
      </c>
      <c r="AD865" t="n">
        <v>1</v>
      </c>
      <c r="AE865" t="n">
        <v>1</v>
      </c>
      <c r="AF865" t="n">
        <v>3</v>
      </c>
      <c r="AG865" t="n">
        <v>3</v>
      </c>
      <c r="AH865" t="n">
        <v>0</v>
      </c>
      <c r="AI865" t="n">
        <v>0</v>
      </c>
      <c r="AJ865" t="n">
        <v>0</v>
      </c>
      <c r="AK865" t="n">
        <v>0</v>
      </c>
      <c r="AL865" t="n">
        <v>3</v>
      </c>
      <c r="AM865" t="n">
        <v>3</v>
      </c>
      <c r="AN865" t="n">
        <v>0</v>
      </c>
      <c r="AO865" t="n">
        <v>0</v>
      </c>
      <c r="AP865" t="n">
        <v>0</v>
      </c>
      <c r="AQ865" t="n">
        <v>0</v>
      </c>
      <c r="AR865" t="inlineStr">
        <is>
          <t>No</t>
        </is>
      </c>
      <c r="AS865" t="inlineStr">
        <is>
          <t>No</t>
        </is>
      </c>
      <c r="AU865">
        <f>HYPERLINK("https://creighton-primo.hosted.exlibrisgroup.com/primo-explore/search?tab=default_tab&amp;search_scope=EVERYTHING&amp;vid=01CRU&amp;lang=en_US&amp;offset=0&amp;query=any,contains,991001415119702656","Catalog Record")</f>
        <v/>
      </c>
      <c r="AV865">
        <f>HYPERLINK("http://www.worldcat.org/oclc/19876420","WorldCat Record")</f>
        <v/>
      </c>
      <c r="AW865" t="inlineStr">
        <is>
          <t>13014271:eng</t>
        </is>
      </c>
      <c r="AX865" t="inlineStr">
        <is>
          <t>19876420</t>
        </is>
      </c>
      <c r="AY865" t="inlineStr">
        <is>
          <t>991001415119702656</t>
        </is>
      </c>
      <c r="AZ865" t="inlineStr">
        <is>
          <t>991001415119702656</t>
        </is>
      </c>
      <c r="BA865" t="inlineStr">
        <is>
          <t>2268810100002656</t>
        </is>
      </c>
      <c r="BB865" t="inlineStr">
        <is>
          <t>BOOK</t>
        </is>
      </c>
      <c r="BE865" t="inlineStr">
        <is>
          <t>30001001180241</t>
        </is>
      </c>
      <c r="BF865" t="inlineStr">
        <is>
          <t>893541385</t>
        </is>
      </c>
    </row>
    <row r="866">
      <c r="A866" t="inlineStr">
        <is>
          <t>No</t>
        </is>
      </c>
      <c r="B866" t="inlineStr">
        <is>
          <t>CUHSL</t>
        </is>
      </c>
      <c r="C866" t="inlineStr">
        <is>
          <t>SHELVES</t>
        </is>
      </c>
      <c r="D866" t="inlineStr">
        <is>
          <t>WY 100 A841d 1981</t>
        </is>
      </c>
      <c r="E866" t="inlineStr">
        <is>
          <t>0                      WY 0100000A  841d        1981</t>
        </is>
      </c>
      <c r="F866" t="inlineStr">
        <is>
          <t>Decision making for patient care : applying the nursing process / Mary Jo Aspinall and Christine A. Tanner ; with a contribution by Dennis G. Fryback.</t>
        </is>
      </c>
      <c r="H866" t="inlineStr">
        <is>
          <t>No</t>
        </is>
      </c>
      <c r="I866" t="inlineStr">
        <is>
          <t>1</t>
        </is>
      </c>
      <c r="J866" t="inlineStr">
        <is>
          <t>No</t>
        </is>
      </c>
      <c r="K866" t="inlineStr">
        <is>
          <t>No</t>
        </is>
      </c>
      <c r="L866" t="inlineStr">
        <is>
          <t>0</t>
        </is>
      </c>
      <c r="M866" t="inlineStr">
        <is>
          <t>Aspinall, Mary Jo.</t>
        </is>
      </c>
      <c r="N866" t="inlineStr">
        <is>
          <t>New York : Appleton-Century-Crofts, c1981.</t>
        </is>
      </c>
      <c r="O866" t="inlineStr">
        <is>
          <t>1981</t>
        </is>
      </c>
      <c r="Q866" t="inlineStr">
        <is>
          <t>eng</t>
        </is>
      </c>
      <c r="R866" t="inlineStr">
        <is>
          <t>nyu</t>
        </is>
      </c>
      <c r="T866" t="inlineStr">
        <is>
          <t xml:space="preserve">WY </t>
        </is>
      </c>
      <c r="U866" t="n">
        <v>5</v>
      </c>
      <c r="V866" t="n">
        <v>5</v>
      </c>
      <c r="W866" t="inlineStr">
        <is>
          <t>1991-04-08</t>
        </is>
      </c>
      <c r="X866" t="inlineStr">
        <is>
          <t>1991-04-08</t>
        </is>
      </c>
      <c r="Y866" t="inlineStr">
        <is>
          <t>1987-12-29</t>
        </is>
      </c>
      <c r="Z866" t="inlineStr">
        <is>
          <t>1987-12-29</t>
        </is>
      </c>
      <c r="AA866" t="n">
        <v>176</v>
      </c>
      <c r="AB866" t="n">
        <v>142</v>
      </c>
      <c r="AC866" t="n">
        <v>144</v>
      </c>
      <c r="AD866" t="n">
        <v>1</v>
      </c>
      <c r="AE866" t="n">
        <v>1</v>
      </c>
      <c r="AF866" t="n">
        <v>5</v>
      </c>
      <c r="AG866" t="n">
        <v>5</v>
      </c>
      <c r="AH866" t="n">
        <v>2</v>
      </c>
      <c r="AI866" t="n">
        <v>2</v>
      </c>
      <c r="AJ866" t="n">
        <v>0</v>
      </c>
      <c r="AK866" t="n">
        <v>0</v>
      </c>
      <c r="AL866" t="n">
        <v>3</v>
      </c>
      <c r="AM866" t="n">
        <v>3</v>
      </c>
      <c r="AN866" t="n">
        <v>0</v>
      </c>
      <c r="AO866" t="n">
        <v>0</v>
      </c>
      <c r="AP866" t="n">
        <v>0</v>
      </c>
      <c r="AQ866" t="n">
        <v>0</v>
      </c>
      <c r="AR866" t="inlineStr">
        <is>
          <t>No</t>
        </is>
      </c>
      <c r="AS866" t="inlineStr">
        <is>
          <t>Yes</t>
        </is>
      </c>
      <c r="AT866">
        <f>HYPERLINK("http://catalog.hathitrust.org/Record/000103218","HathiTrust Record")</f>
        <v/>
      </c>
      <c r="AU866">
        <f>HYPERLINK("https://creighton-primo.hosted.exlibrisgroup.com/primo-explore/search?tab=default_tab&amp;search_scope=EVERYTHING&amp;vid=01CRU&amp;lang=en_US&amp;offset=0&amp;query=any,contains,991001152849702656","Catalog Record")</f>
        <v/>
      </c>
      <c r="AV866">
        <f>HYPERLINK("http://www.worldcat.org/oclc/7282195","WorldCat Record")</f>
        <v/>
      </c>
      <c r="AW866" t="inlineStr">
        <is>
          <t>26377512:eng</t>
        </is>
      </c>
      <c r="AX866" t="inlineStr">
        <is>
          <t>7282195</t>
        </is>
      </c>
      <c r="AY866" t="inlineStr">
        <is>
          <t>991001152849702656</t>
        </is>
      </c>
      <c r="AZ866" t="inlineStr">
        <is>
          <t>991001152849702656</t>
        </is>
      </c>
      <c r="BA866" t="inlineStr">
        <is>
          <t>2257870060002656</t>
        </is>
      </c>
      <c r="BB866" t="inlineStr">
        <is>
          <t>BOOK</t>
        </is>
      </c>
      <c r="BD866" t="inlineStr">
        <is>
          <t>9780838524817</t>
        </is>
      </c>
      <c r="BE866" t="inlineStr">
        <is>
          <t>30001000296949</t>
        </is>
      </c>
      <c r="BF866" t="inlineStr">
        <is>
          <t>893826494</t>
        </is>
      </c>
    </row>
    <row r="867">
      <c r="A867" t="inlineStr">
        <is>
          <t>No</t>
        </is>
      </c>
      <c r="B867" t="inlineStr">
        <is>
          <t>CUHSL</t>
        </is>
      </c>
      <c r="C867" t="inlineStr">
        <is>
          <t>SHELVES</t>
        </is>
      </c>
      <c r="D867" t="inlineStr">
        <is>
          <t>WY 100 A846 1980</t>
        </is>
      </c>
      <c r="E867" t="inlineStr">
        <is>
          <t>0                      WY 0100000A  846         1980</t>
        </is>
      </c>
      <c r="F867" t="inlineStr">
        <is>
          <t>Assessing your patients.</t>
        </is>
      </c>
      <c r="H867" t="inlineStr">
        <is>
          <t>No</t>
        </is>
      </c>
      <c r="I867" t="inlineStr">
        <is>
          <t>1</t>
        </is>
      </c>
      <c r="J867" t="inlineStr">
        <is>
          <t>No</t>
        </is>
      </c>
      <c r="K867" t="inlineStr">
        <is>
          <t>No</t>
        </is>
      </c>
      <c r="L867" t="inlineStr">
        <is>
          <t>0</t>
        </is>
      </c>
      <c r="N867" t="inlineStr">
        <is>
          <t>Horsham, Pa. : Intermed Communications, c1980.</t>
        </is>
      </c>
      <c r="O867" t="inlineStr">
        <is>
          <t>1980</t>
        </is>
      </c>
      <c r="Q867" t="inlineStr">
        <is>
          <t>eng</t>
        </is>
      </c>
      <c r="R867" t="inlineStr">
        <is>
          <t>xxu</t>
        </is>
      </c>
      <c r="S867" t="inlineStr">
        <is>
          <t>Nursing photobook</t>
        </is>
      </c>
      <c r="T867" t="inlineStr">
        <is>
          <t xml:space="preserve">WY </t>
        </is>
      </c>
      <c r="U867" t="n">
        <v>2</v>
      </c>
      <c r="V867" t="n">
        <v>2</v>
      </c>
      <c r="W867" t="inlineStr">
        <is>
          <t>2005-08-01</t>
        </is>
      </c>
      <c r="X867" t="inlineStr">
        <is>
          <t>2005-08-01</t>
        </is>
      </c>
      <c r="Y867" t="inlineStr">
        <is>
          <t>1987-12-29</t>
        </is>
      </c>
      <c r="Z867" t="inlineStr">
        <is>
          <t>1987-12-29</t>
        </is>
      </c>
      <c r="AA867" t="n">
        <v>58</v>
      </c>
      <c r="AB867" t="n">
        <v>50</v>
      </c>
      <c r="AC867" t="n">
        <v>50</v>
      </c>
      <c r="AD867" t="n">
        <v>1</v>
      </c>
      <c r="AE867" t="n">
        <v>1</v>
      </c>
      <c r="AF867" t="n">
        <v>0</v>
      </c>
      <c r="AG867" t="n">
        <v>0</v>
      </c>
      <c r="AH867" t="n">
        <v>0</v>
      </c>
      <c r="AI867" t="n">
        <v>0</v>
      </c>
      <c r="AJ867" t="n">
        <v>0</v>
      </c>
      <c r="AK867" t="n">
        <v>0</v>
      </c>
      <c r="AL867" t="n">
        <v>0</v>
      </c>
      <c r="AM867" t="n">
        <v>0</v>
      </c>
      <c r="AN867" t="n">
        <v>0</v>
      </c>
      <c r="AO867" t="n">
        <v>0</v>
      </c>
      <c r="AP867" t="n">
        <v>0</v>
      </c>
      <c r="AQ867" t="n">
        <v>0</v>
      </c>
      <c r="AR867" t="inlineStr">
        <is>
          <t>No</t>
        </is>
      </c>
      <c r="AS867" t="inlineStr">
        <is>
          <t>No</t>
        </is>
      </c>
      <c r="AU867">
        <f>HYPERLINK("https://creighton-primo.hosted.exlibrisgroup.com/primo-explore/search?tab=default_tab&amp;search_scope=EVERYTHING&amp;vid=01CRU&amp;lang=en_US&amp;offset=0&amp;query=any,contains,991001152889702656","Catalog Record")</f>
        <v/>
      </c>
      <c r="AV867">
        <f>HYPERLINK("http://www.worldcat.org/oclc/6484993","WorldCat Record")</f>
        <v/>
      </c>
      <c r="AW867" t="inlineStr">
        <is>
          <t>5617575038:eng</t>
        </is>
      </c>
      <c r="AX867" t="inlineStr">
        <is>
          <t>6484993</t>
        </is>
      </c>
      <c r="AY867" t="inlineStr">
        <is>
          <t>991001152889702656</t>
        </is>
      </c>
      <c r="AZ867" t="inlineStr">
        <is>
          <t>991001152889702656</t>
        </is>
      </c>
      <c r="BA867" t="inlineStr">
        <is>
          <t>2272716710002656</t>
        </is>
      </c>
      <c r="BB867" t="inlineStr">
        <is>
          <t>BOOK</t>
        </is>
      </c>
      <c r="BD867" t="inlineStr">
        <is>
          <t>9780916730246</t>
        </is>
      </c>
      <c r="BE867" t="inlineStr">
        <is>
          <t>30001000296956</t>
        </is>
      </c>
      <c r="BF867" t="inlineStr">
        <is>
          <t>893632767</t>
        </is>
      </c>
    </row>
    <row r="868">
      <c r="A868" t="inlineStr">
        <is>
          <t>No</t>
        </is>
      </c>
      <c r="B868" t="inlineStr">
        <is>
          <t>CUHSL</t>
        </is>
      </c>
      <c r="C868" t="inlineStr">
        <is>
          <t>SHELVES</t>
        </is>
      </c>
      <c r="D868" t="inlineStr">
        <is>
          <t>WY 100 A8465 1982</t>
        </is>
      </c>
      <c r="E868" t="inlineStr">
        <is>
          <t>0                      WY 0100000A  8465        1982</t>
        </is>
      </c>
      <c r="F868" t="inlineStr">
        <is>
          <t>Assessment.</t>
        </is>
      </c>
      <c r="H868" t="inlineStr">
        <is>
          <t>No</t>
        </is>
      </c>
      <c r="I868" t="inlineStr">
        <is>
          <t>1</t>
        </is>
      </c>
      <c r="J868" t="inlineStr">
        <is>
          <t>No</t>
        </is>
      </c>
      <c r="K868" t="inlineStr">
        <is>
          <t>No</t>
        </is>
      </c>
      <c r="L868" t="inlineStr">
        <is>
          <t>0</t>
        </is>
      </c>
      <c r="N868" t="inlineStr">
        <is>
          <t>Springhouse, Pa. : Intermed Communications, c1982.</t>
        </is>
      </c>
      <c r="O868" t="inlineStr">
        <is>
          <t>1982</t>
        </is>
      </c>
      <c r="Q868" t="inlineStr">
        <is>
          <t>eng</t>
        </is>
      </c>
      <c r="R868" t="inlineStr">
        <is>
          <t>xxu</t>
        </is>
      </c>
      <c r="S868" t="inlineStr">
        <is>
          <t>The Nurse's reference library</t>
        </is>
      </c>
      <c r="T868" t="inlineStr">
        <is>
          <t xml:space="preserve">WY </t>
        </is>
      </c>
      <c r="U868" t="n">
        <v>11</v>
      </c>
      <c r="V868" t="n">
        <v>11</v>
      </c>
      <c r="W868" t="inlineStr">
        <is>
          <t>1996-01-23</t>
        </is>
      </c>
      <c r="X868" t="inlineStr">
        <is>
          <t>1996-01-23</t>
        </is>
      </c>
      <c r="Y868" t="inlineStr">
        <is>
          <t>1987-10-19</t>
        </is>
      </c>
      <c r="Z868" t="inlineStr">
        <is>
          <t>1987-10-19</t>
        </is>
      </c>
      <c r="AA868" t="n">
        <v>261</v>
      </c>
      <c r="AB868" t="n">
        <v>228</v>
      </c>
      <c r="AC868" t="n">
        <v>247</v>
      </c>
      <c r="AD868" t="n">
        <v>1</v>
      </c>
      <c r="AE868" t="n">
        <v>1</v>
      </c>
      <c r="AF868" t="n">
        <v>1</v>
      </c>
      <c r="AG868" t="n">
        <v>2</v>
      </c>
      <c r="AH868" t="n">
        <v>1</v>
      </c>
      <c r="AI868" t="n">
        <v>2</v>
      </c>
      <c r="AJ868" t="n">
        <v>0</v>
      </c>
      <c r="AK868" t="n">
        <v>0</v>
      </c>
      <c r="AL868" t="n">
        <v>0</v>
      </c>
      <c r="AM868" t="n">
        <v>0</v>
      </c>
      <c r="AN868" t="n">
        <v>0</v>
      </c>
      <c r="AO868" t="n">
        <v>0</v>
      </c>
      <c r="AP868" t="n">
        <v>0</v>
      </c>
      <c r="AQ868" t="n">
        <v>0</v>
      </c>
      <c r="AR868" t="inlineStr">
        <is>
          <t>No</t>
        </is>
      </c>
      <c r="AS868" t="inlineStr">
        <is>
          <t>Yes</t>
        </is>
      </c>
      <c r="AT868">
        <f>HYPERLINK("http://catalog.hathitrust.org/Record/000204078","HathiTrust Record")</f>
        <v/>
      </c>
      <c r="AU868">
        <f>HYPERLINK("https://creighton-primo.hosted.exlibrisgroup.com/primo-explore/search?tab=default_tab&amp;search_scope=EVERYTHING&amp;vid=01CRU&amp;lang=en_US&amp;offset=0&amp;query=any,contains,991000738359702656","Catalog Record")</f>
        <v/>
      </c>
      <c r="AV868">
        <f>HYPERLINK("http://www.worldcat.org/oclc/8554175","WorldCat Record")</f>
        <v/>
      </c>
      <c r="AW868" t="inlineStr">
        <is>
          <t>3133834552:eng</t>
        </is>
      </c>
      <c r="AX868" t="inlineStr">
        <is>
          <t>8554175</t>
        </is>
      </c>
      <c r="AY868" t="inlineStr">
        <is>
          <t>991000738359702656</t>
        </is>
      </c>
      <c r="AZ868" t="inlineStr">
        <is>
          <t>991000738359702656</t>
        </is>
      </c>
      <c r="BA868" t="inlineStr">
        <is>
          <t>2263149890002656</t>
        </is>
      </c>
      <c r="BB868" t="inlineStr">
        <is>
          <t>BOOK</t>
        </is>
      </c>
      <c r="BD868" t="inlineStr">
        <is>
          <t>9780916730390</t>
        </is>
      </c>
      <c r="BE868" t="inlineStr">
        <is>
          <t>30001000042475</t>
        </is>
      </c>
      <c r="BF868" t="inlineStr">
        <is>
          <t>893120094</t>
        </is>
      </c>
    </row>
    <row r="869">
      <c r="A869" t="inlineStr">
        <is>
          <t>No</t>
        </is>
      </c>
      <c r="B869" t="inlineStr">
        <is>
          <t>CUHSL</t>
        </is>
      </c>
      <c r="C869" t="inlineStr">
        <is>
          <t>SHELVES</t>
        </is>
      </c>
      <c r="D869" t="inlineStr">
        <is>
          <t>WY 100 A876u 1990</t>
        </is>
      </c>
      <c r="E869" t="inlineStr">
        <is>
          <t>0                      WY 0100000A  876u        1990</t>
        </is>
      </c>
      <c r="F869" t="inlineStr">
        <is>
          <t>Understanding the nursing process : fundamentals of care planning / Leslie D. Atkinson and Mary Ellen Murray ; illustrated by Mark Atkinson.</t>
        </is>
      </c>
      <c r="H869" t="inlineStr">
        <is>
          <t>No</t>
        </is>
      </c>
      <c r="I869" t="inlineStr">
        <is>
          <t>1</t>
        </is>
      </c>
      <c r="J869" t="inlineStr">
        <is>
          <t>No</t>
        </is>
      </c>
      <c r="K869" t="inlineStr">
        <is>
          <t>Yes</t>
        </is>
      </c>
      <c r="L869" t="inlineStr">
        <is>
          <t>0</t>
        </is>
      </c>
      <c r="M869" t="inlineStr">
        <is>
          <t>Atkinson, Leslie D.</t>
        </is>
      </c>
      <c r="N869" t="inlineStr">
        <is>
          <t>New York : Pergamon Press, c1990.</t>
        </is>
      </c>
      <c r="O869" t="inlineStr">
        <is>
          <t>1990</t>
        </is>
      </c>
      <c r="P869" t="inlineStr">
        <is>
          <t>4th ed.</t>
        </is>
      </c>
      <c r="Q869" t="inlineStr">
        <is>
          <t>eng</t>
        </is>
      </c>
      <c r="R869" t="inlineStr">
        <is>
          <t>xxu</t>
        </is>
      </c>
      <c r="T869" t="inlineStr">
        <is>
          <t xml:space="preserve">WY </t>
        </is>
      </c>
      <c r="U869" t="n">
        <v>2</v>
      </c>
      <c r="V869" t="n">
        <v>2</v>
      </c>
      <c r="W869" t="inlineStr">
        <is>
          <t>1991-02-01</t>
        </is>
      </c>
      <c r="X869" t="inlineStr">
        <is>
          <t>1991-02-01</t>
        </is>
      </c>
      <c r="Y869" t="inlineStr">
        <is>
          <t>1991-02-01</t>
        </is>
      </c>
      <c r="Z869" t="inlineStr">
        <is>
          <t>1991-02-01</t>
        </is>
      </c>
      <c r="AA869" t="n">
        <v>141</v>
      </c>
      <c r="AB869" t="n">
        <v>108</v>
      </c>
      <c r="AC869" t="n">
        <v>341</v>
      </c>
      <c r="AD869" t="n">
        <v>1</v>
      </c>
      <c r="AE869" t="n">
        <v>5</v>
      </c>
      <c r="AF869" t="n">
        <v>2</v>
      </c>
      <c r="AG869" t="n">
        <v>10</v>
      </c>
      <c r="AH869" t="n">
        <v>0</v>
      </c>
      <c r="AI869" t="n">
        <v>1</v>
      </c>
      <c r="AJ869" t="n">
        <v>0</v>
      </c>
      <c r="AK869" t="n">
        <v>1</v>
      </c>
      <c r="AL869" t="n">
        <v>2</v>
      </c>
      <c r="AM869" t="n">
        <v>6</v>
      </c>
      <c r="AN869" t="n">
        <v>0</v>
      </c>
      <c r="AO869" t="n">
        <v>3</v>
      </c>
      <c r="AP869" t="n">
        <v>0</v>
      </c>
      <c r="AQ869" t="n">
        <v>0</v>
      </c>
      <c r="AR869" t="inlineStr">
        <is>
          <t>No</t>
        </is>
      </c>
      <c r="AS869" t="inlineStr">
        <is>
          <t>Yes</t>
        </is>
      </c>
      <c r="AT869">
        <f>HYPERLINK("http://catalog.hathitrust.org/Record/002205256","HathiTrust Record")</f>
        <v/>
      </c>
      <c r="AU869">
        <f>HYPERLINK("https://creighton-primo.hosted.exlibrisgroup.com/primo-explore/search?tab=default_tab&amp;search_scope=EVERYTHING&amp;vid=01CRU&amp;lang=en_US&amp;offset=0&amp;query=any,contains,991000817669702656","Catalog Record")</f>
        <v/>
      </c>
      <c r="AV869">
        <f>HYPERLINK("http://www.worldcat.org/oclc/20826522","WorldCat Record")</f>
        <v/>
      </c>
      <c r="AW869" t="inlineStr">
        <is>
          <t>5567089:eng</t>
        </is>
      </c>
      <c r="AX869" t="inlineStr">
        <is>
          <t>20826522</t>
        </is>
      </c>
      <c r="AY869" t="inlineStr">
        <is>
          <t>991000817669702656</t>
        </is>
      </c>
      <c r="AZ869" t="inlineStr">
        <is>
          <t>991000817669702656</t>
        </is>
      </c>
      <c r="BA869" t="inlineStr">
        <is>
          <t>2270231460002656</t>
        </is>
      </c>
      <c r="BB869" t="inlineStr">
        <is>
          <t>BOOK</t>
        </is>
      </c>
      <c r="BD869" t="inlineStr">
        <is>
          <t>9780080402994</t>
        </is>
      </c>
      <c r="BE869" t="inlineStr">
        <is>
          <t>30001002086793</t>
        </is>
      </c>
      <c r="BF869" t="inlineStr">
        <is>
          <t>893726925</t>
        </is>
      </c>
    </row>
    <row r="870">
      <c r="A870" t="inlineStr">
        <is>
          <t>No</t>
        </is>
      </c>
      <c r="B870" t="inlineStr">
        <is>
          <t>CUHSL</t>
        </is>
      </c>
      <c r="C870" t="inlineStr">
        <is>
          <t>SHELVES</t>
        </is>
      </c>
      <c r="D870" t="inlineStr">
        <is>
          <t>WY 100 A928d 1984</t>
        </is>
      </c>
      <c r="E870" t="inlineStr">
        <is>
          <t>0                      WY 0100000A  928d        1984</t>
        </is>
      </c>
      <c r="F870" t="inlineStr">
        <is>
          <t>Dosage calculation : method and workbook.</t>
        </is>
      </c>
      <c r="H870" t="inlineStr">
        <is>
          <t>No</t>
        </is>
      </c>
      <c r="I870" t="inlineStr">
        <is>
          <t>1</t>
        </is>
      </c>
      <c r="J870" t="inlineStr">
        <is>
          <t>No</t>
        </is>
      </c>
      <c r="K870" t="inlineStr">
        <is>
          <t>Yes</t>
        </is>
      </c>
      <c r="L870" t="inlineStr">
        <is>
          <t>0</t>
        </is>
      </c>
      <c r="M870" t="inlineStr">
        <is>
          <t>Aurigemma, Ann.</t>
        </is>
      </c>
      <c r="N870" t="inlineStr">
        <is>
          <t>New York : National League for Nursing, c1984.</t>
        </is>
      </c>
      <c r="O870" t="inlineStr">
        <is>
          <t>1984</t>
        </is>
      </c>
      <c r="P870" t="inlineStr">
        <is>
          <t>2nd ed. / Ann Aurigemma, Barbara J. Bohny.</t>
        </is>
      </c>
      <c r="Q870" t="inlineStr">
        <is>
          <t>eng</t>
        </is>
      </c>
      <c r="R870" t="inlineStr">
        <is>
          <t>nyu</t>
        </is>
      </c>
      <c r="S870" t="inlineStr">
        <is>
          <t>National League for Nursing : Pub. no. 20-1966.</t>
        </is>
      </c>
      <c r="T870" t="inlineStr">
        <is>
          <t xml:space="preserve">WY </t>
        </is>
      </c>
      <c r="U870" t="n">
        <v>4</v>
      </c>
      <c r="V870" t="n">
        <v>4</v>
      </c>
      <c r="W870" t="inlineStr">
        <is>
          <t>1993-10-20</t>
        </is>
      </c>
      <c r="X870" t="inlineStr">
        <is>
          <t>1993-10-20</t>
        </is>
      </c>
      <c r="Y870" t="inlineStr">
        <is>
          <t>1987-12-29</t>
        </is>
      </c>
      <c r="Z870" t="inlineStr">
        <is>
          <t>1987-12-29</t>
        </is>
      </c>
      <c r="AA870" t="n">
        <v>128</v>
      </c>
      <c r="AB870" t="n">
        <v>109</v>
      </c>
      <c r="AC870" t="n">
        <v>183</v>
      </c>
      <c r="AD870" t="n">
        <v>2</v>
      </c>
      <c r="AE870" t="n">
        <v>2</v>
      </c>
      <c r="AF870" t="n">
        <v>4</v>
      </c>
      <c r="AG870" t="n">
        <v>6</v>
      </c>
      <c r="AH870" t="n">
        <v>1</v>
      </c>
      <c r="AI870" t="n">
        <v>1</v>
      </c>
      <c r="AJ870" t="n">
        <v>2</v>
      </c>
      <c r="AK870" t="n">
        <v>3</v>
      </c>
      <c r="AL870" t="n">
        <v>2</v>
      </c>
      <c r="AM870" t="n">
        <v>3</v>
      </c>
      <c r="AN870" t="n">
        <v>0</v>
      </c>
      <c r="AO870" t="n">
        <v>0</v>
      </c>
      <c r="AP870" t="n">
        <v>0</v>
      </c>
      <c r="AQ870" t="n">
        <v>0</v>
      </c>
      <c r="AR870" t="inlineStr">
        <is>
          <t>No</t>
        </is>
      </c>
      <c r="AS870" t="inlineStr">
        <is>
          <t>Yes</t>
        </is>
      </c>
      <c r="AT870">
        <f>HYPERLINK("http://catalog.hathitrust.org/Record/002506652","HathiTrust Record")</f>
        <v/>
      </c>
      <c r="AU870">
        <f>HYPERLINK("https://creighton-primo.hosted.exlibrisgroup.com/primo-explore/search?tab=default_tab&amp;search_scope=EVERYTHING&amp;vid=01CRU&amp;lang=en_US&amp;offset=0&amp;query=any,contains,991001152919702656","Catalog Record")</f>
        <v/>
      </c>
      <c r="AV870">
        <f>HYPERLINK("http://www.worldcat.org/oclc/12941367","WorldCat Record")</f>
        <v/>
      </c>
      <c r="AW870" t="inlineStr">
        <is>
          <t>5813635:eng</t>
        </is>
      </c>
      <c r="AX870" t="inlineStr">
        <is>
          <t>12941367</t>
        </is>
      </c>
      <c r="AY870" t="inlineStr">
        <is>
          <t>991001152919702656</t>
        </is>
      </c>
      <c r="AZ870" t="inlineStr">
        <is>
          <t>991001152919702656</t>
        </is>
      </c>
      <c r="BA870" t="inlineStr">
        <is>
          <t>2260132170002656</t>
        </is>
      </c>
      <c r="BB870" t="inlineStr">
        <is>
          <t>BOOK</t>
        </is>
      </c>
      <c r="BD870" t="inlineStr">
        <is>
          <t>9780887371165</t>
        </is>
      </c>
      <c r="BE870" t="inlineStr">
        <is>
          <t>30001000296972</t>
        </is>
      </c>
      <c r="BF870" t="inlineStr">
        <is>
          <t>893736274</t>
        </is>
      </c>
    </row>
    <row r="871">
      <c r="A871" t="inlineStr">
        <is>
          <t>No</t>
        </is>
      </c>
      <c r="B871" t="inlineStr">
        <is>
          <t>CUHSL</t>
        </is>
      </c>
      <c r="C871" t="inlineStr">
        <is>
          <t>SHELVES</t>
        </is>
      </c>
      <c r="D871" t="inlineStr">
        <is>
          <t>WY 100 B263n 1994</t>
        </is>
      </c>
      <c r="E871" t="inlineStr">
        <is>
          <t>0                      WY 0100000B  263n        1994</t>
        </is>
      </c>
      <c r="F871" t="inlineStr">
        <is>
          <t>Nursing theory : analysis, application, evaluation / Barbara J. Stevens Barnum.</t>
        </is>
      </c>
      <c r="H871" t="inlineStr">
        <is>
          <t>No</t>
        </is>
      </c>
      <c r="I871" t="inlineStr">
        <is>
          <t>1</t>
        </is>
      </c>
      <c r="J871" t="inlineStr">
        <is>
          <t>No</t>
        </is>
      </c>
      <c r="K871" t="inlineStr">
        <is>
          <t>Yes</t>
        </is>
      </c>
      <c r="L871" t="inlineStr">
        <is>
          <t>0</t>
        </is>
      </c>
      <c r="M871" t="inlineStr">
        <is>
          <t>Barnum, Barbara Stevens.</t>
        </is>
      </c>
      <c r="N871" t="inlineStr">
        <is>
          <t>Philadelphia, PA : Lippincott, c1994.</t>
        </is>
      </c>
      <c r="O871" t="inlineStr">
        <is>
          <t>1994</t>
        </is>
      </c>
      <c r="P871" t="inlineStr">
        <is>
          <t>4th ed.</t>
        </is>
      </c>
      <c r="Q871" t="inlineStr">
        <is>
          <t>eng</t>
        </is>
      </c>
      <c r="R871" t="inlineStr">
        <is>
          <t>pau</t>
        </is>
      </c>
      <c r="T871" t="inlineStr">
        <is>
          <t xml:space="preserve">WY </t>
        </is>
      </c>
      <c r="U871" t="n">
        <v>13</v>
      </c>
      <c r="V871" t="n">
        <v>13</v>
      </c>
      <c r="W871" t="inlineStr">
        <is>
          <t>1996-10-18</t>
        </is>
      </c>
      <c r="X871" t="inlineStr">
        <is>
          <t>1996-10-18</t>
        </is>
      </c>
      <c r="Y871" t="inlineStr">
        <is>
          <t>1993-10-14</t>
        </is>
      </c>
      <c r="Z871" t="inlineStr">
        <is>
          <t>1993-10-14</t>
        </is>
      </c>
      <c r="AA871" t="n">
        <v>411</v>
      </c>
      <c r="AB871" t="n">
        <v>311</v>
      </c>
      <c r="AC871" t="n">
        <v>839</v>
      </c>
      <c r="AD871" t="n">
        <v>3</v>
      </c>
      <c r="AE871" t="n">
        <v>8</v>
      </c>
      <c r="AF871" t="n">
        <v>13</v>
      </c>
      <c r="AG871" t="n">
        <v>34</v>
      </c>
      <c r="AH871" t="n">
        <v>5</v>
      </c>
      <c r="AI871" t="n">
        <v>14</v>
      </c>
      <c r="AJ871" t="n">
        <v>3</v>
      </c>
      <c r="AK871" t="n">
        <v>6</v>
      </c>
      <c r="AL871" t="n">
        <v>7</v>
      </c>
      <c r="AM871" t="n">
        <v>15</v>
      </c>
      <c r="AN871" t="n">
        <v>1</v>
      </c>
      <c r="AO871" t="n">
        <v>5</v>
      </c>
      <c r="AP871" t="n">
        <v>0</v>
      </c>
      <c r="AQ871" t="n">
        <v>0</v>
      </c>
      <c r="AR871" t="inlineStr">
        <is>
          <t>No</t>
        </is>
      </c>
      <c r="AS871" t="inlineStr">
        <is>
          <t>Yes</t>
        </is>
      </c>
      <c r="AT871">
        <f>HYPERLINK("http://catalog.hathitrust.org/Record/004535628","HathiTrust Record")</f>
        <v/>
      </c>
      <c r="AU871">
        <f>HYPERLINK("https://creighton-primo.hosted.exlibrisgroup.com/primo-explore/search?tab=default_tab&amp;search_scope=EVERYTHING&amp;vid=01CRU&amp;lang=en_US&amp;offset=0&amp;query=any,contains,991001487159702656","Catalog Record")</f>
        <v/>
      </c>
      <c r="AV871">
        <f>HYPERLINK("http://www.worldcat.org/oclc/27385658","WorldCat Record")</f>
        <v/>
      </c>
      <c r="AW871" t="inlineStr">
        <is>
          <t>836646322:eng</t>
        </is>
      </c>
      <c r="AX871" t="inlineStr">
        <is>
          <t>27385658</t>
        </is>
      </c>
      <c r="AY871" t="inlineStr">
        <is>
          <t>991001487159702656</t>
        </is>
      </c>
      <c r="AZ871" t="inlineStr">
        <is>
          <t>991001487159702656</t>
        </is>
      </c>
      <c r="BA871" t="inlineStr">
        <is>
          <t>2260347380002656</t>
        </is>
      </c>
      <c r="BB871" t="inlineStr">
        <is>
          <t>BOOK</t>
        </is>
      </c>
      <c r="BD871" t="inlineStr">
        <is>
          <t>9780397549429</t>
        </is>
      </c>
      <c r="BE871" t="inlineStr">
        <is>
          <t>30001002579540</t>
        </is>
      </c>
      <c r="BF871" t="inlineStr">
        <is>
          <t>893279157</t>
        </is>
      </c>
    </row>
    <row r="872">
      <c r="A872" t="inlineStr">
        <is>
          <t>No</t>
        </is>
      </c>
      <c r="B872" t="inlineStr">
        <is>
          <t>CUHSL</t>
        </is>
      </c>
      <c r="C872" t="inlineStr">
        <is>
          <t>SHELVES</t>
        </is>
      </c>
      <c r="D872" t="inlineStr">
        <is>
          <t>WY100 B3117 2003</t>
        </is>
      </c>
      <c r="E872" t="inlineStr">
        <is>
          <t>0                      WY 0100000B  3117        2003</t>
        </is>
      </c>
      <c r="F872" t="inlineStr">
        <is>
          <t>Basic nursing : essentials for practice / [edited by] Patricia A. Potter, Anne Griffin Perry.</t>
        </is>
      </c>
      <c r="H872" t="inlineStr">
        <is>
          <t>No</t>
        </is>
      </c>
      <c r="I872" t="inlineStr">
        <is>
          <t>1</t>
        </is>
      </c>
      <c r="J872" t="inlineStr">
        <is>
          <t>No</t>
        </is>
      </c>
      <c r="K872" t="inlineStr">
        <is>
          <t>Yes</t>
        </is>
      </c>
      <c r="L872" t="inlineStr">
        <is>
          <t>0</t>
        </is>
      </c>
      <c r="N872" t="inlineStr">
        <is>
          <t>St. Louis, Mo. : Mosby, c2003.</t>
        </is>
      </c>
      <c r="O872" t="inlineStr">
        <is>
          <t>2003</t>
        </is>
      </c>
      <c r="P872" t="inlineStr">
        <is>
          <t>5th ed.</t>
        </is>
      </c>
      <c r="Q872" t="inlineStr">
        <is>
          <t>eng</t>
        </is>
      </c>
      <c r="R872" t="inlineStr">
        <is>
          <t>mou</t>
        </is>
      </c>
      <c r="T872" t="inlineStr">
        <is>
          <t xml:space="preserve">WY </t>
        </is>
      </c>
      <c r="U872" t="n">
        <v>0</v>
      </c>
      <c r="V872" t="n">
        <v>0</v>
      </c>
      <c r="W872" t="inlineStr">
        <is>
          <t>2003-02-07</t>
        </is>
      </c>
      <c r="X872" t="inlineStr">
        <is>
          <t>2003-02-07</t>
        </is>
      </c>
      <c r="Y872" t="inlineStr">
        <is>
          <t>2003-02-03</t>
        </is>
      </c>
      <c r="Z872" t="inlineStr">
        <is>
          <t>2003-02-03</t>
        </is>
      </c>
      <c r="AA872" t="n">
        <v>255</v>
      </c>
      <c r="AB872" t="n">
        <v>205</v>
      </c>
      <c r="AC872" t="n">
        <v>539</v>
      </c>
      <c r="AD872" t="n">
        <v>1</v>
      </c>
      <c r="AE872" t="n">
        <v>4</v>
      </c>
      <c r="AF872" t="n">
        <v>4</v>
      </c>
      <c r="AG872" t="n">
        <v>15</v>
      </c>
      <c r="AH872" t="n">
        <v>1</v>
      </c>
      <c r="AI872" t="n">
        <v>4</v>
      </c>
      <c r="AJ872" t="n">
        <v>1</v>
      </c>
      <c r="AK872" t="n">
        <v>3</v>
      </c>
      <c r="AL872" t="n">
        <v>3</v>
      </c>
      <c r="AM872" t="n">
        <v>7</v>
      </c>
      <c r="AN872" t="n">
        <v>0</v>
      </c>
      <c r="AO872" t="n">
        <v>3</v>
      </c>
      <c r="AP872" t="n">
        <v>0</v>
      </c>
      <c r="AQ872" t="n">
        <v>0</v>
      </c>
      <c r="AR872" t="inlineStr">
        <is>
          <t>No</t>
        </is>
      </c>
      <c r="AS872" t="inlineStr">
        <is>
          <t>Yes</t>
        </is>
      </c>
      <c r="AT872">
        <f>HYPERLINK("http://catalog.hathitrust.org/Record/004268849","HathiTrust Record")</f>
        <v/>
      </c>
      <c r="AU872">
        <f>HYPERLINK("https://creighton-primo.hosted.exlibrisgroup.com/primo-explore/search?tab=default_tab&amp;search_scope=EVERYTHING&amp;vid=01CRU&amp;lang=en_US&amp;offset=0&amp;query=any,contains,991001719749702656","Catalog Record")</f>
        <v/>
      </c>
      <c r="AV872">
        <f>HYPERLINK("http://www.worldcat.org/oclc/49250137","WorldCat Record")</f>
        <v/>
      </c>
      <c r="AW872" t="inlineStr">
        <is>
          <t>3901309121:eng</t>
        </is>
      </c>
      <c r="AX872" t="inlineStr">
        <is>
          <t>49250137</t>
        </is>
      </c>
      <c r="AY872" t="inlineStr">
        <is>
          <t>991001719749702656</t>
        </is>
      </c>
      <c r="AZ872" t="inlineStr">
        <is>
          <t>991001719749702656</t>
        </is>
      </c>
      <c r="BA872" t="inlineStr">
        <is>
          <t>2271857570002656</t>
        </is>
      </c>
      <c r="BB872" t="inlineStr">
        <is>
          <t>BOOK</t>
        </is>
      </c>
      <c r="BD872" t="inlineStr">
        <is>
          <t>9780323016605</t>
        </is>
      </c>
      <c r="BE872" t="inlineStr">
        <is>
          <t>30001004501500</t>
        </is>
      </c>
      <c r="BF872" t="inlineStr">
        <is>
          <t>893279353</t>
        </is>
      </c>
    </row>
    <row r="873">
      <c r="A873" t="inlineStr">
        <is>
          <t>No</t>
        </is>
      </c>
      <c r="B873" t="inlineStr">
        <is>
          <t>CUHSL</t>
        </is>
      </c>
      <c r="C873" t="inlineStr">
        <is>
          <t>SHELVES</t>
        </is>
      </c>
      <c r="D873" t="inlineStr">
        <is>
          <t>WY100 B463f 1977</t>
        </is>
      </c>
      <c r="E873" t="inlineStr">
        <is>
          <t>0                      WY 0100000B  463f        1977</t>
        </is>
      </c>
      <c r="F873" t="inlineStr">
        <is>
          <t>From nursing audit to multidisciplinary audit / Helen Benedikter.</t>
        </is>
      </c>
      <c r="H873" t="inlineStr">
        <is>
          <t>No</t>
        </is>
      </c>
      <c r="I873" t="inlineStr">
        <is>
          <t>1</t>
        </is>
      </c>
      <c r="J873" t="inlineStr">
        <is>
          <t>No</t>
        </is>
      </c>
      <c r="K873" t="inlineStr">
        <is>
          <t>No</t>
        </is>
      </c>
      <c r="L873" t="inlineStr">
        <is>
          <t>0</t>
        </is>
      </c>
      <c r="M873" t="inlineStr">
        <is>
          <t>Benedikter, Helen.</t>
        </is>
      </c>
      <c r="N873" t="inlineStr">
        <is>
          <t>New York : National League for Nursing, c1977.</t>
        </is>
      </c>
      <c r="O873" t="inlineStr">
        <is>
          <t>1977</t>
        </is>
      </c>
      <c r="Q873" t="inlineStr">
        <is>
          <t>eng</t>
        </is>
      </c>
      <c r="R873" t="inlineStr">
        <is>
          <t>nyu</t>
        </is>
      </c>
      <c r="S873" t="inlineStr">
        <is>
          <t>NLN pub. no. 20-1673</t>
        </is>
      </c>
      <c r="T873" t="inlineStr">
        <is>
          <t xml:space="preserve">WY </t>
        </is>
      </c>
      <c r="U873" t="n">
        <v>3</v>
      </c>
      <c r="V873" t="n">
        <v>3</v>
      </c>
      <c r="W873" t="inlineStr">
        <is>
          <t>1990-05-04</t>
        </is>
      </c>
      <c r="X873" t="inlineStr">
        <is>
          <t>1990-05-04</t>
        </is>
      </c>
      <c r="Y873" t="inlineStr">
        <is>
          <t>1987-11-04</t>
        </is>
      </c>
      <c r="Z873" t="inlineStr">
        <is>
          <t>1987-11-04</t>
        </is>
      </c>
      <c r="AA873" t="n">
        <v>105</v>
      </c>
      <c r="AB873" t="n">
        <v>87</v>
      </c>
      <c r="AC873" t="n">
        <v>89</v>
      </c>
      <c r="AD873" t="n">
        <v>3</v>
      </c>
      <c r="AE873" t="n">
        <v>3</v>
      </c>
      <c r="AF873" t="n">
        <v>4</v>
      </c>
      <c r="AG873" t="n">
        <v>4</v>
      </c>
      <c r="AH873" t="n">
        <v>0</v>
      </c>
      <c r="AI873" t="n">
        <v>0</v>
      </c>
      <c r="AJ873" t="n">
        <v>0</v>
      </c>
      <c r="AK873" t="n">
        <v>0</v>
      </c>
      <c r="AL873" t="n">
        <v>3</v>
      </c>
      <c r="AM873" t="n">
        <v>3</v>
      </c>
      <c r="AN873" t="n">
        <v>1</v>
      </c>
      <c r="AO873" t="n">
        <v>1</v>
      </c>
      <c r="AP873" t="n">
        <v>0</v>
      </c>
      <c r="AQ873" t="n">
        <v>0</v>
      </c>
      <c r="AR873" t="inlineStr">
        <is>
          <t>No</t>
        </is>
      </c>
      <c r="AS873" t="inlineStr">
        <is>
          <t>Yes</t>
        </is>
      </c>
      <c r="AT873">
        <f>HYPERLINK("http://catalog.hathitrust.org/Record/001545975","HathiTrust Record")</f>
        <v/>
      </c>
      <c r="AU873">
        <f>HYPERLINK("https://creighton-primo.hosted.exlibrisgroup.com/primo-explore/search?tab=default_tab&amp;search_scope=EVERYTHING&amp;vid=01CRU&amp;lang=en_US&amp;offset=0&amp;query=any,contains,991001384829702656","Catalog Record")</f>
        <v/>
      </c>
      <c r="AV873">
        <f>HYPERLINK("http://www.worldcat.org/oclc/3238025","WorldCat Record")</f>
        <v/>
      </c>
      <c r="AW873" t="inlineStr">
        <is>
          <t>9456492:eng</t>
        </is>
      </c>
      <c r="AX873" t="inlineStr">
        <is>
          <t>3238025</t>
        </is>
      </c>
      <c r="AY873" t="inlineStr">
        <is>
          <t>991001384829702656</t>
        </is>
      </c>
      <c r="AZ873" t="inlineStr">
        <is>
          <t>991001384829702656</t>
        </is>
      </c>
      <c r="BA873" t="inlineStr">
        <is>
          <t>2257401450002656</t>
        </is>
      </c>
      <c r="BB873" t="inlineStr">
        <is>
          <t>BOOK</t>
        </is>
      </c>
      <c r="BE873" t="inlineStr">
        <is>
          <t>30001000463515</t>
        </is>
      </c>
      <c r="BF873" t="inlineStr">
        <is>
          <t>893821161</t>
        </is>
      </c>
    </row>
    <row r="874">
      <c r="A874" t="inlineStr">
        <is>
          <t>No</t>
        </is>
      </c>
      <c r="B874" t="inlineStr">
        <is>
          <t>CUHSL</t>
        </is>
      </c>
      <c r="C874" t="inlineStr">
        <is>
          <t>SHELVES</t>
        </is>
      </c>
      <c r="D874" t="inlineStr">
        <is>
          <t>WY 100 B599m 1987</t>
        </is>
      </c>
      <c r="E874" t="inlineStr">
        <is>
          <t>0                      WY 0100000B  599m        1987</t>
        </is>
      </c>
      <c r="F874" t="inlineStr">
        <is>
          <t>Medical-surgical nursing : common health problems of adults and children across the life span / Diane McGovern Billings, Lillian Gatlin Stokes.</t>
        </is>
      </c>
      <c r="H874" t="inlineStr">
        <is>
          <t>No</t>
        </is>
      </c>
      <c r="I874" t="inlineStr">
        <is>
          <t>1</t>
        </is>
      </c>
      <c r="J874" t="inlineStr">
        <is>
          <t>No</t>
        </is>
      </c>
      <c r="K874" t="inlineStr">
        <is>
          <t>No</t>
        </is>
      </c>
      <c r="L874" t="inlineStr">
        <is>
          <t>0</t>
        </is>
      </c>
      <c r="M874" t="inlineStr">
        <is>
          <t>Billings, Diane McGovern.</t>
        </is>
      </c>
      <c r="N874" t="inlineStr">
        <is>
          <t>St. Louis : Mosby, c1987.</t>
        </is>
      </c>
      <c r="O874" t="inlineStr">
        <is>
          <t>1987</t>
        </is>
      </c>
      <c r="P874" t="inlineStr">
        <is>
          <t>2nd ed.</t>
        </is>
      </c>
      <c r="Q874" t="inlineStr">
        <is>
          <t>eng</t>
        </is>
      </c>
      <c r="R874" t="inlineStr">
        <is>
          <t>xxu</t>
        </is>
      </c>
      <c r="T874" t="inlineStr">
        <is>
          <t xml:space="preserve">WY </t>
        </is>
      </c>
      <c r="U874" t="n">
        <v>11</v>
      </c>
      <c r="V874" t="n">
        <v>11</v>
      </c>
      <c r="W874" t="inlineStr">
        <is>
          <t>1994-02-15</t>
        </is>
      </c>
      <c r="X874" t="inlineStr">
        <is>
          <t>1994-02-15</t>
        </is>
      </c>
      <c r="Y874" t="inlineStr">
        <is>
          <t>1987-12-29</t>
        </is>
      </c>
      <c r="Z874" t="inlineStr">
        <is>
          <t>1987-12-29</t>
        </is>
      </c>
      <c r="AA874" t="n">
        <v>169</v>
      </c>
      <c r="AB874" t="n">
        <v>129</v>
      </c>
      <c r="AC874" t="n">
        <v>234</v>
      </c>
      <c r="AD874" t="n">
        <v>1</v>
      </c>
      <c r="AE874" t="n">
        <v>2</v>
      </c>
      <c r="AF874" t="n">
        <v>1</v>
      </c>
      <c r="AG874" t="n">
        <v>4</v>
      </c>
      <c r="AH874" t="n">
        <v>0</v>
      </c>
      <c r="AI874" t="n">
        <v>1</v>
      </c>
      <c r="AJ874" t="n">
        <v>0</v>
      </c>
      <c r="AK874" t="n">
        <v>0</v>
      </c>
      <c r="AL874" t="n">
        <v>1</v>
      </c>
      <c r="AM874" t="n">
        <v>2</v>
      </c>
      <c r="AN874" t="n">
        <v>0</v>
      </c>
      <c r="AO874" t="n">
        <v>1</v>
      </c>
      <c r="AP874" t="n">
        <v>0</v>
      </c>
      <c r="AQ874" t="n">
        <v>0</v>
      </c>
      <c r="AR874" t="inlineStr">
        <is>
          <t>No</t>
        </is>
      </c>
      <c r="AS874" t="inlineStr">
        <is>
          <t>No</t>
        </is>
      </c>
      <c r="AU874">
        <f>HYPERLINK("https://creighton-primo.hosted.exlibrisgroup.com/primo-explore/search?tab=default_tab&amp;search_scope=EVERYTHING&amp;vid=01CRU&amp;lang=en_US&amp;offset=0&amp;query=any,contains,991001153099702656","Catalog Record")</f>
        <v/>
      </c>
      <c r="AV874">
        <f>HYPERLINK("http://www.worldcat.org/oclc/14130739","WorldCat Record")</f>
        <v/>
      </c>
      <c r="AW874" t="inlineStr">
        <is>
          <t>7534611:eng</t>
        </is>
      </c>
      <c r="AX874" t="inlineStr">
        <is>
          <t>14130739</t>
        </is>
      </c>
      <c r="AY874" t="inlineStr">
        <is>
          <t>991001153099702656</t>
        </is>
      </c>
      <c r="AZ874" t="inlineStr">
        <is>
          <t>991001153099702656</t>
        </is>
      </c>
      <c r="BA874" t="inlineStr">
        <is>
          <t>2271715430002656</t>
        </is>
      </c>
      <c r="BB874" t="inlineStr">
        <is>
          <t>BOOK</t>
        </is>
      </c>
      <c r="BD874" t="inlineStr">
        <is>
          <t>9780801605925</t>
        </is>
      </c>
      <c r="BE874" t="inlineStr">
        <is>
          <t>30001000297046</t>
        </is>
      </c>
      <c r="BF874" t="inlineStr">
        <is>
          <t>893541064</t>
        </is>
      </c>
    </row>
    <row r="875">
      <c r="A875" t="inlineStr">
        <is>
          <t>No</t>
        </is>
      </c>
      <c r="B875" t="inlineStr">
        <is>
          <t>CUHSL</t>
        </is>
      </c>
      <c r="C875" t="inlineStr">
        <is>
          <t>SHELVES</t>
        </is>
      </c>
      <c r="D875" t="inlineStr">
        <is>
          <t>WY 100 B622n 1991</t>
        </is>
      </c>
      <c r="E875" t="inlineStr">
        <is>
          <t>0                      WY 0100000B  622n        1991</t>
        </is>
      </c>
      <c r="F875" t="inlineStr">
        <is>
          <t>Nursing : the practice of caring / Anne H. Bishop and John R. Scudder, Jr.</t>
        </is>
      </c>
      <c r="H875" t="inlineStr">
        <is>
          <t>No</t>
        </is>
      </c>
      <c r="I875" t="inlineStr">
        <is>
          <t>1</t>
        </is>
      </c>
      <c r="J875" t="inlineStr">
        <is>
          <t>No</t>
        </is>
      </c>
      <c r="K875" t="inlineStr">
        <is>
          <t>No</t>
        </is>
      </c>
      <c r="L875" t="inlineStr">
        <is>
          <t>0</t>
        </is>
      </c>
      <c r="M875" t="inlineStr">
        <is>
          <t>Bishop, Anne H., 1935-</t>
        </is>
      </c>
      <c r="N875" t="inlineStr">
        <is>
          <t>New York : National League for Nursing, c1991.</t>
        </is>
      </c>
      <c r="O875" t="inlineStr">
        <is>
          <t>1991</t>
        </is>
      </c>
      <c r="Q875" t="inlineStr">
        <is>
          <t>eng</t>
        </is>
      </c>
      <c r="R875" t="inlineStr">
        <is>
          <t>nyu</t>
        </is>
      </c>
      <c r="S875" t="inlineStr">
        <is>
          <t>NLN pub. no. 14-2442.</t>
        </is>
      </c>
      <c r="T875" t="inlineStr">
        <is>
          <t xml:space="preserve">WY </t>
        </is>
      </c>
      <c r="U875" t="n">
        <v>0</v>
      </c>
      <c r="V875" t="n">
        <v>0</v>
      </c>
      <c r="W875" t="inlineStr">
        <is>
          <t>2007-04-13</t>
        </is>
      </c>
      <c r="X875" t="inlineStr">
        <is>
          <t>2007-04-13</t>
        </is>
      </c>
      <c r="Y875" t="inlineStr">
        <is>
          <t>2000-06-15</t>
        </is>
      </c>
      <c r="Z875" t="inlineStr">
        <is>
          <t>2000-06-15</t>
        </is>
      </c>
      <c r="AA875" t="n">
        <v>399</v>
      </c>
      <c r="AB875" t="n">
        <v>339</v>
      </c>
      <c r="AC875" t="n">
        <v>339</v>
      </c>
      <c r="AD875" t="n">
        <v>3</v>
      </c>
      <c r="AE875" t="n">
        <v>3</v>
      </c>
      <c r="AF875" t="n">
        <v>16</v>
      </c>
      <c r="AG875" t="n">
        <v>16</v>
      </c>
      <c r="AH875" t="n">
        <v>7</v>
      </c>
      <c r="AI875" t="n">
        <v>7</v>
      </c>
      <c r="AJ875" t="n">
        <v>3</v>
      </c>
      <c r="AK875" t="n">
        <v>3</v>
      </c>
      <c r="AL875" t="n">
        <v>7</v>
      </c>
      <c r="AM875" t="n">
        <v>7</v>
      </c>
      <c r="AN875" t="n">
        <v>2</v>
      </c>
      <c r="AO875" t="n">
        <v>2</v>
      </c>
      <c r="AP875" t="n">
        <v>0</v>
      </c>
      <c r="AQ875" t="n">
        <v>0</v>
      </c>
      <c r="AR875" t="inlineStr">
        <is>
          <t>No</t>
        </is>
      </c>
      <c r="AS875" t="inlineStr">
        <is>
          <t>No</t>
        </is>
      </c>
      <c r="AU875">
        <f>HYPERLINK("https://creighton-primo.hosted.exlibrisgroup.com/primo-explore/search?tab=default_tab&amp;search_scope=EVERYTHING&amp;vid=01CRU&amp;lang=en_US&amp;offset=0&amp;query=any,contains,991000230669702656","Catalog Record")</f>
        <v/>
      </c>
      <c r="AV875">
        <f>HYPERLINK("http://www.worldcat.org/oclc/2772672","WorldCat Record")</f>
        <v/>
      </c>
      <c r="AW875" t="inlineStr">
        <is>
          <t>5975984:eng</t>
        </is>
      </c>
      <c r="AX875" t="inlineStr">
        <is>
          <t>2772672</t>
        </is>
      </c>
      <c r="AY875" t="inlineStr">
        <is>
          <t>991000230669702656</t>
        </is>
      </c>
      <c r="AZ875" t="inlineStr">
        <is>
          <t>991000230669702656</t>
        </is>
      </c>
      <c r="BA875" t="inlineStr">
        <is>
          <t>2262651270002656</t>
        </is>
      </c>
      <c r="BB875" t="inlineStr">
        <is>
          <t>BOOK</t>
        </is>
      </c>
      <c r="BD875" t="inlineStr">
        <is>
          <t>9780887375378</t>
        </is>
      </c>
      <c r="BE875" t="inlineStr">
        <is>
          <t>30001002276360</t>
        </is>
      </c>
      <c r="BF875" t="inlineStr">
        <is>
          <t>893122409</t>
        </is>
      </c>
    </row>
    <row r="876">
      <c r="A876" t="inlineStr">
        <is>
          <t>No</t>
        </is>
      </c>
      <c r="B876" t="inlineStr">
        <is>
          <t>CUHSL</t>
        </is>
      </c>
      <c r="C876" t="inlineStr">
        <is>
          <t>SHELVES</t>
        </is>
      </c>
      <c r="D876" t="inlineStr">
        <is>
          <t>WY 100 B651h 1986</t>
        </is>
      </c>
      <c r="E876" t="inlineStr">
        <is>
          <t>0                      WY 0100000B  651h        1986</t>
        </is>
      </c>
      <c r="F876" t="inlineStr">
        <is>
          <t>Health assessment for professional nursing : a developmental approach / Gloria J. Block, JoEllen W. Nolan ; with the contributions of Mary K. Dempsey-Noreika ... [et al.].</t>
        </is>
      </c>
      <c r="H876" t="inlineStr">
        <is>
          <t>No</t>
        </is>
      </c>
      <c r="I876" t="inlineStr">
        <is>
          <t>1</t>
        </is>
      </c>
      <c r="J876" t="inlineStr">
        <is>
          <t>No</t>
        </is>
      </c>
      <c r="K876" t="inlineStr">
        <is>
          <t>No</t>
        </is>
      </c>
      <c r="L876" t="inlineStr">
        <is>
          <t>0</t>
        </is>
      </c>
      <c r="M876" t="inlineStr">
        <is>
          <t>Block, Gloria J., 1952-</t>
        </is>
      </c>
      <c r="N876" t="inlineStr">
        <is>
          <t>East Norwalk, Conn. : Appleton-Century-Crofts, c1986.</t>
        </is>
      </c>
      <c r="O876" t="inlineStr">
        <is>
          <t>1986</t>
        </is>
      </c>
      <c r="P876" t="inlineStr">
        <is>
          <t>2nd ed.</t>
        </is>
      </c>
      <c r="Q876" t="inlineStr">
        <is>
          <t>eng</t>
        </is>
      </c>
      <c r="R876" t="inlineStr">
        <is>
          <t>xxu</t>
        </is>
      </c>
      <c r="T876" t="inlineStr">
        <is>
          <t xml:space="preserve">WY </t>
        </is>
      </c>
      <c r="U876" t="n">
        <v>3</v>
      </c>
      <c r="V876" t="n">
        <v>3</v>
      </c>
      <c r="W876" t="inlineStr">
        <is>
          <t>1988-03-15</t>
        </is>
      </c>
      <c r="X876" t="inlineStr">
        <is>
          <t>1988-03-15</t>
        </is>
      </c>
      <c r="Y876" t="inlineStr">
        <is>
          <t>1987-12-29</t>
        </is>
      </c>
      <c r="Z876" t="inlineStr">
        <is>
          <t>1987-12-29</t>
        </is>
      </c>
      <c r="AA876" t="n">
        <v>212</v>
      </c>
      <c r="AB876" t="n">
        <v>183</v>
      </c>
      <c r="AC876" t="n">
        <v>249</v>
      </c>
      <c r="AD876" t="n">
        <v>3</v>
      </c>
      <c r="AE876" t="n">
        <v>3</v>
      </c>
      <c r="AF876" t="n">
        <v>6</v>
      </c>
      <c r="AG876" t="n">
        <v>8</v>
      </c>
      <c r="AH876" t="n">
        <v>2</v>
      </c>
      <c r="AI876" t="n">
        <v>3</v>
      </c>
      <c r="AJ876" t="n">
        <v>1</v>
      </c>
      <c r="AK876" t="n">
        <v>1</v>
      </c>
      <c r="AL876" t="n">
        <v>5</v>
      </c>
      <c r="AM876" t="n">
        <v>6</v>
      </c>
      <c r="AN876" t="n">
        <v>0</v>
      </c>
      <c r="AO876" t="n">
        <v>0</v>
      </c>
      <c r="AP876" t="n">
        <v>0</v>
      </c>
      <c r="AQ876" t="n">
        <v>0</v>
      </c>
      <c r="AR876" t="inlineStr">
        <is>
          <t>No</t>
        </is>
      </c>
      <c r="AS876" t="inlineStr">
        <is>
          <t>Yes</t>
        </is>
      </c>
      <c r="AT876">
        <f>HYPERLINK("http://catalog.hathitrust.org/Record/000485156","HathiTrust Record")</f>
        <v/>
      </c>
      <c r="AU876">
        <f>HYPERLINK("https://creighton-primo.hosted.exlibrisgroup.com/primo-explore/search?tab=default_tab&amp;search_scope=EVERYTHING&amp;vid=01CRU&amp;lang=en_US&amp;offset=0&amp;query=any,contains,991000923179702656","Catalog Record")</f>
        <v/>
      </c>
      <c r="AV876">
        <f>HYPERLINK("http://www.worldcat.org/oclc/13126308","WorldCat Record")</f>
        <v/>
      </c>
      <c r="AW876" t="inlineStr">
        <is>
          <t>5708852:eng</t>
        </is>
      </c>
      <c r="AX876" t="inlineStr">
        <is>
          <t>13126308</t>
        </is>
      </c>
      <c r="AY876" t="inlineStr">
        <is>
          <t>991000923179702656</t>
        </is>
      </c>
      <c r="AZ876" t="inlineStr">
        <is>
          <t>991000923179702656</t>
        </is>
      </c>
      <c r="BA876" t="inlineStr">
        <is>
          <t>2256201150002656</t>
        </is>
      </c>
      <c r="BB876" t="inlineStr">
        <is>
          <t>BOOK</t>
        </is>
      </c>
      <c r="BD876" t="inlineStr">
        <is>
          <t>9780838536612</t>
        </is>
      </c>
      <c r="BE876" t="inlineStr">
        <is>
          <t>30001000850216</t>
        </is>
      </c>
      <c r="BF876" t="inlineStr">
        <is>
          <t>893651807</t>
        </is>
      </c>
    </row>
    <row r="877">
      <c r="A877" t="inlineStr">
        <is>
          <t>No</t>
        </is>
      </c>
      <c r="B877" t="inlineStr">
        <is>
          <t>CUHSL</t>
        </is>
      </c>
      <c r="C877" t="inlineStr">
        <is>
          <t>SHELVES</t>
        </is>
      </c>
      <c r="D877" t="inlineStr">
        <is>
          <t>WY 100 B791 1975</t>
        </is>
      </c>
      <c r="E877" t="inlineStr">
        <is>
          <t>0                      WY 0100000B  791         1975</t>
        </is>
      </c>
      <c r="F877" t="inlineStr">
        <is>
          <t>Nutrition in nursing / Lorraine Stith Boykin ; ill. by Robert Dexter.</t>
        </is>
      </c>
      <c r="H877" t="inlineStr">
        <is>
          <t>No</t>
        </is>
      </c>
      <c r="I877" t="inlineStr">
        <is>
          <t>1</t>
        </is>
      </c>
      <c r="J877" t="inlineStr">
        <is>
          <t>No</t>
        </is>
      </c>
      <c r="K877" t="inlineStr">
        <is>
          <t>No</t>
        </is>
      </c>
      <c r="L877" t="inlineStr">
        <is>
          <t>0</t>
        </is>
      </c>
      <c r="M877" t="inlineStr">
        <is>
          <t>Boykin-Stith, Lorraine.</t>
        </is>
      </c>
      <c r="N877" t="inlineStr">
        <is>
          <t>-- Flushing, N.Y. : Medical Examination Pub. Co., c1975.</t>
        </is>
      </c>
      <c r="O877" t="inlineStr">
        <is>
          <t>1975</t>
        </is>
      </c>
      <c r="Q877" t="inlineStr">
        <is>
          <t>eng</t>
        </is>
      </c>
      <c r="R877" t="inlineStr">
        <is>
          <t>nyu</t>
        </is>
      </c>
      <c r="S877" t="inlineStr">
        <is>
          <t>Nursing outline series</t>
        </is>
      </c>
      <c r="T877" t="inlineStr">
        <is>
          <t xml:space="preserve">WY </t>
        </is>
      </c>
      <c r="U877" t="n">
        <v>3</v>
      </c>
      <c r="V877" t="n">
        <v>3</v>
      </c>
      <c r="W877" t="inlineStr">
        <is>
          <t>1990-02-02</t>
        </is>
      </c>
      <c r="X877" t="inlineStr">
        <is>
          <t>1990-02-02</t>
        </is>
      </c>
      <c r="Y877" t="inlineStr">
        <is>
          <t>1987-12-29</t>
        </is>
      </c>
      <c r="Z877" t="inlineStr">
        <is>
          <t>1987-12-29</t>
        </is>
      </c>
      <c r="AA877" t="n">
        <v>101</v>
      </c>
      <c r="AB877" t="n">
        <v>85</v>
      </c>
      <c r="AC877" t="n">
        <v>87</v>
      </c>
      <c r="AD877" t="n">
        <v>2</v>
      </c>
      <c r="AE877" t="n">
        <v>2</v>
      </c>
      <c r="AF877" t="n">
        <v>2</v>
      </c>
      <c r="AG877" t="n">
        <v>2</v>
      </c>
      <c r="AH877" t="n">
        <v>0</v>
      </c>
      <c r="AI877" t="n">
        <v>0</v>
      </c>
      <c r="AJ877" t="n">
        <v>0</v>
      </c>
      <c r="AK877" t="n">
        <v>0</v>
      </c>
      <c r="AL877" t="n">
        <v>1</v>
      </c>
      <c r="AM877" t="n">
        <v>1</v>
      </c>
      <c r="AN877" t="n">
        <v>1</v>
      </c>
      <c r="AO877" t="n">
        <v>1</v>
      </c>
      <c r="AP877" t="n">
        <v>0</v>
      </c>
      <c r="AQ877" t="n">
        <v>0</v>
      </c>
      <c r="AR877" t="inlineStr">
        <is>
          <t>No</t>
        </is>
      </c>
      <c r="AS877" t="inlineStr">
        <is>
          <t>Yes</t>
        </is>
      </c>
      <c r="AT877">
        <f>HYPERLINK("http://catalog.hathitrust.org/Record/000034861","HathiTrust Record")</f>
        <v/>
      </c>
      <c r="AU877">
        <f>HYPERLINK("https://creighton-primo.hosted.exlibrisgroup.com/primo-explore/search?tab=default_tab&amp;search_scope=EVERYTHING&amp;vid=01CRU&amp;lang=en_US&amp;offset=0&amp;query=any,contains,991001153199702656","Catalog Record")</f>
        <v/>
      </c>
      <c r="AV877">
        <f>HYPERLINK("http://www.worldcat.org/oclc/1322160","WorldCat Record")</f>
        <v/>
      </c>
      <c r="AW877" t="inlineStr">
        <is>
          <t>3943276844:eng</t>
        </is>
      </c>
      <c r="AX877" t="inlineStr">
        <is>
          <t>1322160</t>
        </is>
      </c>
      <c r="AY877" t="inlineStr">
        <is>
          <t>991001153199702656</t>
        </is>
      </c>
      <c r="AZ877" t="inlineStr">
        <is>
          <t>991001153199702656</t>
        </is>
      </c>
      <c r="BA877" t="inlineStr">
        <is>
          <t>2255009100002656</t>
        </is>
      </c>
      <c r="BB877" t="inlineStr">
        <is>
          <t>BOOK</t>
        </is>
      </c>
      <c r="BD877" t="inlineStr">
        <is>
          <t>9780874883756</t>
        </is>
      </c>
      <c r="BE877" t="inlineStr">
        <is>
          <t>30001000297087</t>
        </is>
      </c>
      <c r="BF877" t="inlineStr">
        <is>
          <t>893465237</t>
        </is>
      </c>
    </row>
    <row r="878">
      <c r="A878" t="inlineStr">
        <is>
          <t>No</t>
        </is>
      </c>
      <c r="B878" t="inlineStr">
        <is>
          <t>CUHSL</t>
        </is>
      </c>
      <c r="C878" t="inlineStr">
        <is>
          <t>SHELVES</t>
        </is>
      </c>
      <c r="D878" t="inlineStr">
        <is>
          <t>WY 100 B838d 1987</t>
        </is>
      </c>
      <c r="E878" t="inlineStr">
        <is>
          <t>0                      WY 0100000B  838d        1987</t>
        </is>
      </c>
      <c r="F878" t="inlineStr">
        <is>
          <t>Diagnostic tests and procedures : applying the nursing process / Zara Brenner.</t>
        </is>
      </c>
      <c r="H878" t="inlineStr">
        <is>
          <t>No</t>
        </is>
      </c>
      <c r="I878" t="inlineStr">
        <is>
          <t>1</t>
        </is>
      </c>
      <c r="J878" t="inlineStr">
        <is>
          <t>No</t>
        </is>
      </c>
      <c r="K878" t="inlineStr">
        <is>
          <t>No</t>
        </is>
      </c>
      <c r="L878" t="inlineStr">
        <is>
          <t>0</t>
        </is>
      </c>
      <c r="M878" t="inlineStr">
        <is>
          <t>Brenner, Zara.</t>
        </is>
      </c>
      <c r="N878" t="inlineStr">
        <is>
          <t>Norwalk, Conn. : Appleton &amp; Lange, c1987.</t>
        </is>
      </c>
      <c r="O878" t="inlineStr">
        <is>
          <t>1987</t>
        </is>
      </c>
      <c r="Q878" t="inlineStr">
        <is>
          <t>eng</t>
        </is>
      </c>
      <c r="R878" t="inlineStr">
        <is>
          <t>xxu</t>
        </is>
      </c>
      <c r="T878" t="inlineStr">
        <is>
          <t xml:space="preserve">WY </t>
        </is>
      </c>
      <c r="U878" t="n">
        <v>4</v>
      </c>
      <c r="V878" t="n">
        <v>4</v>
      </c>
      <c r="W878" t="inlineStr">
        <is>
          <t>2002-05-30</t>
        </is>
      </c>
      <c r="X878" t="inlineStr">
        <is>
          <t>2002-05-30</t>
        </is>
      </c>
      <c r="Y878" t="inlineStr">
        <is>
          <t>1988-01-12</t>
        </is>
      </c>
      <c r="Z878" t="inlineStr">
        <is>
          <t>1988-01-12</t>
        </is>
      </c>
      <c r="AA878" t="n">
        <v>148</v>
      </c>
      <c r="AB878" t="n">
        <v>130</v>
      </c>
      <c r="AC878" t="n">
        <v>133</v>
      </c>
      <c r="AD878" t="n">
        <v>2</v>
      </c>
      <c r="AE878" t="n">
        <v>2</v>
      </c>
      <c r="AF878" t="n">
        <v>2</v>
      </c>
      <c r="AG878" t="n">
        <v>2</v>
      </c>
      <c r="AH878" t="n">
        <v>1</v>
      </c>
      <c r="AI878" t="n">
        <v>1</v>
      </c>
      <c r="AJ878" t="n">
        <v>0</v>
      </c>
      <c r="AK878" t="n">
        <v>0</v>
      </c>
      <c r="AL878" t="n">
        <v>1</v>
      </c>
      <c r="AM878" t="n">
        <v>1</v>
      </c>
      <c r="AN878" t="n">
        <v>0</v>
      </c>
      <c r="AO878" t="n">
        <v>0</v>
      </c>
      <c r="AP878" t="n">
        <v>0</v>
      </c>
      <c r="AQ878" t="n">
        <v>0</v>
      </c>
      <c r="AR878" t="inlineStr">
        <is>
          <t>No</t>
        </is>
      </c>
      <c r="AS878" t="inlineStr">
        <is>
          <t>Yes</t>
        </is>
      </c>
      <c r="AT878">
        <f>HYPERLINK("http://catalog.hathitrust.org/Record/000839742","HathiTrust Record")</f>
        <v/>
      </c>
      <c r="AU878">
        <f>HYPERLINK("https://creighton-primo.hosted.exlibrisgroup.com/primo-explore/search?tab=default_tab&amp;search_scope=EVERYTHING&amp;vid=01CRU&amp;lang=en_US&amp;offset=0&amp;query=any,contains,991001535879702656","Catalog Record")</f>
        <v/>
      </c>
      <c r="AV878">
        <f>HYPERLINK("http://www.worldcat.org/oclc/15518025","WorldCat Record")</f>
        <v/>
      </c>
      <c r="AW878" t="inlineStr">
        <is>
          <t>10130390:eng</t>
        </is>
      </c>
      <c r="AX878" t="inlineStr">
        <is>
          <t>15518025</t>
        </is>
      </c>
      <c r="AY878" t="inlineStr">
        <is>
          <t>991001535879702656</t>
        </is>
      </c>
      <c r="AZ878" t="inlineStr">
        <is>
          <t>991001535879702656</t>
        </is>
      </c>
      <c r="BA878" t="inlineStr">
        <is>
          <t>2265171100002656</t>
        </is>
      </c>
      <c r="BB878" t="inlineStr">
        <is>
          <t>BOOK</t>
        </is>
      </c>
      <c r="BD878" t="inlineStr">
        <is>
          <t>9780838515945</t>
        </is>
      </c>
      <c r="BE878" t="inlineStr">
        <is>
          <t>30001000622870</t>
        </is>
      </c>
      <c r="BF878" t="inlineStr">
        <is>
          <t>893638420</t>
        </is>
      </c>
    </row>
    <row r="879">
      <c r="A879" t="inlineStr">
        <is>
          <t>No</t>
        </is>
      </c>
      <c r="B879" t="inlineStr">
        <is>
          <t>CUHSL</t>
        </is>
      </c>
      <c r="C879" t="inlineStr">
        <is>
          <t>SHELVES</t>
        </is>
      </c>
      <c r="D879" t="inlineStr">
        <is>
          <t>WY 100 B932 1974</t>
        </is>
      </c>
      <c r="E879" t="inlineStr">
        <is>
          <t>0                      WY 0100000B  932         1974</t>
        </is>
      </c>
      <c r="F879" t="inlineStr">
        <is>
          <t>Building for the future.</t>
        </is>
      </c>
      <c r="H879" t="inlineStr">
        <is>
          <t>No</t>
        </is>
      </c>
      <c r="I879" t="inlineStr">
        <is>
          <t>1</t>
        </is>
      </c>
      <c r="J879" t="inlineStr">
        <is>
          <t>No</t>
        </is>
      </c>
      <c r="K879" t="inlineStr">
        <is>
          <t>No</t>
        </is>
      </c>
      <c r="L879" t="inlineStr">
        <is>
          <t>0</t>
        </is>
      </c>
      <c r="N879" t="inlineStr">
        <is>
          <t>[Kansas City, Mo.] : American Nurses' Association, c1975.</t>
        </is>
      </c>
      <c r="O879" t="inlineStr">
        <is>
          <t>1975</t>
        </is>
      </c>
      <c r="Q879" t="inlineStr">
        <is>
          <t>eng</t>
        </is>
      </c>
      <c r="R879" t="inlineStr">
        <is>
          <t>mou</t>
        </is>
      </c>
      <c r="S879" t="inlineStr">
        <is>
          <t>ANA pub ; no. NP-47</t>
        </is>
      </c>
      <c r="T879" t="inlineStr">
        <is>
          <t xml:space="preserve">WY </t>
        </is>
      </c>
      <c r="U879" t="n">
        <v>1</v>
      </c>
      <c r="V879" t="n">
        <v>1</v>
      </c>
      <c r="W879" t="inlineStr">
        <is>
          <t>1991-07-23</t>
        </is>
      </c>
      <c r="X879" t="inlineStr">
        <is>
          <t>1991-07-23</t>
        </is>
      </c>
      <c r="Y879" t="inlineStr">
        <is>
          <t>1987-12-10</t>
        </is>
      </c>
      <c r="Z879" t="inlineStr">
        <is>
          <t>1987-12-10</t>
        </is>
      </c>
      <c r="AA879" t="n">
        <v>52</v>
      </c>
      <c r="AB879" t="n">
        <v>44</v>
      </c>
      <c r="AC879" t="n">
        <v>44</v>
      </c>
      <c r="AD879" t="n">
        <v>1</v>
      </c>
      <c r="AE879" t="n">
        <v>1</v>
      </c>
      <c r="AF879" t="n">
        <v>3</v>
      </c>
      <c r="AG879" t="n">
        <v>3</v>
      </c>
      <c r="AH879" t="n">
        <v>1</v>
      </c>
      <c r="AI879" t="n">
        <v>1</v>
      </c>
      <c r="AJ879" t="n">
        <v>0</v>
      </c>
      <c r="AK879" t="n">
        <v>0</v>
      </c>
      <c r="AL879" t="n">
        <v>2</v>
      </c>
      <c r="AM879" t="n">
        <v>2</v>
      </c>
      <c r="AN879" t="n">
        <v>0</v>
      </c>
      <c r="AO879" t="n">
        <v>0</v>
      </c>
      <c r="AP879" t="n">
        <v>0</v>
      </c>
      <c r="AQ879" t="n">
        <v>0</v>
      </c>
      <c r="AR879" t="inlineStr">
        <is>
          <t>No</t>
        </is>
      </c>
      <c r="AS879" t="inlineStr">
        <is>
          <t>No</t>
        </is>
      </c>
      <c r="AU879">
        <f>HYPERLINK("https://creighton-primo.hosted.exlibrisgroup.com/primo-explore/search?tab=default_tab&amp;search_scope=EVERYTHING&amp;vid=01CRU&amp;lang=en_US&amp;offset=0&amp;query=any,contains,991001521679702656","Catalog Record")</f>
        <v/>
      </c>
      <c r="AV879">
        <f>HYPERLINK("http://www.worldcat.org/oclc/1898814","WorldCat Record")</f>
        <v/>
      </c>
      <c r="AW879" t="inlineStr">
        <is>
          <t>54091378:eng</t>
        </is>
      </c>
      <c r="AX879" t="inlineStr">
        <is>
          <t>1898814</t>
        </is>
      </c>
      <c r="AY879" t="inlineStr">
        <is>
          <t>991001521679702656</t>
        </is>
      </c>
      <c r="AZ879" t="inlineStr">
        <is>
          <t>991001521679702656</t>
        </is>
      </c>
      <c r="BA879" t="inlineStr">
        <is>
          <t>2264243900002656</t>
        </is>
      </c>
      <c r="BB879" t="inlineStr">
        <is>
          <t>BOOK</t>
        </is>
      </c>
      <c r="BE879" t="inlineStr">
        <is>
          <t>30001000603003</t>
        </is>
      </c>
      <c r="BF879" t="inlineStr">
        <is>
          <t>893652056</t>
        </is>
      </c>
    </row>
    <row r="880">
      <c r="A880" t="inlineStr">
        <is>
          <t>No</t>
        </is>
      </c>
      <c r="B880" t="inlineStr">
        <is>
          <t>CUHSL</t>
        </is>
      </c>
      <c r="C880" t="inlineStr">
        <is>
          <t>SHELVES</t>
        </is>
      </c>
      <c r="D880" t="inlineStr">
        <is>
          <t>WY 100 B967h 1980</t>
        </is>
      </c>
      <c r="E880" t="inlineStr">
        <is>
          <t>0                      WY 0100000B  967h        1980</t>
        </is>
      </c>
      <c r="F880" t="inlineStr">
        <is>
          <t>Health assessment in clinical practice / Kenneth R. Burns, Patricia J. Johnson.</t>
        </is>
      </c>
      <c r="H880" t="inlineStr">
        <is>
          <t>No</t>
        </is>
      </c>
      <c r="I880" t="inlineStr">
        <is>
          <t>1</t>
        </is>
      </c>
      <c r="J880" t="inlineStr">
        <is>
          <t>No</t>
        </is>
      </c>
      <c r="K880" t="inlineStr">
        <is>
          <t>No</t>
        </is>
      </c>
      <c r="L880" t="inlineStr">
        <is>
          <t>0</t>
        </is>
      </c>
      <c r="M880" t="inlineStr">
        <is>
          <t>Burns, Kenneth R.</t>
        </is>
      </c>
      <c r="N880" t="inlineStr">
        <is>
          <t>Englewood Cliffs, N. J. : Prentice-Hall, c1980.</t>
        </is>
      </c>
      <c r="O880" t="inlineStr">
        <is>
          <t>1980</t>
        </is>
      </c>
      <c r="Q880" t="inlineStr">
        <is>
          <t>eng</t>
        </is>
      </c>
      <c r="R880" t="inlineStr">
        <is>
          <t>xxu</t>
        </is>
      </c>
      <c r="T880" t="inlineStr">
        <is>
          <t xml:space="preserve">WY </t>
        </is>
      </c>
      <c r="U880" t="n">
        <v>2</v>
      </c>
      <c r="V880" t="n">
        <v>2</v>
      </c>
      <c r="W880" t="inlineStr">
        <is>
          <t>1988-04-29</t>
        </is>
      </c>
      <c r="X880" t="inlineStr">
        <is>
          <t>1988-04-29</t>
        </is>
      </c>
      <c r="Y880" t="inlineStr">
        <is>
          <t>1987-12-29</t>
        </is>
      </c>
      <c r="Z880" t="inlineStr">
        <is>
          <t>1987-12-29</t>
        </is>
      </c>
      <c r="AA880" t="n">
        <v>245</v>
      </c>
      <c r="AB880" t="n">
        <v>199</v>
      </c>
      <c r="AC880" t="n">
        <v>221</v>
      </c>
      <c r="AD880" t="n">
        <v>3</v>
      </c>
      <c r="AE880" t="n">
        <v>4</v>
      </c>
      <c r="AF880" t="n">
        <v>6</v>
      </c>
      <c r="AG880" t="n">
        <v>8</v>
      </c>
      <c r="AH880" t="n">
        <v>2</v>
      </c>
      <c r="AI880" t="n">
        <v>2</v>
      </c>
      <c r="AJ880" t="n">
        <v>1</v>
      </c>
      <c r="AK880" t="n">
        <v>2</v>
      </c>
      <c r="AL880" t="n">
        <v>3</v>
      </c>
      <c r="AM880" t="n">
        <v>3</v>
      </c>
      <c r="AN880" t="n">
        <v>1</v>
      </c>
      <c r="AO880" t="n">
        <v>2</v>
      </c>
      <c r="AP880" t="n">
        <v>0</v>
      </c>
      <c r="AQ880" t="n">
        <v>0</v>
      </c>
      <c r="AR880" t="inlineStr">
        <is>
          <t>No</t>
        </is>
      </c>
      <c r="AS880" t="inlineStr">
        <is>
          <t>Yes</t>
        </is>
      </c>
      <c r="AT880">
        <f>HYPERLINK("http://catalog.hathitrust.org/Record/000018385","HathiTrust Record")</f>
        <v/>
      </c>
      <c r="AU880">
        <f>HYPERLINK("https://creighton-primo.hosted.exlibrisgroup.com/primo-explore/search?tab=default_tab&amp;search_scope=EVERYTHING&amp;vid=01CRU&amp;lang=en_US&amp;offset=0&amp;query=any,contains,991001145919702656","Catalog Record")</f>
        <v/>
      </c>
      <c r="AV880">
        <f>HYPERLINK("http://www.worldcat.org/oclc/6088403","WorldCat Record")</f>
        <v/>
      </c>
      <c r="AW880" t="inlineStr">
        <is>
          <t>411070:eng</t>
        </is>
      </c>
      <c r="AX880" t="inlineStr">
        <is>
          <t>6088403</t>
        </is>
      </c>
      <c r="AY880" t="inlineStr">
        <is>
          <t>991001145919702656</t>
        </is>
      </c>
      <c r="AZ880" t="inlineStr">
        <is>
          <t>991001145919702656</t>
        </is>
      </c>
      <c r="BA880" t="inlineStr">
        <is>
          <t>2256068110002656</t>
        </is>
      </c>
      <c r="BB880" t="inlineStr">
        <is>
          <t>BOOK</t>
        </is>
      </c>
      <c r="BD880" t="inlineStr">
        <is>
          <t>9780133850543</t>
        </is>
      </c>
      <c r="BE880" t="inlineStr">
        <is>
          <t>30001000292120</t>
        </is>
      </c>
      <c r="BF880" t="inlineStr">
        <is>
          <t>893284457</t>
        </is>
      </c>
    </row>
    <row r="881">
      <c r="A881" t="inlineStr">
        <is>
          <t>No</t>
        </is>
      </c>
      <c r="B881" t="inlineStr">
        <is>
          <t>CUHSL</t>
        </is>
      </c>
      <c r="C881" t="inlineStr">
        <is>
          <t>SHELVES</t>
        </is>
      </c>
      <c r="D881" t="inlineStr">
        <is>
          <t>WY 100 C212 1988</t>
        </is>
      </c>
      <c r="E881" t="inlineStr">
        <is>
          <t>0                      WY 0100000C  212         1988</t>
        </is>
      </c>
      <c r="F881" t="inlineStr">
        <is>
          <t>Canadian nursing faces the future : development and change / edited by Alice Baumgart and Jenniece Larsen.</t>
        </is>
      </c>
      <c r="H881" t="inlineStr">
        <is>
          <t>No</t>
        </is>
      </c>
      <c r="I881" t="inlineStr">
        <is>
          <t>1</t>
        </is>
      </c>
      <c r="J881" t="inlineStr">
        <is>
          <t>No</t>
        </is>
      </c>
      <c r="K881" t="inlineStr">
        <is>
          <t>No</t>
        </is>
      </c>
      <c r="L881" t="inlineStr">
        <is>
          <t>0</t>
        </is>
      </c>
      <c r="N881" t="inlineStr">
        <is>
          <t>St. Louis, Mo. ; Toronto : Mosby, c1988.</t>
        </is>
      </c>
      <c r="O881" t="inlineStr">
        <is>
          <t>1988</t>
        </is>
      </c>
      <c r="Q881" t="inlineStr">
        <is>
          <t>eng</t>
        </is>
      </c>
      <c r="R881" t="inlineStr">
        <is>
          <t>mou</t>
        </is>
      </c>
      <c r="T881" t="inlineStr">
        <is>
          <t xml:space="preserve">WY </t>
        </is>
      </c>
      <c r="U881" t="n">
        <v>5</v>
      </c>
      <c r="V881" t="n">
        <v>5</v>
      </c>
      <c r="W881" t="inlineStr">
        <is>
          <t>1996-03-04</t>
        </is>
      </c>
      <c r="X881" t="inlineStr">
        <is>
          <t>1996-03-04</t>
        </is>
      </c>
      <c r="Y881" t="inlineStr">
        <is>
          <t>1991-03-15</t>
        </is>
      </c>
      <c r="Z881" t="inlineStr">
        <is>
          <t>1991-03-15</t>
        </is>
      </c>
      <c r="AA881" t="n">
        <v>51</v>
      </c>
      <c r="AB881" t="n">
        <v>8</v>
      </c>
      <c r="AC881" t="n">
        <v>27</v>
      </c>
      <c r="AD881" t="n">
        <v>1</v>
      </c>
      <c r="AE881" t="n">
        <v>1</v>
      </c>
      <c r="AF881" t="n">
        <v>0</v>
      </c>
      <c r="AG881" t="n">
        <v>2</v>
      </c>
      <c r="AH881" t="n">
        <v>0</v>
      </c>
      <c r="AI881" t="n">
        <v>1</v>
      </c>
      <c r="AJ881" t="n">
        <v>0</v>
      </c>
      <c r="AK881" t="n">
        <v>0</v>
      </c>
      <c r="AL881" t="n">
        <v>0</v>
      </c>
      <c r="AM881" t="n">
        <v>2</v>
      </c>
      <c r="AN881" t="n">
        <v>0</v>
      </c>
      <c r="AO881" t="n">
        <v>0</v>
      </c>
      <c r="AP881" t="n">
        <v>0</v>
      </c>
      <c r="AQ881" t="n">
        <v>0</v>
      </c>
      <c r="AR881" t="inlineStr">
        <is>
          <t>No</t>
        </is>
      </c>
      <c r="AS881" t="inlineStr">
        <is>
          <t>No</t>
        </is>
      </c>
      <c r="AU881">
        <f>HYPERLINK("https://creighton-primo.hosted.exlibrisgroup.com/primo-explore/search?tab=default_tab&amp;search_scope=EVERYTHING&amp;vid=01CRU&amp;lang=en_US&amp;offset=0&amp;query=any,contains,991000825839702656","Catalog Record")</f>
        <v/>
      </c>
      <c r="AV881">
        <f>HYPERLINK("http://www.worldcat.org/oclc/17768464","WorldCat Record")</f>
        <v/>
      </c>
      <c r="AW881" t="inlineStr">
        <is>
          <t>894493410:eng</t>
        </is>
      </c>
      <c r="AX881" t="inlineStr">
        <is>
          <t>17768464</t>
        </is>
      </c>
      <c r="AY881" t="inlineStr">
        <is>
          <t>991000825839702656</t>
        </is>
      </c>
      <c r="AZ881" t="inlineStr">
        <is>
          <t>991000825839702656</t>
        </is>
      </c>
      <c r="BA881" t="inlineStr">
        <is>
          <t>2258966520002656</t>
        </is>
      </c>
      <c r="BB881" t="inlineStr">
        <is>
          <t>BOOK</t>
        </is>
      </c>
      <c r="BD881" t="inlineStr">
        <is>
          <t>9780801605277</t>
        </is>
      </c>
      <c r="BE881" t="inlineStr">
        <is>
          <t>30001002088633</t>
        </is>
      </c>
      <c r="BF881" t="inlineStr">
        <is>
          <t>893540661</t>
        </is>
      </c>
    </row>
    <row r="882">
      <c r="A882" t="inlineStr">
        <is>
          <t>No</t>
        </is>
      </c>
      <c r="B882" t="inlineStr">
        <is>
          <t>CUHSL</t>
        </is>
      </c>
      <c r="C882" t="inlineStr">
        <is>
          <t>SHELVES</t>
        </is>
      </c>
      <c r="D882" t="inlineStr">
        <is>
          <t>WY100 C294n 1999</t>
        </is>
      </c>
      <c r="E882" t="inlineStr">
        <is>
          <t>0                      WY 0100000C  294n        1999</t>
        </is>
      </c>
      <c r="F882" t="inlineStr">
        <is>
          <t>Nursing care plans &amp; documentation : nursing diagnoses and collaborative problems / Lynda Juall Carpenito.</t>
        </is>
      </c>
      <c r="H882" t="inlineStr">
        <is>
          <t>No</t>
        </is>
      </c>
      <c r="I882" t="inlineStr">
        <is>
          <t>1</t>
        </is>
      </c>
      <c r="J882" t="inlineStr">
        <is>
          <t>No</t>
        </is>
      </c>
      <c r="K882" t="inlineStr">
        <is>
          <t>Yes</t>
        </is>
      </c>
      <c r="L882" t="inlineStr">
        <is>
          <t>1</t>
        </is>
      </c>
      <c r="M882" t="inlineStr">
        <is>
          <t>Carpenito, Lynda Juall.</t>
        </is>
      </c>
      <c r="N882" t="inlineStr">
        <is>
          <t>Philadelphia : Lippincott, c1999.</t>
        </is>
      </c>
      <c r="O882" t="inlineStr">
        <is>
          <t>1999</t>
        </is>
      </c>
      <c r="P882" t="inlineStr">
        <is>
          <t>3rd ed.</t>
        </is>
      </c>
      <c r="Q882" t="inlineStr">
        <is>
          <t>eng</t>
        </is>
      </c>
      <c r="R882" t="inlineStr">
        <is>
          <t>pau</t>
        </is>
      </c>
      <c r="T882" t="inlineStr">
        <is>
          <t xml:space="preserve">WY </t>
        </is>
      </c>
      <c r="U882" t="n">
        <v>3</v>
      </c>
      <c r="V882" t="n">
        <v>3</v>
      </c>
      <c r="W882" t="inlineStr">
        <is>
          <t>2002-10-10</t>
        </is>
      </c>
      <c r="X882" t="inlineStr">
        <is>
          <t>2002-10-10</t>
        </is>
      </c>
      <c r="Y882" t="inlineStr">
        <is>
          <t>2002-06-28</t>
        </is>
      </c>
      <c r="Z882" t="inlineStr">
        <is>
          <t>2002-06-28</t>
        </is>
      </c>
      <c r="AA882" t="n">
        <v>285</v>
      </c>
      <c r="AB882" t="n">
        <v>210</v>
      </c>
      <c r="AC882" t="n">
        <v>945</v>
      </c>
      <c r="AD882" t="n">
        <v>1</v>
      </c>
      <c r="AE882" t="n">
        <v>3</v>
      </c>
      <c r="AF882" t="n">
        <v>5</v>
      </c>
      <c r="AG882" t="n">
        <v>22</v>
      </c>
      <c r="AH882" t="n">
        <v>2</v>
      </c>
      <c r="AI882" t="n">
        <v>6</v>
      </c>
      <c r="AJ882" t="n">
        <v>0</v>
      </c>
      <c r="AK882" t="n">
        <v>5</v>
      </c>
      <c r="AL882" t="n">
        <v>3</v>
      </c>
      <c r="AM882" t="n">
        <v>14</v>
      </c>
      <c r="AN882" t="n">
        <v>0</v>
      </c>
      <c r="AO882" t="n">
        <v>2</v>
      </c>
      <c r="AP882" t="n">
        <v>0</v>
      </c>
      <c r="AQ882" t="n">
        <v>0</v>
      </c>
      <c r="AR882" t="inlineStr">
        <is>
          <t>No</t>
        </is>
      </c>
      <c r="AS882" t="inlineStr">
        <is>
          <t>Yes</t>
        </is>
      </c>
      <c r="AT882">
        <f>HYPERLINK("http://catalog.hathitrust.org/Record/004020946","HathiTrust Record")</f>
        <v/>
      </c>
      <c r="AU882">
        <f>HYPERLINK("https://creighton-primo.hosted.exlibrisgroup.com/primo-explore/search?tab=default_tab&amp;search_scope=EVERYTHING&amp;vid=01CRU&amp;lang=en_US&amp;offset=0&amp;query=any,contains,991000319509702656","Catalog Record")</f>
        <v/>
      </c>
      <c r="AV882">
        <f>HYPERLINK("http://www.worldcat.org/oclc/39982677","WorldCat Record")</f>
        <v/>
      </c>
      <c r="AW882" t="inlineStr">
        <is>
          <t>8101607:eng</t>
        </is>
      </c>
      <c r="AX882" t="inlineStr">
        <is>
          <t>39982677</t>
        </is>
      </c>
      <c r="AY882" t="inlineStr">
        <is>
          <t>991000319509702656</t>
        </is>
      </c>
      <c r="AZ882" t="inlineStr">
        <is>
          <t>991000319509702656</t>
        </is>
      </c>
      <c r="BA882" t="inlineStr">
        <is>
          <t>2258043470002656</t>
        </is>
      </c>
      <c r="BB882" t="inlineStr">
        <is>
          <t>BOOK</t>
        </is>
      </c>
      <c r="BD882" t="inlineStr">
        <is>
          <t>9780781717427</t>
        </is>
      </c>
      <c r="BE882" t="inlineStr">
        <is>
          <t>30001004239580</t>
        </is>
      </c>
      <c r="BF882" t="inlineStr">
        <is>
          <t>893122971</t>
        </is>
      </c>
    </row>
    <row r="883">
      <c r="A883" t="inlineStr">
        <is>
          <t>No</t>
        </is>
      </c>
      <c r="B883" t="inlineStr">
        <is>
          <t>CUHSL</t>
        </is>
      </c>
      <c r="C883" t="inlineStr">
        <is>
          <t>SHELVES</t>
        </is>
      </c>
      <c r="D883" t="inlineStr">
        <is>
          <t>WY 100 C294n 2004</t>
        </is>
      </c>
      <c r="E883" t="inlineStr">
        <is>
          <t>0                      WY 0100000C  294n        2004</t>
        </is>
      </c>
      <c r="F883" t="inlineStr">
        <is>
          <t>Nursing care plans &amp; documentation : nursing diagnoses and collaborative problems / Lynda Juall Carpenito-Moyet.</t>
        </is>
      </c>
      <c r="H883" t="inlineStr">
        <is>
          <t>No</t>
        </is>
      </c>
      <c r="I883" t="inlineStr">
        <is>
          <t>1</t>
        </is>
      </c>
      <c r="J883" t="inlineStr">
        <is>
          <t>No</t>
        </is>
      </c>
      <c r="K883" t="inlineStr">
        <is>
          <t>Yes</t>
        </is>
      </c>
      <c r="L883" t="inlineStr">
        <is>
          <t>1</t>
        </is>
      </c>
      <c r="M883" t="inlineStr">
        <is>
          <t>Carpenito, Lynda Juall.</t>
        </is>
      </c>
      <c r="N883" t="inlineStr">
        <is>
          <t>Philadelphia : Lippincott Williams &amp; Wilkins, c2004.</t>
        </is>
      </c>
      <c r="O883" t="inlineStr">
        <is>
          <t>2004</t>
        </is>
      </c>
      <c r="P883" t="inlineStr">
        <is>
          <t>4th ed.</t>
        </is>
      </c>
      <c r="Q883" t="inlineStr">
        <is>
          <t>eng</t>
        </is>
      </c>
      <c r="R883" t="inlineStr">
        <is>
          <t>pau</t>
        </is>
      </c>
      <c r="T883" t="inlineStr">
        <is>
          <t xml:space="preserve">WY </t>
        </is>
      </c>
      <c r="U883" t="n">
        <v>2</v>
      </c>
      <c r="V883" t="n">
        <v>2</v>
      </c>
      <c r="W883" t="inlineStr">
        <is>
          <t>2004-09-09</t>
        </is>
      </c>
      <c r="X883" t="inlineStr">
        <is>
          <t>2004-09-09</t>
        </is>
      </c>
      <c r="Y883" t="inlineStr">
        <is>
          <t>2004-09-08</t>
        </is>
      </c>
      <c r="Z883" t="inlineStr">
        <is>
          <t>2004-09-08</t>
        </is>
      </c>
      <c r="AA883" t="n">
        <v>437</v>
      </c>
      <c r="AB883" t="n">
        <v>321</v>
      </c>
      <c r="AC883" t="n">
        <v>945</v>
      </c>
      <c r="AD883" t="n">
        <v>1</v>
      </c>
      <c r="AE883" t="n">
        <v>3</v>
      </c>
      <c r="AF883" t="n">
        <v>7</v>
      </c>
      <c r="AG883" t="n">
        <v>22</v>
      </c>
      <c r="AH883" t="n">
        <v>1</v>
      </c>
      <c r="AI883" t="n">
        <v>6</v>
      </c>
      <c r="AJ883" t="n">
        <v>2</v>
      </c>
      <c r="AK883" t="n">
        <v>5</v>
      </c>
      <c r="AL883" t="n">
        <v>6</v>
      </c>
      <c r="AM883" t="n">
        <v>14</v>
      </c>
      <c r="AN883" t="n">
        <v>0</v>
      </c>
      <c r="AO883" t="n">
        <v>2</v>
      </c>
      <c r="AP883" t="n">
        <v>0</v>
      </c>
      <c r="AQ883" t="n">
        <v>0</v>
      </c>
      <c r="AR883" t="inlineStr">
        <is>
          <t>No</t>
        </is>
      </c>
      <c r="AS883" t="inlineStr">
        <is>
          <t>No</t>
        </is>
      </c>
      <c r="AU883">
        <f>HYPERLINK("https://creighton-primo.hosted.exlibrisgroup.com/primo-explore/search?tab=default_tab&amp;search_scope=EVERYTHING&amp;vid=01CRU&amp;lang=en_US&amp;offset=0&amp;query=any,contains,991000384919702656","Catalog Record")</f>
        <v/>
      </c>
      <c r="AV883">
        <f>HYPERLINK("http://www.worldcat.org/oclc/52041446","WorldCat Record")</f>
        <v/>
      </c>
      <c r="AW883" t="inlineStr">
        <is>
          <t>8101607:eng</t>
        </is>
      </c>
      <c r="AX883" t="inlineStr">
        <is>
          <t>52041446</t>
        </is>
      </c>
      <c r="AY883" t="inlineStr">
        <is>
          <t>991000384919702656</t>
        </is>
      </c>
      <c r="AZ883" t="inlineStr">
        <is>
          <t>991000384919702656</t>
        </is>
      </c>
      <c r="BA883" t="inlineStr">
        <is>
          <t>2258799080002656</t>
        </is>
      </c>
      <c r="BB883" t="inlineStr">
        <is>
          <t>BOOK</t>
        </is>
      </c>
      <c r="BD883" t="inlineStr">
        <is>
          <t>9780781739061</t>
        </is>
      </c>
      <c r="BE883" t="inlineStr">
        <is>
          <t>30001004506848</t>
        </is>
      </c>
      <c r="BF883" t="inlineStr">
        <is>
          <t>893370439</t>
        </is>
      </c>
    </row>
    <row r="884">
      <c r="A884" t="inlineStr">
        <is>
          <t>No</t>
        </is>
      </c>
      <c r="B884" t="inlineStr">
        <is>
          <t>CUHSL</t>
        </is>
      </c>
      <c r="C884" t="inlineStr">
        <is>
          <t>SHELVES</t>
        </is>
      </c>
      <c r="D884" t="inlineStr">
        <is>
          <t>WY 100 C319 1983</t>
        </is>
      </c>
      <c r="E884" t="inlineStr">
        <is>
          <t>0                      WY 0100000C  319         1983</t>
        </is>
      </c>
      <c r="F884" t="inlineStr">
        <is>
          <t>Carrying out special procedures.</t>
        </is>
      </c>
      <c r="H884" t="inlineStr">
        <is>
          <t>No</t>
        </is>
      </c>
      <c r="I884" t="inlineStr">
        <is>
          <t>1</t>
        </is>
      </c>
      <c r="J884" t="inlineStr">
        <is>
          <t>No</t>
        </is>
      </c>
      <c r="K884" t="inlineStr">
        <is>
          <t>No</t>
        </is>
      </c>
      <c r="L884" t="inlineStr">
        <is>
          <t>0</t>
        </is>
      </c>
      <c r="N884" t="inlineStr">
        <is>
          <t>Springhouse, Pa. : Intermed Communications, c1983.</t>
        </is>
      </c>
      <c r="O884" t="inlineStr">
        <is>
          <t>1983</t>
        </is>
      </c>
      <c r="Q884" t="inlineStr">
        <is>
          <t>eng</t>
        </is>
      </c>
      <c r="R884" t="inlineStr">
        <is>
          <t>pau</t>
        </is>
      </c>
      <c r="S884" t="inlineStr">
        <is>
          <t>Nursing photobook</t>
        </is>
      </c>
      <c r="T884" t="inlineStr">
        <is>
          <t xml:space="preserve">WY </t>
        </is>
      </c>
      <c r="U884" t="n">
        <v>2</v>
      </c>
      <c r="V884" t="n">
        <v>2</v>
      </c>
      <c r="W884" t="inlineStr">
        <is>
          <t>1993-07-13</t>
        </is>
      </c>
      <c r="X884" t="inlineStr">
        <is>
          <t>1993-07-13</t>
        </is>
      </c>
      <c r="Y884" t="inlineStr">
        <is>
          <t>1987-12-29</t>
        </is>
      </c>
      <c r="Z884" t="inlineStr">
        <is>
          <t>1987-12-29</t>
        </is>
      </c>
      <c r="AA884" t="n">
        <v>202</v>
      </c>
      <c r="AB884" t="n">
        <v>177</v>
      </c>
      <c r="AC884" t="n">
        <v>186</v>
      </c>
      <c r="AD884" t="n">
        <v>2</v>
      </c>
      <c r="AE884" t="n">
        <v>2</v>
      </c>
      <c r="AF884" t="n">
        <v>5</v>
      </c>
      <c r="AG884" t="n">
        <v>5</v>
      </c>
      <c r="AH884" t="n">
        <v>1</v>
      </c>
      <c r="AI884" t="n">
        <v>1</v>
      </c>
      <c r="AJ884" t="n">
        <v>1</v>
      </c>
      <c r="AK884" t="n">
        <v>1</v>
      </c>
      <c r="AL884" t="n">
        <v>3</v>
      </c>
      <c r="AM884" t="n">
        <v>3</v>
      </c>
      <c r="AN884" t="n">
        <v>1</v>
      </c>
      <c r="AO884" t="n">
        <v>1</v>
      </c>
      <c r="AP884" t="n">
        <v>0</v>
      </c>
      <c r="AQ884" t="n">
        <v>0</v>
      </c>
      <c r="AR884" t="inlineStr">
        <is>
          <t>No</t>
        </is>
      </c>
      <c r="AS884" t="inlineStr">
        <is>
          <t>Yes</t>
        </is>
      </c>
      <c r="AT884">
        <f>HYPERLINK("http://catalog.hathitrust.org/Record/000315763","HathiTrust Record")</f>
        <v/>
      </c>
      <c r="AU884">
        <f>HYPERLINK("https://creighton-primo.hosted.exlibrisgroup.com/primo-explore/search?tab=default_tab&amp;search_scope=EVERYTHING&amp;vid=01CRU&amp;lang=en_US&amp;offset=0&amp;query=any,contains,991001145999702656","Catalog Record")</f>
        <v/>
      </c>
      <c r="AV884">
        <f>HYPERLINK("http://www.worldcat.org/oclc/9155145","WorldCat Record")</f>
        <v/>
      </c>
      <c r="AW884" t="inlineStr">
        <is>
          <t>54548144:eng</t>
        </is>
      </c>
      <c r="AX884" t="inlineStr">
        <is>
          <t>9155145</t>
        </is>
      </c>
      <c r="AY884" t="inlineStr">
        <is>
          <t>991001145999702656</t>
        </is>
      </c>
      <c r="AZ884" t="inlineStr">
        <is>
          <t>991001145999702656</t>
        </is>
      </c>
      <c r="BA884" t="inlineStr">
        <is>
          <t>2266253110002656</t>
        </is>
      </c>
      <c r="BB884" t="inlineStr">
        <is>
          <t>BOOK</t>
        </is>
      </c>
      <c r="BD884" t="inlineStr">
        <is>
          <t>9780916730451</t>
        </is>
      </c>
      <c r="BE884" t="inlineStr">
        <is>
          <t>30001000292153</t>
        </is>
      </c>
      <c r="BF884" t="inlineStr">
        <is>
          <t>893831942</t>
        </is>
      </c>
    </row>
    <row r="885">
      <c r="A885" t="inlineStr">
        <is>
          <t>No</t>
        </is>
      </c>
      <c r="B885" t="inlineStr">
        <is>
          <t>CUHSL</t>
        </is>
      </c>
      <c r="C885" t="inlineStr">
        <is>
          <t>SHELVES</t>
        </is>
      </c>
      <c r="D885" t="inlineStr">
        <is>
          <t>WY100 C337 1996</t>
        </is>
      </c>
      <c r="E885" t="inlineStr">
        <is>
          <t>0                      WY 0100000C  337         1996</t>
        </is>
      </c>
      <c r="F885" t="inlineStr">
        <is>
          <t>Case studies in nursing case management : health care delivery in a world of managed care / Suzanne Smith Blancett, Dominick L. Flarey.</t>
        </is>
      </c>
      <c r="H885" t="inlineStr">
        <is>
          <t>No</t>
        </is>
      </c>
      <c r="I885" t="inlineStr">
        <is>
          <t>1</t>
        </is>
      </c>
      <c r="J885" t="inlineStr">
        <is>
          <t>No</t>
        </is>
      </c>
      <c r="K885" t="inlineStr">
        <is>
          <t>No</t>
        </is>
      </c>
      <c r="L885" t="inlineStr">
        <is>
          <t>0</t>
        </is>
      </c>
      <c r="N885" t="inlineStr">
        <is>
          <t>Gaithersburg, Md. : Aspen Publishers, c1996.</t>
        </is>
      </c>
      <c r="O885" t="inlineStr">
        <is>
          <t>1996</t>
        </is>
      </c>
      <c r="Q885" t="inlineStr">
        <is>
          <t>eng</t>
        </is>
      </c>
      <c r="R885" t="inlineStr">
        <is>
          <t>mdu</t>
        </is>
      </c>
      <c r="T885" t="inlineStr">
        <is>
          <t xml:space="preserve">WY </t>
        </is>
      </c>
      <c r="U885" t="n">
        <v>13</v>
      </c>
      <c r="V885" t="n">
        <v>13</v>
      </c>
      <c r="W885" t="inlineStr">
        <is>
          <t>2004-03-19</t>
        </is>
      </c>
      <c r="X885" t="inlineStr">
        <is>
          <t>2004-03-19</t>
        </is>
      </c>
      <c r="Y885" t="inlineStr">
        <is>
          <t>1996-05-21</t>
        </is>
      </c>
      <c r="Z885" t="inlineStr">
        <is>
          <t>1996-05-21</t>
        </is>
      </c>
      <c r="AA885" t="n">
        <v>214</v>
      </c>
      <c r="AB885" t="n">
        <v>185</v>
      </c>
      <c r="AC885" t="n">
        <v>192</v>
      </c>
      <c r="AD885" t="n">
        <v>4</v>
      </c>
      <c r="AE885" t="n">
        <v>4</v>
      </c>
      <c r="AF885" t="n">
        <v>11</v>
      </c>
      <c r="AG885" t="n">
        <v>11</v>
      </c>
      <c r="AH885" t="n">
        <v>5</v>
      </c>
      <c r="AI885" t="n">
        <v>5</v>
      </c>
      <c r="AJ885" t="n">
        <v>2</v>
      </c>
      <c r="AK885" t="n">
        <v>2</v>
      </c>
      <c r="AL885" t="n">
        <v>6</v>
      </c>
      <c r="AM885" t="n">
        <v>6</v>
      </c>
      <c r="AN885" t="n">
        <v>2</v>
      </c>
      <c r="AO885" t="n">
        <v>2</v>
      </c>
      <c r="AP885" t="n">
        <v>0</v>
      </c>
      <c r="AQ885" t="n">
        <v>0</v>
      </c>
      <c r="AR885" t="inlineStr">
        <is>
          <t>No</t>
        </is>
      </c>
      <c r="AS885" t="inlineStr">
        <is>
          <t>Yes</t>
        </is>
      </c>
      <c r="AT885">
        <f>HYPERLINK("http://catalog.hathitrust.org/Record/003049728","HathiTrust Record")</f>
        <v/>
      </c>
      <c r="AU885">
        <f>HYPERLINK("https://creighton-primo.hosted.exlibrisgroup.com/primo-explore/search?tab=default_tab&amp;search_scope=EVERYTHING&amp;vid=01CRU&amp;lang=en_US&amp;offset=0&amp;query=any,contains,991001506909702656","Catalog Record")</f>
        <v/>
      </c>
      <c r="AV885">
        <f>HYPERLINK("http://www.worldcat.org/oclc/33949723","WorldCat Record")</f>
        <v/>
      </c>
      <c r="AW885" t="inlineStr">
        <is>
          <t>474780638:eng</t>
        </is>
      </c>
      <c r="AX885" t="inlineStr">
        <is>
          <t>33949723</t>
        </is>
      </c>
      <c r="AY885" t="inlineStr">
        <is>
          <t>991001506909702656</t>
        </is>
      </c>
      <c r="AZ885" t="inlineStr">
        <is>
          <t>991001506909702656</t>
        </is>
      </c>
      <c r="BA885" t="inlineStr">
        <is>
          <t>2263528700002656</t>
        </is>
      </c>
      <c r="BB885" t="inlineStr">
        <is>
          <t>BOOK</t>
        </is>
      </c>
      <c r="BD885" t="inlineStr">
        <is>
          <t>9780834207899</t>
        </is>
      </c>
      <c r="BE885" t="inlineStr">
        <is>
          <t>30001003264720</t>
        </is>
      </c>
      <c r="BF885" t="inlineStr">
        <is>
          <t>893541461</t>
        </is>
      </c>
    </row>
    <row r="886">
      <c r="A886" t="inlineStr">
        <is>
          <t>No</t>
        </is>
      </c>
      <c r="B886" t="inlineStr">
        <is>
          <t>CUHSL</t>
        </is>
      </c>
      <c r="C886" t="inlineStr">
        <is>
          <t>SHELVES</t>
        </is>
      </c>
      <c r="D886" t="inlineStr">
        <is>
          <t>WY 100 C437 1968</t>
        </is>
      </c>
      <c r="E886" t="inlineStr">
        <is>
          <t>0                      WY 0100000C  437         1968</t>
        </is>
      </c>
      <c r="F886" t="inlineStr">
        <is>
          <t>The challenge of changing patterns : report of the first conference of the Western Region Committee on Community Nursing Service, San Mateo, California, March 22-23, 1968.</t>
        </is>
      </c>
      <c r="H886" t="inlineStr">
        <is>
          <t>No</t>
        </is>
      </c>
      <c r="I886" t="inlineStr">
        <is>
          <t>1</t>
        </is>
      </c>
      <c r="J886" t="inlineStr">
        <is>
          <t>No</t>
        </is>
      </c>
      <c r="K886" t="inlineStr">
        <is>
          <t>No</t>
        </is>
      </c>
      <c r="L886" t="inlineStr">
        <is>
          <t>0</t>
        </is>
      </c>
      <c r="N886" t="inlineStr">
        <is>
          <t>San Francisco : National League for Nursing, 1968.</t>
        </is>
      </c>
      <c r="O886" t="inlineStr">
        <is>
          <t>1968</t>
        </is>
      </c>
      <c r="Q886" t="inlineStr">
        <is>
          <t>eng</t>
        </is>
      </c>
      <c r="R886" t="inlineStr">
        <is>
          <t>nyu</t>
        </is>
      </c>
      <c r="S886" t="inlineStr">
        <is>
          <t>NLN pub. no. 54-1326</t>
        </is>
      </c>
      <c r="T886" t="inlineStr">
        <is>
          <t xml:space="preserve">WY </t>
        </is>
      </c>
      <c r="U886" t="n">
        <v>1</v>
      </c>
      <c r="V886" t="n">
        <v>1</v>
      </c>
      <c r="W886" t="inlineStr">
        <is>
          <t>1990-09-11</t>
        </is>
      </c>
      <c r="X886" t="inlineStr">
        <is>
          <t>1990-09-11</t>
        </is>
      </c>
      <c r="Y886" t="inlineStr">
        <is>
          <t>1987-11-19</t>
        </is>
      </c>
      <c r="Z886" t="inlineStr">
        <is>
          <t>1987-11-19</t>
        </is>
      </c>
      <c r="AA886" t="n">
        <v>54</v>
      </c>
      <c r="AB886" t="n">
        <v>46</v>
      </c>
      <c r="AC886" t="n">
        <v>48</v>
      </c>
      <c r="AD886" t="n">
        <v>2</v>
      </c>
      <c r="AE886" t="n">
        <v>2</v>
      </c>
      <c r="AF886" t="n">
        <v>3</v>
      </c>
      <c r="AG886" t="n">
        <v>3</v>
      </c>
      <c r="AH886" t="n">
        <v>0</v>
      </c>
      <c r="AI886" t="n">
        <v>0</v>
      </c>
      <c r="AJ886" t="n">
        <v>0</v>
      </c>
      <c r="AK886" t="n">
        <v>0</v>
      </c>
      <c r="AL886" t="n">
        <v>3</v>
      </c>
      <c r="AM886" t="n">
        <v>3</v>
      </c>
      <c r="AN886" t="n">
        <v>0</v>
      </c>
      <c r="AO886" t="n">
        <v>0</v>
      </c>
      <c r="AP886" t="n">
        <v>0</v>
      </c>
      <c r="AQ886" t="n">
        <v>0</v>
      </c>
      <c r="AR886" t="inlineStr">
        <is>
          <t>No</t>
        </is>
      </c>
      <c r="AS886" t="inlineStr">
        <is>
          <t>No</t>
        </is>
      </c>
      <c r="AU886">
        <f>HYPERLINK("https://creighton-primo.hosted.exlibrisgroup.com/primo-explore/search?tab=default_tab&amp;search_scope=EVERYTHING&amp;vid=01CRU&amp;lang=en_US&amp;offset=0&amp;query=any,contains,991001517709702656","Catalog Record")</f>
        <v/>
      </c>
      <c r="AV886">
        <f>HYPERLINK("http://www.worldcat.org/oclc/8434","WorldCat Record")</f>
        <v/>
      </c>
      <c r="AW886" t="inlineStr">
        <is>
          <t>1131648:eng</t>
        </is>
      </c>
      <c r="AX886" t="inlineStr">
        <is>
          <t>8434</t>
        </is>
      </c>
      <c r="AY886" t="inlineStr">
        <is>
          <t>991001517709702656</t>
        </is>
      </c>
      <c r="AZ886" t="inlineStr">
        <is>
          <t>991001517709702656</t>
        </is>
      </c>
      <c r="BA886" t="inlineStr">
        <is>
          <t>2256563530002656</t>
        </is>
      </c>
      <c r="BB886" t="inlineStr">
        <is>
          <t>BOOK</t>
        </is>
      </c>
      <c r="BE886" t="inlineStr">
        <is>
          <t>30001000600280</t>
        </is>
      </c>
      <c r="BF886" t="inlineStr">
        <is>
          <t>893832278</t>
        </is>
      </c>
    </row>
    <row r="887">
      <c r="A887" t="inlineStr">
        <is>
          <t>No</t>
        </is>
      </c>
      <c r="B887" t="inlineStr">
        <is>
          <t>CUHSL</t>
        </is>
      </c>
      <c r="C887" t="inlineStr">
        <is>
          <t>SHELVES</t>
        </is>
      </c>
      <c r="D887" t="inlineStr">
        <is>
          <t>WY100 C457 1999</t>
        </is>
      </c>
      <c r="E887" t="inlineStr">
        <is>
          <t>0                      WY 0100000C  457         1999</t>
        </is>
      </c>
      <c r="F887" t="inlineStr">
        <is>
          <t>The changing nature of nursing in a managerial age / edited by Ian J. Norman and Sarah Cowley.</t>
        </is>
      </c>
      <c r="H887" t="inlineStr">
        <is>
          <t>No</t>
        </is>
      </c>
      <c r="I887" t="inlineStr">
        <is>
          <t>1</t>
        </is>
      </c>
      <c r="J887" t="inlineStr">
        <is>
          <t>No</t>
        </is>
      </c>
      <c r="K887" t="inlineStr">
        <is>
          <t>No</t>
        </is>
      </c>
      <c r="L887" t="inlineStr">
        <is>
          <t>0</t>
        </is>
      </c>
      <c r="N887" t="inlineStr">
        <is>
          <t>Oxford ; Malden, MA : Blackwell Science, 1999.</t>
        </is>
      </c>
      <c r="O887" t="inlineStr">
        <is>
          <t>1999</t>
        </is>
      </c>
      <c r="Q887" t="inlineStr">
        <is>
          <t>eng</t>
        </is>
      </c>
      <c r="R887" t="inlineStr">
        <is>
          <t>enk</t>
        </is>
      </c>
      <c r="T887" t="inlineStr">
        <is>
          <t xml:space="preserve">WY </t>
        </is>
      </c>
      <c r="U887" t="n">
        <v>1</v>
      </c>
      <c r="V887" t="n">
        <v>1</v>
      </c>
      <c r="W887" t="inlineStr">
        <is>
          <t>2003-05-27</t>
        </is>
      </c>
      <c r="X887" t="inlineStr">
        <is>
          <t>2003-05-27</t>
        </is>
      </c>
      <c r="Y887" t="inlineStr">
        <is>
          <t>2002-07-02</t>
        </is>
      </c>
      <c r="Z887" t="inlineStr">
        <is>
          <t>2002-07-02</t>
        </is>
      </c>
      <c r="AA887" t="n">
        <v>161</v>
      </c>
      <c r="AB887" t="n">
        <v>82</v>
      </c>
      <c r="AC887" t="n">
        <v>756</v>
      </c>
      <c r="AD887" t="n">
        <v>1</v>
      </c>
      <c r="AE887" t="n">
        <v>2</v>
      </c>
      <c r="AF887" t="n">
        <v>1</v>
      </c>
      <c r="AG887" t="n">
        <v>10</v>
      </c>
      <c r="AH887" t="n">
        <v>0</v>
      </c>
      <c r="AI887" t="n">
        <v>5</v>
      </c>
      <c r="AJ887" t="n">
        <v>0</v>
      </c>
      <c r="AK887" t="n">
        <v>4</v>
      </c>
      <c r="AL887" t="n">
        <v>1</v>
      </c>
      <c r="AM887" t="n">
        <v>4</v>
      </c>
      <c r="AN887" t="n">
        <v>0</v>
      </c>
      <c r="AO887" t="n">
        <v>0</v>
      </c>
      <c r="AP887" t="n">
        <v>0</v>
      </c>
      <c r="AQ887" t="n">
        <v>0</v>
      </c>
      <c r="AR887" t="inlineStr">
        <is>
          <t>No</t>
        </is>
      </c>
      <c r="AS887" t="inlineStr">
        <is>
          <t>No</t>
        </is>
      </c>
      <c r="AU887">
        <f>HYPERLINK("https://creighton-primo.hosted.exlibrisgroup.com/primo-explore/search?tab=default_tab&amp;search_scope=EVERYTHING&amp;vid=01CRU&amp;lang=en_US&amp;offset=0&amp;query=any,contains,991000321019702656","Catalog Record")</f>
        <v/>
      </c>
      <c r="AV887">
        <f>HYPERLINK("http://www.worldcat.org/oclc/40862065","WorldCat Record")</f>
        <v/>
      </c>
      <c r="AW887" t="inlineStr">
        <is>
          <t>416526826:eng</t>
        </is>
      </c>
      <c r="AX887" t="inlineStr">
        <is>
          <t>40862065</t>
        </is>
      </c>
      <c r="AY887" t="inlineStr">
        <is>
          <t>991000321019702656</t>
        </is>
      </c>
      <c r="AZ887" t="inlineStr">
        <is>
          <t>991000321019702656</t>
        </is>
      </c>
      <c r="BA887" t="inlineStr">
        <is>
          <t>2272129910002656</t>
        </is>
      </c>
      <c r="BB887" t="inlineStr">
        <is>
          <t>BOOK</t>
        </is>
      </c>
      <c r="BD887" t="inlineStr">
        <is>
          <t>9780632042524</t>
        </is>
      </c>
      <c r="BE887" t="inlineStr">
        <is>
          <t>30001004442572</t>
        </is>
      </c>
      <c r="BF887" t="inlineStr">
        <is>
          <t>893274958</t>
        </is>
      </c>
    </row>
    <row r="888">
      <c r="A888" t="inlineStr">
        <is>
          <t>No</t>
        </is>
      </c>
      <c r="B888" t="inlineStr">
        <is>
          <t>CUHSL</t>
        </is>
      </c>
      <c r="C888" t="inlineStr">
        <is>
          <t>SHELVES</t>
        </is>
      </c>
      <c r="D888" t="inlineStr">
        <is>
          <t>WY 100 C614 1978-1980c</t>
        </is>
      </c>
      <c r="E888" t="inlineStr">
        <is>
          <t>0                      WY 0100000C  614         1978                                        -1980c</t>
        </is>
      </c>
      <c r="F888" t="inlineStr">
        <is>
          <t>Classification of nursing diagnoses : proceedings of the third and fourth national conferences / edited by Mi Ja Kim, Derry Ann Moritz.</t>
        </is>
      </c>
      <c r="H888" t="inlineStr">
        <is>
          <t>No</t>
        </is>
      </c>
      <c r="I888" t="inlineStr">
        <is>
          <t>1</t>
        </is>
      </c>
      <c r="J888" t="inlineStr">
        <is>
          <t>No</t>
        </is>
      </c>
      <c r="K888" t="inlineStr">
        <is>
          <t>Yes</t>
        </is>
      </c>
      <c r="L888" t="inlineStr">
        <is>
          <t>0</t>
        </is>
      </c>
      <c r="N888" t="inlineStr">
        <is>
          <t>New York : McGraw-Hill, c1982.</t>
        </is>
      </c>
      <c r="O888" t="inlineStr">
        <is>
          <t>1982</t>
        </is>
      </c>
      <c r="Q888" t="inlineStr">
        <is>
          <t>eng</t>
        </is>
      </c>
      <c r="R888" t="inlineStr">
        <is>
          <t>xxu</t>
        </is>
      </c>
      <c r="T888" t="inlineStr">
        <is>
          <t xml:space="preserve">WY </t>
        </is>
      </c>
      <c r="U888" t="n">
        <v>7</v>
      </c>
      <c r="V888" t="n">
        <v>7</v>
      </c>
      <c r="W888" t="inlineStr">
        <is>
          <t>1991-03-28</t>
        </is>
      </c>
      <c r="X888" t="inlineStr">
        <is>
          <t>1991-03-28</t>
        </is>
      </c>
      <c r="Y888" t="inlineStr">
        <is>
          <t>1989-03-27</t>
        </is>
      </c>
      <c r="Z888" t="inlineStr">
        <is>
          <t>1989-03-27</t>
        </is>
      </c>
      <c r="AA888" t="n">
        <v>241</v>
      </c>
      <c r="AB888" t="n">
        <v>206</v>
      </c>
      <c r="AC888" t="n">
        <v>345</v>
      </c>
      <c r="AD888" t="n">
        <v>1</v>
      </c>
      <c r="AE888" t="n">
        <v>1</v>
      </c>
      <c r="AF888" t="n">
        <v>10</v>
      </c>
      <c r="AG888" t="n">
        <v>13</v>
      </c>
      <c r="AH888" t="n">
        <v>4</v>
      </c>
      <c r="AI888" t="n">
        <v>5</v>
      </c>
      <c r="AJ888" t="n">
        <v>2</v>
      </c>
      <c r="AK888" t="n">
        <v>3</v>
      </c>
      <c r="AL888" t="n">
        <v>7</v>
      </c>
      <c r="AM888" t="n">
        <v>9</v>
      </c>
      <c r="AN888" t="n">
        <v>0</v>
      </c>
      <c r="AO888" t="n">
        <v>0</v>
      </c>
      <c r="AP888" t="n">
        <v>0</v>
      </c>
      <c r="AQ888" t="n">
        <v>0</v>
      </c>
      <c r="AR888" t="inlineStr">
        <is>
          <t>No</t>
        </is>
      </c>
      <c r="AS888" t="inlineStr">
        <is>
          <t>Yes</t>
        </is>
      </c>
      <c r="AT888">
        <f>HYPERLINK("http://catalog.hathitrust.org/Record/000224255","HathiTrust Record")</f>
        <v/>
      </c>
      <c r="AU888">
        <f>HYPERLINK("https://creighton-primo.hosted.exlibrisgroup.com/primo-explore/search?tab=default_tab&amp;search_scope=EVERYTHING&amp;vid=01CRU&amp;lang=en_US&amp;offset=0&amp;query=any,contains,991001242769702656","Catalog Record")</f>
        <v/>
      </c>
      <c r="AV888">
        <f>HYPERLINK("http://www.worldcat.org/oclc/7653697","WorldCat Record")</f>
        <v/>
      </c>
      <c r="AW888" t="inlineStr">
        <is>
          <t>28557636:eng</t>
        </is>
      </c>
      <c r="AX888" t="inlineStr">
        <is>
          <t>7653697</t>
        </is>
      </c>
      <c r="AY888" t="inlineStr">
        <is>
          <t>991001242769702656</t>
        </is>
      </c>
      <c r="AZ888" t="inlineStr">
        <is>
          <t>991001242769702656</t>
        </is>
      </c>
      <c r="BA888" t="inlineStr">
        <is>
          <t>2255056980002656</t>
        </is>
      </c>
      <c r="BB888" t="inlineStr">
        <is>
          <t>BOOK</t>
        </is>
      </c>
      <c r="BD888" t="inlineStr">
        <is>
          <t>9780070345478</t>
        </is>
      </c>
      <c r="BE888" t="inlineStr">
        <is>
          <t>30001001676107</t>
        </is>
      </c>
      <c r="BF888" t="inlineStr">
        <is>
          <t>893821064</t>
        </is>
      </c>
    </row>
    <row r="889">
      <c r="A889" t="inlineStr">
        <is>
          <t>No</t>
        </is>
      </c>
      <c r="B889" t="inlineStr">
        <is>
          <t>CUHSL</t>
        </is>
      </c>
      <c r="C889" t="inlineStr">
        <is>
          <t>SHELVES</t>
        </is>
      </c>
      <c r="D889" t="inlineStr">
        <is>
          <t>WY 100 C614 1984</t>
        </is>
      </c>
      <c r="E889" t="inlineStr">
        <is>
          <t>0                      WY 0100000C  614         1984</t>
        </is>
      </c>
      <c r="F889" t="inlineStr">
        <is>
          <t>Classification of nursing diagnoses : proceedings of the sixth conference / North American Nursing Diagnosis Association ; edited by Mary E. Hurley.</t>
        </is>
      </c>
      <c r="H889" t="inlineStr">
        <is>
          <t>No</t>
        </is>
      </c>
      <c r="I889" t="inlineStr">
        <is>
          <t>1</t>
        </is>
      </c>
      <c r="J889" t="inlineStr">
        <is>
          <t>No</t>
        </is>
      </c>
      <c r="K889" t="inlineStr">
        <is>
          <t>No</t>
        </is>
      </c>
      <c r="L889" t="inlineStr">
        <is>
          <t>0</t>
        </is>
      </c>
      <c r="N889" t="inlineStr">
        <is>
          <t>St. Louis : Mosby, c1986.</t>
        </is>
      </c>
      <c r="O889" t="inlineStr">
        <is>
          <t>1986</t>
        </is>
      </c>
      <c r="Q889" t="inlineStr">
        <is>
          <t>eng</t>
        </is>
      </c>
      <c r="R889" t="inlineStr">
        <is>
          <t>xxu</t>
        </is>
      </c>
      <c r="T889" t="inlineStr">
        <is>
          <t xml:space="preserve">WY </t>
        </is>
      </c>
      <c r="U889" t="n">
        <v>18</v>
      </c>
      <c r="V889" t="n">
        <v>18</v>
      </c>
      <c r="W889" t="inlineStr">
        <is>
          <t>2008-02-04</t>
        </is>
      </c>
      <c r="X889" t="inlineStr">
        <is>
          <t>2008-02-04</t>
        </is>
      </c>
      <c r="Y889" t="inlineStr">
        <is>
          <t>1989-03-27</t>
        </is>
      </c>
      <c r="Z889" t="inlineStr">
        <is>
          <t>1989-03-27</t>
        </is>
      </c>
      <c r="AA889" t="n">
        <v>194</v>
      </c>
      <c r="AB889" t="n">
        <v>153</v>
      </c>
      <c r="AC889" t="n">
        <v>160</v>
      </c>
      <c r="AD889" t="n">
        <v>1</v>
      </c>
      <c r="AE889" t="n">
        <v>1</v>
      </c>
      <c r="AF889" t="n">
        <v>4</v>
      </c>
      <c r="AG889" t="n">
        <v>4</v>
      </c>
      <c r="AH889" t="n">
        <v>2</v>
      </c>
      <c r="AI889" t="n">
        <v>2</v>
      </c>
      <c r="AJ889" t="n">
        <v>0</v>
      </c>
      <c r="AK889" t="n">
        <v>0</v>
      </c>
      <c r="AL889" t="n">
        <v>2</v>
      </c>
      <c r="AM889" t="n">
        <v>2</v>
      </c>
      <c r="AN889" t="n">
        <v>0</v>
      </c>
      <c r="AO889" t="n">
        <v>0</v>
      </c>
      <c r="AP889" t="n">
        <v>0</v>
      </c>
      <c r="AQ889" t="n">
        <v>0</v>
      </c>
      <c r="AR889" t="inlineStr">
        <is>
          <t>No</t>
        </is>
      </c>
      <c r="AS889" t="inlineStr">
        <is>
          <t>Yes</t>
        </is>
      </c>
      <c r="AT889">
        <f>HYPERLINK("http://catalog.hathitrust.org/Record/000403331","HathiTrust Record")</f>
        <v/>
      </c>
      <c r="AU889">
        <f>HYPERLINK("https://creighton-primo.hosted.exlibrisgroup.com/primo-explore/search?tab=default_tab&amp;search_scope=EVERYTHING&amp;vid=01CRU&amp;lang=en_US&amp;offset=0&amp;query=any,contains,991001242809702656","Catalog Record")</f>
        <v/>
      </c>
      <c r="AV889">
        <f>HYPERLINK("http://www.worldcat.org/oclc/13007046","WorldCat Record")</f>
        <v/>
      </c>
      <c r="AW889" t="inlineStr">
        <is>
          <t>902254918:eng</t>
        </is>
      </c>
      <c r="AX889" t="inlineStr">
        <is>
          <t>13007046</t>
        </is>
      </c>
      <c r="AY889" t="inlineStr">
        <is>
          <t>991001242809702656</t>
        </is>
      </c>
      <c r="AZ889" t="inlineStr">
        <is>
          <t>991001242809702656</t>
        </is>
      </c>
      <c r="BA889" t="inlineStr">
        <is>
          <t>2256717810002656</t>
        </is>
      </c>
      <c r="BB889" t="inlineStr">
        <is>
          <t>BOOK</t>
        </is>
      </c>
      <c r="BD889" t="inlineStr">
        <is>
          <t>9780801637667</t>
        </is>
      </c>
      <c r="BE889" t="inlineStr">
        <is>
          <t>30001001676123</t>
        </is>
      </c>
      <c r="BF889" t="inlineStr">
        <is>
          <t>893134369</t>
        </is>
      </c>
    </row>
    <row r="890">
      <c r="A890" t="inlineStr">
        <is>
          <t>No</t>
        </is>
      </c>
      <c r="B890" t="inlineStr">
        <is>
          <t>CUHSL</t>
        </is>
      </c>
      <c r="C890" t="inlineStr">
        <is>
          <t>SHELVES</t>
        </is>
      </c>
      <c r="D890" t="inlineStr">
        <is>
          <t>WY 100 C614 1986</t>
        </is>
      </c>
      <c r="E890" t="inlineStr">
        <is>
          <t>0                      WY 0100000C  614         1986</t>
        </is>
      </c>
      <c r="F890" t="inlineStr">
        <is>
          <t>Classification of nursing diagnoses : proceedings of the seventh conference / North American Nursing Diagnosis Association ; edited by Audrey M. McLane.</t>
        </is>
      </c>
      <c r="H890" t="inlineStr">
        <is>
          <t>No</t>
        </is>
      </c>
      <c r="I890" t="inlineStr">
        <is>
          <t>1</t>
        </is>
      </c>
      <c r="J890" t="inlineStr">
        <is>
          <t>No</t>
        </is>
      </c>
      <c r="K890" t="inlineStr">
        <is>
          <t>Yes</t>
        </is>
      </c>
      <c r="L890" t="inlineStr">
        <is>
          <t>0</t>
        </is>
      </c>
      <c r="N890" t="inlineStr">
        <is>
          <t>St. Louis : Mosby, c1987.</t>
        </is>
      </c>
      <c r="O890" t="inlineStr">
        <is>
          <t>1987</t>
        </is>
      </c>
      <c r="Q890" t="inlineStr">
        <is>
          <t>eng</t>
        </is>
      </c>
      <c r="R890" t="inlineStr">
        <is>
          <t>xxu</t>
        </is>
      </c>
      <c r="T890" t="inlineStr">
        <is>
          <t xml:space="preserve">WY </t>
        </is>
      </c>
      <c r="U890" t="n">
        <v>25</v>
      </c>
      <c r="V890" t="n">
        <v>25</v>
      </c>
      <c r="W890" t="inlineStr">
        <is>
          <t>1995-11-02</t>
        </is>
      </c>
      <c r="X890" t="inlineStr">
        <is>
          <t>1995-11-02</t>
        </is>
      </c>
      <c r="Y890" t="inlineStr">
        <is>
          <t>1987-12-10</t>
        </is>
      </c>
      <c r="Z890" t="inlineStr">
        <is>
          <t>1987-12-10</t>
        </is>
      </c>
      <c r="AA890" t="n">
        <v>217</v>
      </c>
      <c r="AB890" t="n">
        <v>178</v>
      </c>
      <c r="AC890" t="n">
        <v>345</v>
      </c>
      <c r="AD890" t="n">
        <v>1</v>
      </c>
      <c r="AE890" t="n">
        <v>1</v>
      </c>
      <c r="AF890" t="n">
        <v>8</v>
      </c>
      <c r="AG890" t="n">
        <v>13</v>
      </c>
      <c r="AH890" t="n">
        <v>4</v>
      </c>
      <c r="AI890" t="n">
        <v>5</v>
      </c>
      <c r="AJ890" t="n">
        <v>1</v>
      </c>
      <c r="AK890" t="n">
        <v>3</v>
      </c>
      <c r="AL890" t="n">
        <v>6</v>
      </c>
      <c r="AM890" t="n">
        <v>9</v>
      </c>
      <c r="AN890" t="n">
        <v>0</v>
      </c>
      <c r="AO890" t="n">
        <v>0</v>
      </c>
      <c r="AP890" t="n">
        <v>0</v>
      </c>
      <c r="AQ890" t="n">
        <v>0</v>
      </c>
      <c r="AR890" t="inlineStr">
        <is>
          <t>No</t>
        </is>
      </c>
      <c r="AS890" t="inlineStr">
        <is>
          <t>Yes</t>
        </is>
      </c>
      <c r="AT890">
        <f>HYPERLINK("http://catalog.hathitrust.org/Record/000830613","HathiTrust Record")</f>
        <v/>
      </c>
      <c r="AU890">
        <f>HYPERLINK("https://creighton-primo.hosted.exlibrisgroup.com/primo-explore/search?tab=default_tab&amp;search_scope=EVERYTHING&amp;vid=01CRU&amp;lang=en_US&amp;offset=0&amp;query=any,contains,991001532459702656","Catalog Record")</f>
        <v/>
      </c>
      <c r="AV890">
        <f>HYPERLINK("http://www.worldcat.org/oclc/15281880","WorldCat Record")</f>
        <v/>
      </c>
      <c r="AW890" t="inlineStr">
        <is>
          <t>28557636:eng</t>
        </is>
      </c>
      <c r="AX890" t="inlineStr">
        <is>
          <t>15281880</t>
        </is>
      </c>
      <c r="AY890" t="inlineStr">
        <is>
          <t>991001532459702656</t>
        </is>
      </c>
      <c r="AZ890" t="inlineStr">
        <is>
          <t>991001532459702656</t>
        </is>
      </c>
      <c r="BA890" t="inlineStr">
        <is>
          <t>2266347540002656</t>
        </is>
      </c>
      <c r="BB890" t="inlineStr">
        <is>
          <t>BOOK</t>
        </is>
      </c>
      <c r="BD890" t="inlineStr">
        <is>
          <t>9780801638473</t>
        </is>
      </c>
      <c r="BE890" t="inlineStr">
        <is>
          <t>30001000621971</t>
        </is>
      </c>
      <c r="BF890" t="inlineStr">
        <is>
          <t>893558075</t>
        </is>
      </c>
    </row>
    <row r="891">
      <c r="A891" t="inlineStr">
        <is>
          <t>No</t>
        </is>
      </c>
      <c r="B891" t="inlineStr">
        <is>
          <t>CUHSL</t>
        </is>
      </c>
      <c r="C891" t="inlineStr">
        <is>
          <t>SHELVES</t>
        </is>
      </c>
      <c r="D891" t="inlineStr">
        <is>
          <t>WY 100 C614 1990</t>
        </is>
      </c>
      <c r="E891" t="inlineStr">
        <is>
          <t>0                      WY 0100000C  614         1990</t>
        </is>
      </c>
      <c r="F891" t="inlineStr">
        <is>
          <t>Classification of nursing diagnoses : proceedings of the ninth conference / North American Nursing Diagnosis Association ; edited by Rose Mary Carroll-Johnson.</t>
        </is>
      </c>
      <c r="H891" t="inlineStr">
        <is>
          <t>No</t>
        </is>
      </c>
      <c r="I891" t="inlineStr">
        <is>
          <t>1</t>
        </is>
      </c>
      <c r="J891" t="inlineStr">
        <is>
          <t>No</t>
        </is>
      </c>
      <c r="K891" t="inlineStr">
        <is>
          <t>No</t>
        </is>
      </c>
      <c r="L891" t="inlineStr">
        <is>
          <t>0</t>
        </is>
      </c>
      <c r="N891" t="inlineStr">
        <is>
          <t>Philadelphia : J.B. Lippincott, c1991.</t>
        </is>
      </c>
      <c r="O891" t="inlineStr">
        <is>
          <t>1991</t>
        </is>
      </c>
      <c r="Q891" t="inlineStr">
        <is>
          <t>eng</t>
        </is>
      </c>
      <c r="R891" t="inlineStr">
        <is>
          <t>pau</t>
        </is>
      </c>
      <c r="T891" t="inlineStr">
        <is>
          <t xml:space="preserve">WY </t>
        </is>
      </c>
      <c r="U891" t="n">
        <v>9</v>
      </c>
      <c r="V891" t="n">
        <v>9</v>
      </c>
      <c r="W891" t="inlineStr">
        <is>
          <t>1994-10-30</t>
        </is>
      </c>
      <c r="X891" t="inlineStr">
        <is>
          <t>1994-10-30</t>
        </is>
      </c>
      <c r="Y891" t="inlineStr">
        <is>
          <t>1993-09-15</t>
        </is>
      </c>
      <c r="Z891" t="inlineStr">
        <is>
          <t>1993-09-15</t>
        </is>
      </c>
      <c r="AA891" t="n">
        <v>175</v>
      </c>
      <c r="AB891" t="n">
        <v>141</v>
      </c>
      <c r="AC891" t="n">
        <v>143</v>
      </c>
      <c r="AD891" t="n">
        <v>1</v>
      </c>
      <c r="AE891" t="n">
        <v>1</v>
      </c>
      <c r="AF891" t="n">
        <v>4</v>
      </c>
      <c r="AG891" t="n">
        <v>4</v>
      </c>
      <c r="AH891" t="n">
        <v>1</v>
      </c>
      <c r="AI891" t="n">
        <v>1</v>
      </c>
      <c r="AJ891" t="n">
        <v>1</v>
      </c>
      <c r="AK891" t="n">
        <v>1</v>
      </c>
      <c r="AL891" t="n">
        <v>3</v>
      </c>
      <c r="AM891" t="n">
        <v>3</v>
      </c>
      <c r="AN891" t="n">
        <v>0</v>
      </c>
      <c r="AO891" t="n">
        <v>0</v>
      </c>
      <c r="AP891" t="n">
        <v>0</v>
      </c>
      <c r="AQ891" t="n">
        <v>0</v>
      </c>
      <c r="AR891" t="inlineStr">
        <is>
          <t>No</t>
        </is>
      </c>
      <c r="AS891" t="inlineStr">
        <is>
          <t>Yes</t>
        </is>
      </c>
      <c r="AT891">
        <f>HYPERLINK("http://catalog.hathitrust.org/Record/002474033","HathiTrust Record")</f>
        <v/>
      </c>
      <c r="AU891">
        <f>HYPERLINK("https://creighton-primo.hosted.exlibrisgroup.com/primo-explore/search?tab=default_tab&amp;search_scope=EVERYTHING&amp;vid=01CRU&amp;lang=en_US&amp;offset=0&amp;query=any,contains,991001485429702656","Catalog Record")</f>
        <v/>
      </c>
      <c r="AV891">
        <f>HYPERLINK("http://www.worldcat.org/oclc/23651841","WorldCat Record")</f>
        <v/>
      </c>
      <c r="AW891" t="inlineStr">
        <is>
          <t>9592882015:eng</t>
        </is>
      </c>
      <c r="AX891" t="inlineStr">
        <is>
          <t>23651841</t>
        </is>
      </c>
      <c r="AY891" t="inlineStr">
        <is>
          <t>991001485429702656</t>
        </is>
      </c>
      <c r="AZ891" t="inlineStr">
        <is>
          <t>991001485429702656</t>
        </is>
      </c>
      <c r="BA891" t="inlineStr">
        <is>
          <t>2262841250002656</t>
        </is>
      </c>
      <c r="BB891" t="inlineStr">
        <is>
          <t>BOOK</t>
        </is>
      </c>
      <c r="BD891" t="inlineStr">
        <is>
          <t>9780397548125</t>
        </is>
      </c>
      <c r="BE891" t="inlineStr">
        <is>
          <t>30001002579102</t>
        </is>
      </c>
      <c r="BF891" t="inlineStr">
        <is>
          <t>893279155</t>
        </is>
      </c>
    </row>
    <row r="892">
      <c r="A892" t="inlineStr">
        <is>
          <t>No</t>
        </is>
      </c>
      <c r="B892" t="inlineStr">
        <is>
          <t>CUHSL</t>
        </is>
      </c>
      <c r="C892" t="inlineStr">
        <is>
          <t>SHELVES</t>
        </is>
      </c>
      <c r="D892" t="inlineStr">
        <is>
          <t>WY 100 C614 1992</t>
        </is>
      </c>
      <c r="E892" t="inlineStr">
        <is>
          <t>0                      WY 0100000C  614         1992</t>
        </is>
      </c>
      <c r="F892" t="inlineStr">
        <is>
          <t>Classification of nursing diagnoses : proceedings of the tenth conference / North American Nursing Diagnosis Association ; edited by Rose Mary Carroll-Johnson, Mary Paquette.</t>
        </is>
      </c>
      <c r="H892" t="inlineStr">
        <is>
          <t>No</t>
        </is>
      </c>
      <c r="I892" t="inlineStr">
        <is>
          <t>1</t>
        </is>
      </c>
      <c r="J892" t="inlineStr">
        <is>
          <t>No</t>
        </is>
      </c>
      <c r="K892" t="inlineStr">
        <is>
          <t>No</t>
        </is>
      </c>
      <c r="L892" t="inlineStr">
        <is>
          <t>0</t>
        </is>
      </c>
      <c r="N892" t="inlineStr">
        <is>
          <t>Philadelphia : Lippincott, c1994.</t>
        </is>
      </c>
      <c r="O892" t="inlineStr">
        <is>
          <t>1994</t>
        </is>
      </c>
      <c r="Q892" t="inlineStr">
        <is>
          <t>eng</t>
        </is>
      </c>
      <c r="R892" t="inlineStr">
        <is>
          <t>pau</t>
        </is>
      </c>
      <c r="T892" t="inlineStr">
        <is>
          <t xml:space="preserve">WY </t>
        </is>
      </c>
      <c r="U892" t="n">
        <v>14</v>
      </c>
      <c r="V892" t="n">
        <v>14</v>
      </c>
      <c r="W892" t="inlineStr">
        <is>
          <t>1996-11-06</t>
        </is>
      </c>
      <c r="X892" t="inlineStr">
        <is>
          <t>1996-11-06</t>
        </is>
      </c>
      <c r="Y892" t="inlineStr">
        <is>
          <t>1994-06-14</t>
        </is>
      </c>
      <c r="Z892" t="inlineStr">
        <is>
          <t>1994-06-14</t>
        </is>
      </c>
      <c r="AA892" t="n">
        <v>162</v>
      </c>
      <c r="AB892" t="n">
        <v>120</v>
      </c>
      <c r="AC892" t="n">
        <v>122</v>
      </c>
      <c r="AD892" t="n">
        <v>1</v>
      </c>
      <c r="AE892" t="n">
        <v>1</v>
      </c>
      <c r="AF892" t="n">
        <v>6</v>
      </c>
      <c r="AG892" t="n">
        <v>6</v>
      </c>
      <c r="AH892" t="n">
        <v>2</v>
      </c>
      <c r="AI892" t="n">
        <v>2</v>
      </c>
      <c r="AJ892" t="n">
        <v>1</v>
      </c>
      <c r="AK892" t="n">
        <v>1</v>
      </c>
      <c r="AL892" t="n">
        <v>5</v>
      </c>
      <c r="AM892" t="n">
        <v>5</v>
      </c>
      <c r="AN892" t="n">
        <v>0</v>
      </c>
      <c r="AO892" t="n">
        <v>0</v>
      </c>
      <c r="AP892" t="n">
        <v>0</v>
      </c>
      <c r="AQ892" t="n">
        <v>0</v>
      </c>
      <c r="AR892" t="inlineStr">
        <is>
          <t>No</t>
        </is>
      </c>
      <c r="AS892" t="inlineStr">
        <is>
          <t>Yes</t>
        </is>
      </c>
      <c r="AT892">
        <f>HYPERLINK("http://catalog.hathitrust.org/Record/002790361","HathiTrust Record")</f>
        <v/>
      </c>
      <c r="AU892">
        <f>HYPERLINK("https://creighton-primo.hosted.exlibrisgroup.com/primo-explore/search?tab=default_tab&amp;search_scope=EVERYTHING&amp;vid=01CRU&amp;lang=en_US&amp;offset=0&amp;query=any,contains,991000670139702656","Catalog Record")</f>
        <v/>
      </c>
      <c r="AV892">
        <f>HYPERLINK("http://www.worldcat.org/oclc/29225707","WorldCat Record")</f>
        <v/>
      </c>
      <c r="AW892" t="inlineStr">
        <is>
          <t>9593519766:eng</t>
        </is>
      </c>
      <c r="AX892" t="inlineStr">
        <is>
          <t>29225707</t>
        </is>
      </c>
      <c r="AY892" t="inlineStr">
        <is>
          <t>991000670139702656</t>
        </is>
      </c>
      <c r="AZ892" t="inlineStr">
        <is>
          <t>991000670139702656</t>
        </is>
      </c>
      <c r="BA892" t="inlineStr">
        <is>
          <t>2266186580002656</t>
        </is>
      </c>
      <c r="BB892" t="inlineStr">
        <is>
          <t>BOOK</t>
        </is>
      </c>
      <c r="BD892" t="inlineStr">
        <is>
          <t>9780397550111</t>
        </is>
      </c>
      <c r="BE892" t="inlineStr">
        <is>
          <t>30001002695858</t>
        </is>
      </c>
      <c r="BF892" t="inlineStr">
        <is>
          <t>893739915</t>
        </is>
      </c>
    </row>
    <row r="893">
      <c r="A893" t="inlineStr">
        <is>
          <t>No</t>
        </is>
      </c>
      <c r="B893" t="inlineStr">
        <is>
          <t>CUHSL</t>
        </is>
      </c>
      <c r="C893" t="inlineStr">
        <is>
          <t>SHELVES</t>
        </is>
      </c>
      <c r="D893" t="inlineStr">
        <is>
          <t>WY 100 C6145 1989</t>
        </is>
      </c>
      <c r="E893" t="inlineStr">
        <is>
          <t>0                      WY 0100000C  6145        1989</t>
        </is>
      </c>
      <c r="F893" t="inlineStr">
        <is>
          <t>Classification systems for describing nursing practice : working papers.</t>
        </is>
      </c>
      <c r="H893" t="inlineStr">
        <is>
          <t>No</t>
        </is>
      </c>
      <c r="I893" t="inlineStr">
        <is>
          <t>1</t>
        </is>
      </c>
      <c r="J893" t="inlineStr">
        <is>
          <t>No</t>
        </is>
      </c>
      <c r="K893" t="inlineStr">
        <is>
          <t>No</t>
        </is>
      </c>
      <c r="L893" t="inlineStr">
        <is>
          <t>0</t>
        </is>
      </c>
      <c r="N893" t="inlineStr">
        <is>
          <t>Kansas City, Mo. (2420 Pershing Rd., Kansas City, 64106) : American Nurses' Association, c1989.</t>
        </is>
      </c>
      <c r="O893" t="inlineStr">
        <is>
          <t>1989</t>
        </is>
      </c>
      <c r="Q893" t="inlineStr">
        <is>
          <t>eng</t>
        </is>
      </c>
      <c r="R893" t="inlineStr">
        <is>
          <t>mou</t>
        </is>
      </c>
      <c r="S893" t="inlineStr">
        <is>
          <t>ANA NP-74</t>
        </is>
      </c>
      <c r="T893" t="inlineStr">
        <is>
          <t xml:space="preserve">WY </t>
        </is>
      </c>
      <c r="U893" t="n">
        <v>1</v>
      </c>
      <c r="V893" t="n">
        <v>1</v>
      </c>
      <c r="W893" t="inlineStr">
        <is>
          <t>2002-07-21</t>
        </is>
      </c>
      <c r="X893" t="inlineStr">
        <is>
          <t>2002-07-21</t>
        </is>
      </c>
      <c r="Y893" t="inlineStr">
        <is>
          <t>2000-06-15</t>
        </is>
      </c>
      <c r="Z893" t="inlineStr">
        <is>
          <t>2000-06-15</t>
        </is>
      </c>
      <c r="AA893" t="n">
        <v>63</v>
      </c>
      <c r="AB893" t="n">
        <v>55</v>
      </c>
      <c r="AC893" t="n">
        <v>66</v>
      </c>
      <c r="AD893" t="n">
        <v>1</v>
      </c>
      <c r="AE893" t="n">
        <v>1</v>
      </c>
      <c r="AF893" t="n">
        <v>3</v>
      </c>
      <c r="AG893" t="n">
        <v>3</v>
      </c>
      <c r="AH893" t="n">
        <v>2</v>
      </c>
      <c r="AI893" t="n">
        <v>2</v>
      </c>
      <c r="AJ893" t="n">
        <v>0</v>
      </c>
      <c r="AK893" t="n">
        <v>0</v>
      </c>
      <c r="AL893" t="n">
        <v>3</v>
      </c>
      <c r="AM893" t="n">
        <v>3</v>
      </c>
      <c r="AN893" t="n">
        <v>0</v>
      </c>
      <c r="AO893" t="n">
        <v>0</v>
      </c>
      <c r="AP893" t="n">
        <v>0</v>
      </c>
      <c r="AQ893" t="n">
        <v>0</v>
      </c>
      <c r="AR893" t="inlineStr">
        <is>
          <t>No</t>
        </is>
      </c>
      <c r="AS893" t="inlineStr">
        <is>
          <t>Yes</t>
        </is>
      </c>
      <c r="AT893">
        <f>HYPERLINK("http://catalog.hathitrust.org/Record/002975510","HathiTrust Record")</f>
        <v/>
      </c>
      <c r="AU893">
        <f>HYPERLINK("https://creighton-primo.hosted.exlibrisgroup.com/primo-explore/search?tab=default_tab&amp;search_scope=EVERYTHING&amp;vid=01CRU&amp;lang=en_US&amp;offset=0&amp;query=any,contains,991000218169702656","Catalog Record")</f>
        <v/>
      </c>
      <c r="AV893">
        <f>HYPERLINK("http://www.worldcat.org/oclc/20031535","WorldCat Record")</f>
        <v/>
      </c>
      <c r="AW893" t="inlineStr">
        <is>
          <t>927523448:eng</t>
        </is>
      </c>
      <c r="AX893" t="inlineStr">
        <is>
          <t>20031535</t>
        </is>
      </c>
      <c r="AY893" t="inlineStr">
        <is>
          <t>991000218169702656</t>
        </is>
      </c>
      <c r="AZ893" t="inlineStr">
        <is>
          <t>991000218169702656</t>
        </is>
      </c>
      <c r="BA893" t="inlineStr">
        <is>
          <t>2256667460002656</t>
        </is>
      </c>
      <c r="BB893" t="inlineStr">
        <is>
          <t>BOOK</t>
        </is>
      </c>
      <c r="BD893" t="inlineStr">
        <is>
          <t>9781558100329</t>
        </is>
      </c>
      <c r="BE893" t="inlineStr">
        <is>
          <t>30001003146661</t>
        </is>
      </c>
      <c r="BF893" t="inlineStr">
        <is>
          <t>893723176</t>
        </is>
      </c>
    </row>
    <row r="894">
      <c r="A894" t="inlineStr">
        <is>
          <t>No</t>
        </is>
      </c>
      <c r="B894" t="inlineStr">
        <is>
          <t>CUHSL</t>
        </is>
      </c>
      <c r="C894" t="inlineStr">
        <is>
          <t>SHELVES</t>
        </is>
      </c>
      <c r="D894" t="inlineStr">
        <is>
          <t>WY 100 C6402 1989</t>
        </is>
      </c>
      <c r="E894" t="inlineStr">
        <is>
          <t>0                      WY 0100000C  6402        1989</t>
        </is>
      </c>
      <c r="F894" t="inlineStr">
        <is>
          <t>Clinical assessment tools for use with nursing diagnoses / Cathie E. Guzzetta ... [et al.].</t>
        </is>
      </c>
      <c r="H894" t="inlineStr">
        <is>
          <t>No</t>
        </is>
      </c>
      <c r="I894" t="inlineStr">
        <is>
          <t>1</t>
        </is>
      </c>
      <c r="J894" t="inlineStr">
        <is>
          <t>No</t>
        </is>
      </c>
      <c r="K894" t="inlineStr">
        <is>
          <t>No</t>
        </is>
      </c>
      <c r="L894" t="inlineStr">
        <is>
          <t>0</t>
        </is>
      </c>
      <c r="N894" t="inlineStr">
        <is>
          <t>St. Louis : C.V. Mosby, c1989.</t>
        </is>
      </c>
      <c r="O894" t="inlineStr">
        <is>
          <t>1989</t>
        </is>
      </c>
      <c r="Q894" t="inlineStr">
        <is>
          <t>eng</t>
        </is>
      </c>
      <c r="R894" t="inlineStr">
        <is>
          <t>xxu</t>
        </is>
      </c>
      <c r="T894" t="inlineStr">
        <is>
          <t xml:space="preserve">WY </t>
        </is>
      </c>
      <c r="U894" t="n">
        <v>22</v>
      </c>
      <c r="V894" t="n">
        <v>22</v>
      </c>
      <c r="W894" t="inlineStr">
        <is>
          <t>1999-01-18</t>
        </is>
      </c>
      <c r="X894" t="inlineStr">
        <is>
          <t>1999-01-18</t>
        </is>
      </c>
      <c r="Y894" t="inlineStr">
        <is>
          <t>1989-09-25</t>
        </is>
      </c>
      <c r="Z894" t="inlineStr">
        <is>
          <t>1989-09-25</t>
        </is>
      </c>
      <c r="AA894" t="n">
        <v>249</v>
      </c>
      <c r="AB894" t="n">
        <v>199</v>
      </c>
      <c r="AC894" t="n">
        <v>206</v>
      </c>
      <c r="AD894" t="n">
        <v>2</v>
      </c>
      <c r="AE894" t="n">
        <v>2</v>
      </c>
      <c r="AF894" t="n">
        <v>9</v>
      </c>
      <c r="AG894" t="n">
        <v>9</v>
      </c>
      <c r="AH894" t="n">
        <v>4</v>
      </c>
      <c r="AI894" t="n">
        <v>4</v>
      </c>
      <c r="AJ894" t="n">
        <v>1</v>
      </c>
      <c r="AK894" t="n">
        <v>1</v>
      </c>
      <c r="AL894" t="n">
        <v>8</v>
      </c>
      <c r="AM894" t="n">
        <v>8</v>
      </c>
      <c r="AN894" t="n">
        <v>1</v>
      </c>
      <c r="AO894" t="n">
        <v>1</v>
      </c>
      <c r="AP894" t="n">
        <v>0</v>
      </c>
      <c r="AQ894" t="n">
        <v>0</v>
      </c>
      <c r="AR894" t="inlineStr">
        <is>
          <t>No</t>
        </is>
      </c>
      <c r="AS894" t="inlineStr">
        <is>
          <t>Yes</t>
        </is>
      </c>
      <c r="AT894">
        <f>HYPERLINK("http://catalog.hathitrust.org/Record/001098769","HathiTrust Record")</f>
        <v/>
      </c>
      <c r="AU894">
        <f>HYPERLINK("https://creighton-primo.hosted.exlibrisgroup.com/primo-explore/search?tab=default_tab&amp;search_scope=EVERYTHING&amp;vid=01CRU&amp;lang=en_US&amp;offset=0&amp;query=any,contains,991001322999702656","Catalog Record")</f>
        <v/>
      </c>
      <c r="AV894">
        <f>HYPERLINK("http://www.worldcat.org/oclc/18959666","WorldCat Record")</f>
        <v/>
      </c>
      <c r="AW894" t="inlineStr">
        <is>
          <t>18375933:eng</t>
        </is>
      </c>
      <c r="AX894" t="inlineStr">
        <is>
          <t>18959666</t>
        </is>
      </c>
      <c r="AY894" t="inlineStr">
        <is>
          <t>991001322999702656</t>
        </is>
      </c>
      <c r="AZ894" t="inlineStr">
        <is>
          <t>991001322999702656</t>
        </is>
      </c>
      <c r="BA894" t="inlineStr">
        <is>
          <t>2254886490002656</t>
        </is>
      </c>
      <c r="BB894" t="inlineStr">
        <is>
          <t>BOOK</t>
        </is>
      </c>
      <c r="BD894" t="inlineStr">
        <is>
          <t>9780801628405</t>
        </is>
      </c>
      <c r="BE894" t="inlineStr">
        <is>
          <t>30001001754144</t>
        </is>
      </c>
      <c r="BF894" t="inlineStr">
        <is>
          <t>893268366</t>
        </is>
      </c>
    </row>
    <row r="895">
      <c r="A895" t="inlineStr">
        <is>
          <t>No</t>
        </is>
      </c>
      <c r="B895" t="inlineStr">
        <is>
          <t>CUHSL</t>
        </is>
      </c>
      <c r="C895" t="inlineStr">
        <is>
          <t>SHELVES</t>
        </is>
      </c>
      <c r="D895" t="inlineStr">
        <is>
          <t>WY 100 C6403 1993</t>
        </is>
      </c>
      <c r="E895" t="inlineStr">
        <is>
          <t>0                      WY 0100000C  6403        1993</t>
        </is>
      </c>
      <c r="F895" t="inlineStr">
        <is>
          <t>Clinical applications of nursing diagnosis : adult, child, women's, psychiatric, gerontic, and home health considerations / Helen C. Cox ... [et al.].</t>
        </is>
      </c>
      <c r="H895" t="inlineStr">
        <is>
          <t>No</t>
        </is>
      </c>
      <c r="I895" t="inlineStr">
        <is>
          <t>1</t>
        </is>
      </c>
      <c r="J895" t="inlineStr">
        <is>
          <t>No</t>
        </is>
      </c>
      <c r="K895" t="inlineStr">
        <is>
          <t>Yes</t>
        </is>
      </c>
      <c r="L895" t="inlineStr">
        <is>
          <t>0</t>
        </is>
      </c>
      <c r="N895" t="inlineStr">
        <is>
          <t>Philadelphia : F.A. Davis, c1993.</t>
        </is>
      </c>
      <c r="O895" t="inlineStr">
        <is>
          <t>1993</t>
        </is>
      </c>
      <c r="P895" t="inlineStr">
        <is>
          <t>2nd ed.</t>
        </is>
      </c>
      <c r="Q895" t="inlineStr">
        <is>
          <t>eng</t>
        </is>
      </c>
      <c r="R895" t="inlineStr">
        <is>
          <t>pau</t>
        </is>
      </c>
      <c r="T895" t="inlineStr">
        <is>
          <t xml:space="preserve">WY </t>
        </is>
      </c>
      <c r="U895" t="n">
        <v>15</v>
      </c>
      <c r="V895" t="n">
        <v>15</v>
      </c>
      <c r="W895" t="inlineStr">
        <is>
          <t>1999-10-12</t>
        </is>
      </c>
      <c r="X895" t="inlineStr">
        <is>
          <t>1999-10-12</t>
        </is>
      </c>
      <c r="Y895" t="inlineStr">
        <is>
          <t>1995-01-19</t>
        </is>
      </c>
      <c r="Z895" t="inlineStr">
        <is>
          <t>1995-01-19</t>
        </is>
      </c>
      <c r="AA895" t="n">
        <v>194</v>
      </c>
      <c r="AB895" t="n">
        <v>163</v>
      </c>
      <c r="AC895" t="n">
        <v>1254</v>
      </c>
      <c r="AD895" t="n">
        <v>3</v>
      </c>
      <c r="AE895" t="n">
        <v>28</v>
      </c>
      <c r="AF895" t="n">
        <v>5</v>
      </c>
      <c r="AG895" t="n">
        <v>37</v>
      </c>
      <c r="AH895" t="n">
        <v>1</v>
      </c>
      <c r="AI895" t="n">
        <v>14</v>
      </c>
      <c r="AJ895" t="n">
        <v>1</v>
      </c>
      <c r="AK895" t="n">
        <v>4</v>
      </c>
      <c r="AL895" t="n">
        <v>3</v>
      </c>
      <c r="AM895" t="n">
        <v>13</v>
      </c>
      <c r="AN895" t="n">
        <v>1</v>
      </c>
      <c r="AO895" t="n">
        <v>11</v>
      </c>
      <c r="AP895" t="n">
        <v>0</v>
      </c>
      <c r="AQ895" t="n">
        <v>0</v>
      </c>
      <c r="AR895" t="inlineStr">
        <is>
          <t>No</t>
        </is>
      </c>
      <c r="AS895" t="inlineStr">
        <is>
          <t>Yes</t>
        </is>
      </c>
      <c r="AT895">
        <f>HYPERLINK("http://catalog.hathitrust.org/Record/002652684","HathiTrust Record")</f>
        <v/>
      </c>
      <c r="AU895">
        <f>HYPERLINK("https://creighton-primo.hosted.exlibrisgroup.com/primo-explore/search?tab=default_tab&amp;search_scope=EVERYTHING&amp;vid=01CRU&amp;lang=en_US&amp;offset=0&amp;query=any,contains,991001335949702656","Catalog Record")</f>
        <v/>
      </c>
      <c r="AV895">
        <f>HYPERLINK("http://www.worldcat.org/oclc/28029769","WorldCat Record")</f>
        <v/>
      </c>
      <c r="AW895" t="inlineStr">
        <is>
          <t>2287705754:eng</t>
        </is>
      </c>
      <c r="AX895" t="inlineStr">
        <is>
          <t>28029769</t>
        </is>
      </c>
      <c r="AY895" t="inlineStr">
        <is>
          <t>991001335949702656</t>
        </is>
      </c>
      <c r="AZ895" t="inlineStr">
        <is>
          <t>991001335949702656</t>
        </is>
      </c>
      <c r="BA895" t="inlineStr">
        <is>
          <t>2264983550002656</t>
        </is>
      </c>
      <c r="BB895" t="inlineStr">
        <is>
          <t>BOOK</t>
        </is>
      </c>
      <c r="BE895" t="inlineStr">
        <is>
          <t>30001003111012</t>
        </is>
      </c>
      <c r="BF895" t="inlineStr">
        <is>
          <t>893557844</t>
        </is>
      </c>
    </row>
    <row r="896">
      <c r="A896" t="inlineStr">
        <is>
          <t>No</t>
        </is>
      </c>
      <c r="B896" t="inlineStr">
        <is>
          <t>CUHSL</t>
        </is>
      </c>
      <c r="C896" t="inlineStr">
        <is>
          <t>SHELVES</t>
        </is>
      </c>
      <c r="D896" t="inlineStr">
        <is>
          <t>WY 100 C641 2005</t>
        </is>
      </c>
      <c r="E896" t="inlineStr">
        <is>
          <t>0                      WY 0100000C  641         2005</t>
        </is>
      </c>
      <c r="F896" t="inlineStr">
        <is>
          <t>Clinical companion for Fundamentals of nursing / Veronica "Ronnie" Peterson.</t>
        </is>
      </c>
      <c r="H896" t="inlineStr">
        <is>
          <t>No</t>
        </is>
      </c>
      <c r="I896" t="inlineStr">
        <is>
          <t>1</t>
        </is>
      </c>
      <c r="J896" t="inlineStr">
        <is>
          <t>No</t>
        </is>
      </c>
      <c r="K896" t="inlineStr">
        <is>
          <t>No</t>
        </is>
      </c>
      <c r="L896" t="inlineStr">
        <is>
          <t>0</t>
        </is>
      </c>
      <c r="M896" t="inlineStr">
        <is>
          <t>Peterson, Veronica.</t>
        </is>
      </c>
      <c r="N896" t="inlineStr">
        <is>
          <t>St. Louis, MO : Mosby, c2005.</t>
        </is>
      </c>
      <c r="O896" t="inlineStr">
        <is>
          <t>2005</t>
        </is>
      </c>
      <c r="P896" t="inlineStr">
        <is>
          <t>6th ed.</t>
        </is>
      </c>
      <c r="Q896" t="inlineStr">
        <is>
          <t>eng</t>
        </is>
      </c>
      <c r="R896" t="inlineStr">
        <is>
          <t>mou</t>
        </is>
      </c>
      <c r="T896" t="inlineStr">
        <is>
          <t xml:space="preserve">WY </t>
        </is>
      </c>
      <c r="U896" t="n">
        <v>0</v>
      </c>
      <c r="V896" t="n">
        <v>0</v>
      </c>
      <c r="W896" t="inlineStr">
        <is>
          <t>2008-01-23</t>
        </is>
      </c>
      <c r="X896" t="inlineStr">
        <is>
          <t>2008-01-23</t>
        </is>
      </c>
      <c r="Y896" t="inlineStr">
        <is>
          <t>2007-09-12</t>
        </is>
      </c>
      <c r="Z896" t="inlineStr">
        <is>
          <t>2007-09-12</t>
        </is>
      </c>
      <c r="AA896" t="n">
        <v>68</v>
      </c>
      <c r="AB896" t="n">
        <v>52</v>
      </c>
      <c r="AC896" t="n">
        <v>53</v>
      </c>
      <c r="AD896" t="n">
        <v>1</v>
      </c>
      <c r="AE896" t="n">
        <v>1</v>
      </c>
      <c r="AF896" t="n">
        <v>1</v>
      </c>
      <c r="AG896" t="n">
        <v>1</v>
      </c>
      <c r="AH896" t="n">
        <v>0</v>
      </c>
      <c r="AI896" t="n">
        <v>0</v>
      </c>
      <c r="AJ896" t="n">
        <v>0</v>
      </c>
      <c r="AK896" t="n">
        <v>0</v>
      </c>
      <c r="AL896" t="n">
        <v>1</v>
      </c>
      <c r="AM896" t="n">
        <v>1</v>
      </c>
      <c r="AN896" t="n">
        <v>0</v>
      </c>
      <c r="AO896" t="n">
        <v>0</v>
      </c>
      <c r="AP896" t="n">
        <v>0</v>
      </c>
      <c r="AQ896" t="n">
        <v>0</v>
      </c>
      <c r="AR896" t="inlineStr">
        <is>
          <t>No</t>
        </is>
      </c>
      <c r="AS896" t="inlineStr">
        <is>
          <t>No</t>
        </is>
      </c>
      <c r="AU896">
        <f>HYPERLINK("https://creighton-primo.hosted.exlibrisgroup.com/primo-explore/search?tab=default_tab&amp;search_scope=EVERYTHING&amp;vid=01CRU&amp;lang=en_US&amp;offset=0&amp;query=any,contains,991000647809702656","Catalog Record")</f>
        <v/>
      </c>
      <c r="AV896">
        <f>HYPERLINK("http://www.worldcat.org/oclc/56034900","WorldCat Record")</f>
        <v/>
      </c>
      <c r="AW896" t="inlineStr">
        <is>
          <t>1360307183:eng</t>
        </is>
      </c>
      <c r="AX896" t="inlineStr">
        <is>
          <t>56034900</t>
        </is>
      </c>
      <c r="AY896" t="inlineStr">
        <is>
          <t>991000647809702656</t>
        </is>
      </c>
      <c r="AZ896" t="inlineStr">
        <is>
          <t>991000647809702656</t>
        </is>
      </c>
      <c r="BA896" t="inlineStr">
        <is>
          <t>2260245780002656</t>
        </is>
      </c>
      <c r="BB896" t="inlineStr">
        <is>
          <t>BOOK</t>
        </is>
      </c>
      <c r="BD896" t="inlineStr">
        <is>
          <t>9780323032179</t>
        </is>
      </c>
      <c r="BE896" t="inlineStr">
        <is>
          <t>30001005230364</t>
        </is>
      </c>
      <c r="BF896" t="inlineStr">
        <is>
          <t>893357233</t>
        </is>
      </c>
    </row>
    <row r="897">
      <c r="A897" t="inlineStr">
        <is>
          <t>No</t>
        </is>
      </c>
      <c r="B897" t="inlineStr">
        <is>
          <t>CUHSL</t>
        </is>
      </c>
      <c r="C897" t="inlineStr">
        <is>
          <t>SHELVES</t>
        </is>
      </c>
      <c r="D897" t="inlineStr">
        <is>
          <t>WY 100 C6415 1993</t>
        </is>
      </c>
      <c r="E897" t="inlineStr">
        <is>
          <t>0                      WY 0100000C  6415        1993</t>
        </is>
      </c>
      <c r="F897" t="inlineStr">
        <is>
          <t>Clinical pharmacology and nursing management / Roberta Todd Spencer ... [et al.].</t>
        </is>
      </c>
      <c r="H897" t="inlineStr">
        <is>
          <t>No</t>
        </is>
      </c>
      <c r="I897" t="inlineStr">
        <is>
          <t>1</t>
        </is>
      </c>
      <c r="J897" t="inlineStr">
        <is>
          <t>No</t>
        </is>
      </c>
      <c r="K897" t="inlineStr">
        <is>
          <t>Yes</t>
        </is>
      </c>
      <c r="L897" t="inlineStr">
        <is>
          <t>0</t>
        </is>
      </c>
      <c r="N897" t="inlineStr">
        <is>
          <t>Philadelphia : Lippincott, c1993.</t>
        </is>
      </c>
      <c r="O897" t="inlineStr">
        <is>
          <t>1993</t>
        </is>
      </c>
      <c r="P897" t="inlineStr">
        <is>
          <t>4th ed.</t>
        </is>
      </c>
      <c r="Q897" t="inlineStr">
        <is>
          <t>eng</t>
        </is>
      </c>
      <c r="R897" t="inlineStr">
        <is>
          <t>pau</t>
        </is>
      </c>
      <c r="T897" t="inlineStr">
        <is>
          <t xml:space="preserve">WY </t>
        </is>
      </c>
      <c r="U897" t="n">
        <v>3</v>
      </c>
      <c r="V897" t="n">
        <v>3</v>
      </c>
      <c r="W897" t="inlineStr">
        <is>
          <t>1997-03-02</t>
        </is>
      </c>
      <c r="X897" t="inlineStr">
        <is>
          <t>1997-03-02</t>
        </is>
      </c>
      <c r="Y897" t="inlineStr">
        <is>
          <t>1993-09-02</t>
        </is>
      </c>
      <c r="Z897" t="inlineStr">
        <is>
          <t>1993-09-02</t>
        </is>
      </c>
      <c r="AA897" t="n">
        <v>193</v>
      </c>
      <c r="AB897" t="n">
        <v>147</v>
      </c>
      <c r="AC897" t="n">
        <v>370</v>
      </c>
      <c r="AD897" t="n">
        <v>1</v>
      </c>
      <c r="AE897" t="n">
        <v>2</v>
      </c>
      <c r="AF897" t="n">
        <v>2</v>
      </c>
      <c r="AG897" t="n">
        <v>7</v>
      </c>
      <c r="AH897" t="n">
        <v>1</v>
      </c>
      <c r="AI897" t="n">
        <v>4</v>
      </c>
      <c r="AJ897" t="n">
        <v>0</v>
      </c>
      <c r="AK897" t="n">
        <v>1</v>
      </c>
      <c r="AL897" t="n">
        <v>2</v>
      </c>
      <c r="AM897" t="n">
        <v>4</v>
      </c>
      <c r="AN897" t="n">
        <v>0</v>
      </c>
      <c r="AO897" t="n">
        <v>0</v>
      </c>
      <c r="AP897" t="n">
        <v>0</v>
      </c>
      <c r="AQ897" t="n">
        <v>0</v>
      </c>
      <c r="AR897" t="inlineStr">
        <is>
          <t>No</t>
        </is>
      </c>
      <c r="AS897" t="inlineStr">
        <is>
          <t>No</t>
        </is>
      </c>
      <c r="AU897">
        <f>HYPERLINK("https://creighton-primo.hosted.exlibrisgroup.com/primo-explore/search?tab=default_tab&amp;search_scope=EVERYTHING&amp;vid=01CRU&amp;lang=en_US&amp;offset=0&amp;query=any,contains,991001513579702656","Catalog Record")</f>
        <v/>
      </c>
      <c r="AV897">
        <f>HYPERLINK("http://www.worldcat.org/oclc/26015149","WorldCat Record")</f>
        <v/>
      </c>
      <c r="AW897" t="inlineStr">
        <is>
          <t>54521491:eng</t>
        </is>
      </c>
      <c r="AX897" t="inlineStr">
        <is>
          <t>26015149</t>
        </is>
      </c>
      <c r="AY897" t="inlineStr">
        <is>
          <t>991001513579702656</t>
        </is>
      </c>
      <c r="AZ897" t="inlineStr">
        <is>
          <t>991001513579702656</t>
        </is>
      </c>
      <c r="BA897" t="inlineStr">
        <is>
          <t>2259888660002656</t>
        </is>
      </c>
      <c r="BB897" t="inlineStr">
        <is>
          <t>BOOK</t>
        </is>
      </c>
      <c r="BD897" t="inlineStr">
        <is>
          <t>9780397549351</t>
        </is>
      </c>
      <c r="BE897" t="inlineStr">
        <is>
          <t>30001002601344</t>
        </is>
      </c>
      <c r="BF897" t="inlineStr">
        <is>
          <t>893134671</t>
        </is>
      </c>
    </row>
    <row r="898">
      <c r="A898" t="inlineStr">
        <is>
          <t>No</t>
        </is>
      </c>
      <c r="B898" t="inlineStr">
        <is>
          <t>CUHSL</t>
        </is>
      </c>
      <c r="C898" t="inlineStr">
        <is>
          <t>SHELVES</t>
        </is>
      </c>
      <c r="D898" t="inlineStr">
        <is>
          <t>WY 100 C678n 1993</t>
        </is>
      </c>
      <c r="E898" t="inlineStr">
        <is>
          <t>0                      WY 0100000C  678n        1993</t>
        </is>
      </c>
      <c r="F898" t="inlineStr">
        <is>
          <t>Nursing case management : from concept to evaluation / Elaine L. Cohen, Toni G. Cesta.</t>
        </is>
      </c>
      <c r="H898" t="inlineStr">
        <is>
          <t>No</t>
        </is>
      </c>
      <c r="I898" t="inlineStr">
        <is>
          <t>1</t>
        </is>
      </c>
      <c r="J898" t="inlineStr">
        <is>
          <t>No</t>
        </is>
      </c>
      <c r="K898" t="inlineStr">
        <is>
          <t>Yes</t>
        </is>
      </c>
      <c r="L898" t="inlineStr">
        <is>
          <t>0</t>
        </is>
      </c>
      <c r="M898" t="inlineStr">
        <is>
          <t>Cohen, Elaine L. (Elaine Liebman)</t>
        </is>
      </c>
      <c r="N898" t="inlineStr">
        <is>
          <t>St. Louis : Mosby-Year Book, c1993.</t>
        </is>
      </c>
      <c r="O898" t="inlineStr">
        <is>
          <t>1993</t>
        </is>
      </c>
      <c r="P898" t="inlineStr">
        <is>
          <t>1st ed.</t>
        </is>
      </c>
      <c r="Q898" t="inlineStr">
        <is>
          <t>eng</t>
        </is>
      </c>
      <c r="R898" t="inlineStr">
        <is>
          <t>mou</t>
        </is>
      </c>
      <c r="T898" t="inlineStr">
        <is>
          <t xml:space="preserve">WY </t>
        </is>
      </c>
      <c r="U898" t="n">
        <v>8</v>
      </c>
      <c r="V898" t="n">
        <v>8</v>
      </c>
      <c r="W898" t="inlineStr">
        <is>
          <t>2000-09-17</t>
        </is>
      </c>
      <c r="X898" t="inlineStr">
        <is>
          <t>2000-09-17</t>
        </is>
      </c>
      <c r="Y898" t="inlineStr">
        <is>
          <t>1993-09-02</t>
        </is>
      </c>
      <c r="Z898" t="inlineStr">
        <is>
          <t>1993-09-02</t>
        </is>
      </c>
      <c r="AA898" t="n">
        <v>260</v>
      </c>
      <c r="AB898" t="n">
        <v>208</v>
      </c>
      <c r="AC898" t="n">
        <v>379</v>
      </c>
      <c r="AD898" t="n">
        <v>1</v>
      </c>
      <c r="AE898" t="n">
        <v>3</v>
      </c>
      <c r="AF898" t="n">
        <v>7</v>
      </c>
      <c r="AG898" t="n">
        <v>14</v>
      </c>
      <c r="AH898" t="n">
        <v>2</v>
      </c>
      <c r="AI898" t="n">
        <v>5</v>
      </c>
      <c r="AJ898" t="n">
        <v>1</v>
      </c>
      <c r="AK898" t="n">
        <v>3</v>
      </c>
      <c r="AL898" t="n">
        <v>5</v>
      </c>
      <c r="AM898" t="n">
        <v>8</v>
      </c>
      <c r="AN898" t="n">
        <v>0</v>
      </c>
      <c r="AO898" t="n">
        <v>1</v>
      </c>
      <c r="AP898" t="n">
        <v>0</v>
      </c>
      <c r="AQ898" t="n">
        <v>0</v>
      </c>
      <c r="AR898" t="inlineStr">
        <is>
          <t>No</t>
        </is>
      </c>
      <c r="AS898" t="inlineStr">
        <is>
          <t>Yes</t>
        </is>
      </c>
      <c r="AT898">
        <f>HYPERLINK("http://catalog.hathitrust.org/Record/002630919","HathiTrust Record")</f>
        <v/>
      </c>
      <c r="AU898">
        <f>HYPERLINK("https://creighton-primo.hosted.exlibrisgroup.com/primo-explore/search?tab=default_tab&amp;search_scope=EVERYTHING&amp;vid=01CRU&amp;lang=en_US&amp;offset=0&amp;query=any,contains,991001512969702656","Catalog Record")</f>
        <v/>
      </c>
      <c r="AV898">
        <f>HYPERLINK("http://www.worldcat.org/oclc/27385648","WorldCat Record")</f>
        <v/>
      </c>
      <c r="AW898" t="inlineStr">
        <is>
          <t>3374909523:eng</t>
        </is>
      </c>
      <c r="AX898" t="inlineStr">
        <is>
          <t>27385648</t>
        </is>
      </c>
      <c r="AY898" t="inlineStr">
        <is>
          <t>991001512969702656</t>
        </is>
      </c>
      <c r="AZ898" t="inlineStr">
        <is>
          <t>991001512969702656</t>
        </is>
      </c>
      <c r="BA898" t="inlineStr">
        <is>
          <t>2260348400002656</t>
        </is>
      </c>
      <c r="BB898" t="inlineStr">
        <is>
          <t>BOOK</t>
        </is>
      </c>
      <c r="BE898" t="inlineStr">
        <is>
          <t>30001002601187</t>
        </is>
      </c>
      <c r="BF898" t="inlineStr">
        <is>
          <t>893268567</t>
        </is>
      </c>
    </row>
    <row r="899">
      <c r="A899" t="inlineStr">
        <is>
          <t>No</t>
        </is>
      </c>
      <c r="B899" t="inlineStr">
        <is>
          <t>CUHSL</t>
        </is>
      </c>
      <c r="C899" t="inlineStr">
        <is>
          <t>SHELVES</t>
        </is>
      </c>
      <c r="D899" t="inlineStr">
        <is>
          <t>WY 100 C678n 1997</t>
        </is>
      </c>
      <c r="E899" t="inlineStr">
        <is>
          <t>0                      WY 0100000C  678n        1997</t>
        </is>
      </c>
      <c r="F899" t="inlineStr">
        <is>
          <t>Nursing case management : from concept to evaluation / Elaine L. Cohen, Toni G. Cesta.</t>
        </is>
      </c>
      <c r="H899" t="inlineStr">
        <is>
          <t>No</t>
        </is>
      </c>
      <c r="I899" t="inlineStr">
        <is>
          <t>1</t>
        </is>
      </c>
      <c r="J899" t="inlineStr">
        <is>
          <t>No</t>
        </is>
      </c>
      <c r="K899" t="inlineStr">
        <is>
          <t>Yes</t>
        </is>
      </c>
      <c r="L899" t="inlineStr">
        <is>
          <t>0</t>
        </is>
      </c>
      <c r="M899" t="inlineStr">
        <is>
          <t>Cohen, Elaine L. (Elaine Liebman)</t>
        </is>
      </c>
      <c r="N899" t="inlineStr">
        <is>
          <t>St. Louis : Mosby, c1997.</t>
        </is>
      </c>
      <c r="O899" t="inlineStr">
        <is>
          <t>1997</t>
        </is>
      </c>
      <c r="P899" t="inlineStr">
        <is>
          <t>2nd ed.</t>
        </is>
      </c>
      <c r="Q899" t="inlineStr">
        <is>
          <t>eng</t>
        </is>
      </c>
      <c r="R899" t="inlineStr">
        <is>
          <t>mou</t>
        </is>
      </c>
      <c r="T899" t="inlineStr">
        <is>
          <t xml:space="preserve">WY </t>
        </is>
      </c>
      <c r="U899" t="n">
        <v>18</v>
      </c>
      <c r="V899" t="n">
        <v>18</v>
      </c>
      <c r="W899" t="inlineStr">
        <is>
          <t>2005-05-19</t>
        </is>
      </c>
      <c r="X899" t="inlineStr">
        <is>
          <t>2005-05-19</t>
        </is>
      </c>
      <c r="Y899" t="inlineStr">
        <is>
          <t>1997-08-26</t>
        </is>
      </c>
      <c r="Z899" t="inlineStr">
        <is>
          <t>1997-08-26</t>
        </is>
      </c>
      <c r="AA899" t="n">
        <v>327</v>
      </c>
      <c r="AB899" t="n">
        <v>275</v>
      </c>
      <c r="AC899" t="n">
        <v>379</v>
      </c>
      <c r="AD899" t="n">
        <v>3</v>
      </c>
      <c r="AE899" t="n">
        <v>3</v>
      </c>
      <c r="AF899" t="n">
        <v>12</v>
      </c>
      <c r="AG899" t="n">
        <v>14</v>
      </c>
      <c r="AH899" t="n">
        <v>5</v>
      </c>
      <c r="AI899" t="n">
        <v>5</v>
      </c>
      <c r="AJ899" t="n">
        <v>2</v>
      </c>
      <c r="AK899" t="n">
        <v>3</v>
      </c>
      <c r="AL899" t="n">
        <v>7</v>
      </c>
      <c r="AM899" t="n">
        <v>8</v>
      </c>
      <c r="AN899" t="n">
        <v>1</v>
      </c>
      <c r="AO899" t="n">
        <v>1</v>
      </c>
      <c r="AP899" t="n">
        <v>0</v>
      </c>
      <c r="AQ899" t="n">
        <v>0</v>
      </c>
      <c r="AR899" t="inlineStr">
        <is>
          <t>No</t>
        </is>
      </c>
      <c r="AS899" t="inlineStr">
        <is>
          <t>Yes</t>
        </is>
      </c>
      <c r="AT899">
        <f>HYPERLINK("http://catalog.hathitrust.org/Record/003118479","HathiTrust Record")</f>
        <v/>
      </c>
      <c r="AU899">
        <f>HYPERLINK("https://creighton-primo.hosted.exlibrisgroup.com/primo-explore/search?tab=default_tab&amp;search_scope=EVERYTHING&amp;vid=01CRU&amp;lang=en_US&amp;offset=0&amp;query=any,contains,991001270479702656","Catalog Record")</f>
        <v/>
      </c>
      <c r="AV899">
        <f>HYPERLINK("http://www.worldcat.org/oclc/35450340","WorldCat Record")</f>
        <v/>
      </c>
      <c r="AW899" t="inlineStr">
        <is>
          <t>3374909523:eng</t>
        </is>
      </c>
      <c r="AX899" t="inlineStr">
        <is>
          <t>35450340</t>
        </is>
      </c>
      <c r="AY899" t="inlineStr">
        <is>
          <t>991001270479702656</t>
        </is>
      </c>
      <c r="AZ899" t="inlineStr">
        <is>
          <t>991001270479702656</t>
        </is>
      </c>
      <c r="BA899" t="inlineStr">
        <is>
          <t>2255051680002656</t>
        </is>
      </c>
      <c r="BB899" t="inlineStr">
        <is>
          <t>BOOK</t>
        </is>
      </c>
      <c r="BD899" t="inlineStr">
        <is>
          <t>9780815119067</t>
        </is>
      </c>
      <c r="BE899" t="inlineStr">
        <is>
          <t>30001003694694</t>
        </is>
      </c>
      <c r="BF899" t="inlineStr">
        <is>
          <t>893161823</t>
        </is>
      </c>
    </row>
    <row r="900">
      <c r="A900" t="inlineStr">
        <is>
          <t>No</t>
        </is>
      </c>
      <c r="B900" t="inlineStr">
        <is>
          <t>CUHSL</t>
        </is>
      </c>
      <c r="C900" t="inlineStr">
        <is>
          <t>SHELVES</t>
        </is>
      </c>
      <c r="D900" t="inlineStr">
        <is>
          <t>WY100 C678n 2005</t>
        </is>
      </c>
      <c r="E900" t="inlineStr">
        <is>
          <t>0                      WY 0100000C  678n        2005</t>
        </is>
      </c>
      <c r="F900" t="inlineStr">
        <is>
          <t>Nursing case management : from essentials to advanced practice applications / Elaine L. Cohen, Toni G. Cesta.</t>
        </is>
      </c>
      <c r="H900" t="inlineStr">
        <is>
          <t>No</t>
        </is>
      </c>
      <c r="I900" t="inlineStr">
        <is>
          <t>1</t>
        </is>
      </c>
      <c r="J900" t="inlineStr">
        <is>
          <t>No</t>
        </is>
      </c>
      <c r="K900" t="inlineStr">
        <is>
          <t>No</t>
        </is>
      </c>
      <c r="L900" t="inlineStr">
        <is>
          <t>0</t>
        </is>
      </c>
      <c r="M900" t="inlineStr">
        <is>
          <t>Cohen, Elaine L. (Elaine Liebman)</t>
        </is>
      </c>
      <c r="N900" t="inlineStr">
        <is>
          <t>St. Louis : Elsevier Mosby, c2005.</t>
        </is>
      </c>
      <c r="O900" t="inlineStr">
        <is>
          <t>2005</t>
        </is>
      </c>
      <c r="P900" t="inlineStr">
        <is>
          <t>4th ed.</t>
        </is>
      </c>
      <c r="Q900" t="inlineStr">
        <is>
          <t>eng</t>
        </is>
      </c>
      <c r="R900" t="inlineStr">
        <is>
          <t>mou</t>
        </is>
      </c>
      <c r="T900" t="inlineStr">
        <is>
          <t xml:space="preserve">WY </t>
        </is>
      </c>
      <c r="U900" t="n">
        <v>2</v>
      </c>
      <c r="V900" t="n">
        <v>2</v>
      </c>
      <c r="W900" t="inlineStr">
        <is>
          <t>2006-11-09</t>
        </is>
      </c>
      <c r="X900" t="inlineStr">
        <is>
          <t>2006-11-09</t>
        </is>
      </c>
      <c r="Y900" t="inlineStr">
        <is>
          <t>2006-04-27</t>
        </is>
      </c>
      <c r="Z900" t="inlineStr">
        <is>
          <t>2006-04-27</t>
        </is>
      </c>
      <c r="AA900" t="n">
        <v>418</v>
      </c>
      <c r="AB900" t="n">
        <v>360</v>
      </c>
      <c r="AC900" t="n">
        <v>512</v>
      </c>
      <c r="AD900" t="n">
        <v>4</v>
      </c>
      <c r="AE900" t="n">
        <v>5</v>
      </c>
      <c r="AF900" t="n">
        <v>18</v>
      </c>
      <c r="AG900" t="n">
        <v>21</v>
      </c>
      <c r="AH900" t="n">
        <v>6</v>
      </c>
      <c r="AI900" t="n">
        <v>9</v>
      </c>
      <c r="AJ900" t="n">
        <v>3</v>
      </c>
      <c r="AK900" t="n">
        <v>3</v>
      </c>
      <c r="AL900" t="n">
        <v>9</v>
      </c>
      <c r="AM900" t="n">
        <v>9</v>
      </c>
      <c r="AN900" t="n">
        <v>3</v>
      </c>
      <c r="AO900" t="n">
        <v>3</v>
      </c>
      <c r="AP900" t="n">
        <v>0</v>
      </c>
      <c r="AQ900" t="n">
        <v>0</v>
      </c>
      <c r="AR900" t="inlineStr">
        <is>
          <t>No</t>
        </is>
      </c>
      <c r="AS900" t="inlineStr">
        <is>
          <t>Yes</t>
        </is>
      </c>
      <c r="AT900">
        <f>HYPERLINK("http://catalog.hathitrust.org/Record/004915591","HathiTrust Record")</f>
        <v/>
      </c>
      <c r="AU900">
        <f>HYPERLINK("https://creighton-primo.hosted.exlibrisgroup.com/primo-explore/search?tab=default_tab&amp;search_scope=EVERYTHING&amp;vid=01CRU&amp;lang=en_US&amp;offset=0&amp;query=any,contains,991001735769702656","Catalog Record")</f>
        <v/>
      </c>
      <c r="AV900">
        <f>HYPERLINK("http://www.worldcat.org/oclc/56562865","WorldCat Record")</f>
        <v/>
      </c>
      <c r="AW900" t="inlineStr">
        <is>
          <t>173818:eng</t>
        </is>
      </c>
      <c r="AX900" t="inlineStr">
        <is>
          <t>56562865</t>
        </is>
      </c>
      <c r="AY900" t="inlineStr">
        <is>
          <t>991001735769702656</t>
        </is>
      </c>
      <c r="AZ900" t="inlineStr">
        <is>
          <t>991001735769702656</t>
        </is>
      </c>
      <c r="BA900" t="inlineStr">
        <is>
          <t>2271769220002656</t>
        </is>
      </c>
      <c r="BB900" t="inlineStr">
        <is>
          <t>BOOK</t>
        </is>
      </c>
      <c r="BD900" t="inlineStr">
        <is>
          <t>9780323027656</t>
        </is>
      </c>
      <c r="BE900" t="inlineStr">
        <is>
          <t>30001004911576</t>
        </is>
      </c>
      <c r="BF900" t="inlineStr">
        <is>
          <t>893374969</t>
        </is>
      </c>
    </row>
    <row r="901">
      <c r="A901" t="inlineStr">
        <is>
          <t>No</t>
        </is>
      </c>
      <c r="B901" t="inlineStr">
        <is>
          <t>CUHSL</t>
        </is>
      </c>
      <c r="C901" t="inlineStr">
        <is>
          <t>SHELVES</t>
        </is>
      </c>
      <c r="D901" t="inlineStr">
        <is>
          <t>WY 100 C743 1982</t>
        </is>
      </c>
      <c r="E901" t="inlineStr">
        <is>
          <t>0                      WY 0100000C  743         1982</t>
        </is>
      </c>
      <c r="F901" t="inlineStr">
        <is>
          <t>Concept clarification in nursing / edited by Catherine M. Norris</t>
        </is>
      </c>
      <c r="H901" t="inlineStr">
        <is>
          <t>No</t>
        </is>
      </c>
      <c r="I901" t="inlineStr">
        <is>
          <t>1</t>
        </is>
      </c>
      <c r="J901" t="inlineStr">
        <is>
          <t>No</t>
        </is>
      </c>
      <c r="K901" t="inlineStr">
        <is>
          <t>No</t>
        </is>
      </c>
      <c r="L901" t="inlineStr">
        <is>
          <t>0</t>
        </is>
      </c>
      <c r="N901" t="inlineStr">
        <is>
          <t>Rockville, Md. : Aspen Systems Corp., c1982.</t>
        </is>
      </c>
      <c r="O901" t="inlineStr">
        <is>
          <t>1982</t>
        </is>
      </c>
      <c r="Q901" t="inlineStr">
        <is>
          <t>eng</t>
        </is>
      </c>
      <c r="R901" t="inlineStr">
        <is>
          <t>xxu</t>
        </is>
      </c>
      <c r="T901" t="inlineStr">
        <is>
          <t xml:space="preserve">WY </t>
        </is>
      </c>
      <c r="U901" t="n">
        <v>18</v>
      </c>
      <c r="V901" t="n">
        <v>18</v>
      </c>
      <c r="W901" t="inlineStr">
        <is>
          <t>1999-11-23</t>
        </is>
      </c>
      <c r="X901" t="inlineStr">
        <is>
          <t>1999-11-23</t>
        </is>
      </c>
      <c r="Y901" t="inlineStr">
        <is>
          <t>1987-12-29</t>
        </is>
      </c>
      <c r="Z901" t="inlineStr">
        <is>
          <t>1987-12-29</t>
        </is>
      </c>
      <c r="AA901" t="n">
        <v>235</v>
      </c>
      <c r="AB901" t="n">
        <v>207</v>
      </c>
      <c r="AC901" t="n">
        <v>209</v>
      </c>
      <c r="AD901" t="n">
        <v>3</v>
      </c>
      <c r="AE901" t="n">
        <v>3</v>
      </c>
      <c r="AF901" t="n">
        <v>10</v>
      </c>
      <c r="AG901" t="n">
        <v>10</v>
      </c>
      <c r="AH901" t="n">
        <v>6</v>
      </c>
      <c r="AI901" t="n">
        <v>6</v>
      </c>
      <c r="AJ901" t="n">
        <v>0</v>
      </c>
      <c r="AK901" t="n">
        <v>0</v>
      </c>
      <c r="AL901" t="n">
        <v>5</v>
      </c>
      <c r="AM901" t="n">
        <v>5</v>
      </c>
      <c r="AN901" t="n">
        <v>1</v>
      </c>
      <c r="AO901" t="n">
        <v>1</v>
      </c>
      <c r="AP901" t="n">
        <v>0</v>
      </c>
      <c r="AQ901" t="n">
        <v>0</v>
      </c>
      <c r="AR901" t="inlineStr">
        <is>
          <t>No</t>
        </is>
      </c>
      <c r="AS901" t="inlineStr">
        <is>
          <t>Yes</t>
        </is>
      </c>
      <c r="AT901">
        <f>HYPERLINK("http://catalog.hathitrust.org/Record/000191054","HathiTrust Record")</f>
        <v/>
      </c>
      <c r="AU901">
        <f>HYPERLINK("https://creighton-primo.hosted.exlibrisgroup.com/primo-explore/search?tab=default_tab&amp;search_scope=EVERYTHING&amp;vid=01CRU&amp;lang=en_US&amp;offset=0&amp;query=any,contains,991001146059702656","Catalog Record")</f>
        <v/>
      </c>
      <c r="AV901">
        <f>HYPERLINK("http://www.worldcat.org/oclc/8553505","WorldCat Record")</f>
        <v/>
      </c>
      <c r="AW901" t="inlineStr">
        <is>
          <t>551598:eng</t>
        </is>
      </c>
      <c r="AX901" t="inlineStr">
        <is>
          <t>8553505</t>
        </is>
      </c>
      <c r="AY901" t="inlineStr">
        <is>
          <t>991001146059702656</t>
        </is>
      </c>
      <c r="AZ901" t="inlineStr">
        <is>
          <t>991001146059702656</t>
        </is>
      </c>
      <c r="BA901" t="inlineStr">
        <is>
          <t>2254758500002656</t>
        </is>
      </c>
      <c r="BB901" t="inlineStr">
        <is>
          <t>BOOK</t>
        </is>
      </c>
      <c r="BD901" t="inlineStr">
        <is>
          <t>9780894438257</t>
        </is>
      </c>
      <c r="BE901" t="inlineStr">
        <is>
          <t>30001000292179</t>
        </is>
      </c>
      <c r="BF901" t="inlineStr">
        <is>
          <t>893736266</t>
        </is>
      </c>
    </row>
    <row r="902">
      <c r="A902" t="inlineStr">
        <is>
          <t>No</t>
        </is>
      </c>
      <c r="B902" t="inlineStr">
        <is>
          <t>CUHSL</t>
        </is>
      </c>
      <c r="C902" t="inlineStr">
        <is>
          <t>SHELVES</t>
        </is>
      </c>
      <c r="D902" t="inlineStr">
        <is>
          <t>WY 100 C7445 1989</t>
        </is>
      </c>
      <c r="E902" t="inlineStr">
        <is>
          <t>0                      WY 0100000C  7445        1989</t>
        </is>
      </c>
      <c r="F902" t="inlineStr">
        <is>
          <t>Conceptual models of nursing : analysis and application / [edited] by Joyce J. Fitzpatrick, Ann L. Whall.</t>
        </is>
      </c>
      <c r="H902" t="inlineStr">
        <is>
          <t>No</t>
        </is>
      </c>
      <c r="I902" t="inlineStr">
        <is>
          <t>1</t>
        </is>
      </c>
      <c r="J902" t="inlineStr">
        <is>
          <t>No</t>
        </is>
      </c>
      <c r="K902" t="inlineStr">
        <is>
          <t>No</t>
        </is>
      </c>
      <c r="L902" t="inlineStr">
        <is>
          <t>0</t>
        </is>
      </c>
      <c r="N902" t="inlineStr">
        <is>
          <t>Norwalk, Conn. : Appleton &amp; Lange, c1989.</t>
        </is>
      </c>
      <c r="O902" t="inlineStr">
        <is>
          <t>1989</t>
        </is>
      </c>
      <c r="P902" t="inlineStr">
        <is>
          <t>2nd ed.</t>
        </is>
      </c>
      <c r="Q902" t="inlineStr">
        <is>
          <t>eng</t>
        </is>
      </c>
      <c r="R902" t="inlineStr">
        <is>
          <t>xxu</t>
        </is>
      </c>
      <c r="T902" t="inlineStr">
        <is>
          <t xml:space="preserve">WY </t>
        </is>
      </c>
      <c r="U902" t="n">
        <v>43</v>
      </c>
      <c r="V902" t="n">
        <v>43</v>
      </c>
      <c r="W902" t="inlineStr">
        <is>
          <t>2000-09-17</t>
        </is>
      </c>
      <c r="X902" t="inlineStr">
        <is>
          <t>2000-09-17</t>
        </is>
      </c>
      <c r="Y902" t="inlineStr">
        <is>
          <t>1989-08-08</t>
        </is>
      </c>
      <c r="Z902" t="inlineStr">
        <is>
          <t>1989-08-08</t>
        </is>
      </c>
      <c r="AA902" t="n">
        <v>299</v>
      </c>
      <c r="AB902" t="n">
        <v>207</v>
      </c>
      <c r="AC902" t="n">
        <v>651</v>
      </c>
      <c r="AD902" t="n">
        <v>3</v>
      </c>
      <c r="AE902" t="n">
        <v>6</v>
      </c>
      <c r="AF902" t="n">
        <v>10</v>
      </c>
      <c r="AG902" t="n">
        <v>32</v>
      </c>
      <c r="AH902" t="n">
        <v>3</v>
      </c>
      <c r="AI902" t="n">
        <v>13</v>
      </c>
      <c r="AJ902" t="n">
        <v>3</v>
      </c>
      <c r="AK902" t="n">
        <v>7</v>
      </c>
      <c r="AL902" t="n">
        <v>6</v>
      </c>
      <c r="AM902" t="n">
        <v>15</v>
      </c>
      <c r="AN902" t="n">
        <v>1</v>
      </c>
      <c r="AO902" t="n">
        <v>4</v>
      </c>
      <c r="AP902" t="n">
        <v>0</v>
      </c>
      <c r="AQ902" t="n">
        <v>0</v>
      </c>
      <c r="AR902" t="inlineStr">
        <is>
          <t>No</t>
        </is>
      </c>
      <c r="AS902" t="inlineStr">
        <is>
          <t>Yes</t>
        </is>
      </c>
      <c r="AT902">
        <f>HYPERLINK("http://catalog.hathitrust.org/Record/001099021","HathiTrust Record")</f>
        <v/>
      </c>
      <c r="AU902">
        <f>HYPERLINK("https://creighton-primo.hosted.exlibrisgroup.com/primo-explore/search?tab=default_tab&amp;search_scope=EVERYTHING&amp;vid=01CRU&amp;lang=en_US&amp;offset=0&amp;query=any,contains,991001312759702656","Catalog Record")</f>
        <v/>
      </c>
      <c r="AV902">
        <f>HYPERLINK("http://www.worldcat.org/oclc/18715770","WorldCat Record")</f>
        <v/>
      </c>
      <c r="AW902" t="inlineStr">
        <is>
          <t>1077109766:eng</t>
        </is>
      </c>
      <c r="AX902" t="inlineStr">
        <is>
          <t>18715770</t>
        </is>
      </c>
      <c r="AY902" t="inlineStr">
        <is>
          <t>991001312759702656</t>
        </is>
      </c>
      <c r="AZ902" t="inlineStr">
        <is>
          <t>991001312759702656</t>
        </is>
      </c>
      <c r="BA902" t="inlineStr">
        <is>
          <t>2267940780002656</t>
        </is>
      </c>
      <c r="BB902" t="inlineStr">
        <is>
          <t>BOOK</t>
        </is>
      </c>
      <c r="BD902" t="inlineStr">
        <is>
          <t>9780838512173</t>
        </is>
      </c>
      <c r="BE902" t="inlineStr">
        <is>
          <t>30001001751470</t>
        </is>
      </c>
      <c r="BF902" t="inlineStr">
        <is>
          <t>893552348</t>
        </is>
      </c>
    </row>
    <row r="903">
      <c r="A903" t="inlineStr">
        <is>
          <t>No</t>
        </is>
      </c>
      <c r="B903" t="inlineStr">
        <is>
          <t>CUHSL</t>
        </is>
      </c>
      <c r="C903" t="inlineStr">
        <is>
          <t>SHELVES</t>
        </is>
      </c>
      <c r="D903" t="inlineStr">
        <is>
          <t>WY100 C898f 1996</t>
        </is>
      </c>
      <c r="E903" t="inlineStr">
        <is>
          <t>0                      WY 0100000C  898f        1996</t>
        </is>
      </c>
      <c r="F903" t="inlineStr">
        <is>
          <t>Fundamentals of nursing : human health and function / Ruth F. Craven, Constance J. Hirnle.</t>
        </is>
      </c>
      <c r="H903" t="inlineStr">
        <is>
          <t>No</t>
        </is>
      </c>
      <c r="I903" t="inlineStr">
        <is>
          <t>1</t>
        </is>
      </c>
      <c r="J903" t="inlineStr">
        <is>
          <t>No</t>
        </is>
      </c>
      <c r="K903" t="inlineStr">
        <is>
          <t>Yes</t>
        </is>
      </c>
      <c r="L903" t="inlineStr">
        <is>
          <t>0</t>
        </is>
      </c>
      <c r="M903" t="inlineStr">
        <is>
          <t>Craven, Ruth F.</t>
        </is>
      </c>
      <c r="N903" t="inlineStr">
        <is>
          <t>Philadelphia : Lippincott, c1996.</t>
        </is>
      </c>
      <c r="O903" t="inlineStr">
        <is>
          <t>1996</t>
        </is>
      </c>
      <c r="P903" t="inlineStr">
        <is>
          <t>2nd ed.</t>
        </is>
      </c>
      <c r="Q903" t="inlineStr">
        <is>
          <t>eng</t>
        </is>
      </c>
      <c r="R903" t="inlineStr">
        <is>
          <t>pau</t>
        </is>
      </c>
      <c r="T903" t="inlineStr">
        <is>
          <t xml:space="preserve">WY </t>
        </is>
      </c>
      <c r="U903" t="n">
        <v>36</v>
      </c>
      <c r="V903" t="n">
        <v>36</v>
      </c>
      <c r="W903" t="inlineStr">
        <is>
          <t>2000-04-20</t>
        </is>
      </c>
      <c r="X903" t="inlineStr">
        <is>
          <t>2000-04-20</t>
        </is>
      </c>
      <c r="Y903" t="inlineStr">
        <is>
          <t>1997-06-03</t>
        </is>
      </c>
      <c r="Z903" t="inlineStr">
        <is>
          <t>1997-06-03</t>
        </is>
      </c>
      <c r="AA903" t="n">
        <v>162</v>
      </c>
      <c r="AB903" t="n">
        <v>115</v>
      </c>
      <c r="AC903" t="n">
        <v>880</v>
      </c>
      <c r="AD903" t="n">
        <v>1</v>
      </c>
      <c r="AE903" t="n">
        <v>3</v>
      </c>
      <c r="AF903" t="n">
        <v>2</v>
      </c>
      <c r="AG903" t="n">
        <v>16</v>
      </c>
      <c r="AH903" t="n">
        <v>0</v>
      </c>
      <c r="AI903" t="n">
        <v>6</v>
      </c>
      <c r="AJ903" t="n">
        <v>1</v>
      </c>
      <c r="AK903" t="n">
        <v>4</v>
      </c>
      <c r="AL903" t="n">
        <v>1</v>
      </c>
      <c r="AM903" t="n">
        <v>7</v>
      </c>
      <c r="AN903" t="n">
        <v>0</v>
      </c>
      <c r="AO903" t="n">
        <v>1</v>
      </c>
      <c r="AP903" t="n">
        <v>0</v>
      </c>
      <c r="AQ903" t="n">
        <v>0</v>
      </c>
      <c r="AR903" t="inlineStr">
        <is>
          <t>No</t>
        </is>
      </c>
      <c r="AS903" t="inlineStr">
        <is>
          <t>No</t>
        </is>
      </c>
      <c r="AU903">
        <f>HYPERLINK("https://creighton-primo.hosted.exlibrisgroup.com/primo-explore/search?tab=default_tab&amp;search_scope=EVERYTHING&amp;vid=01CRU&amp;lang=en_US&amp;offset=0&amp;query=any,contains,991001230639702656","Catalog Record")</f>
        <v/>
      </c>
      <c r="AV903">
        <f>HYPERLINK("http://www.worldcat.org/oclc/32820194","WorldCat Record")</f>
        <v/>
      </c>
      <c r="AW903" t="inlineStr">
        <is>
          <t>793226265:eng</t>
        </is>
      </c>
      <c r="AX903" t="inlineStr">
        <is>
          <t>32820194</t>
        </is>
      </c>
      <c r="AY903" t="inlineStr">
        <is>
          <t>991001230639702656</t>
        </is>
      </c>
      <c r="AZ903" t="inlineStr">
        <is>
          <t>991001230639702656</t>
        </is>
      </c>
      <c r="BA903" t="inlineStr">
        <is>
          <t>2260695480002656</t>
        </is>
      </c>
      <c r="BB903" t="inlineStr">
        <is>
          <t>BOOK</t>
        </is>
      </c>
      <c r="BD903" t="inlineStr">
        <is>
          <t>9780397551699</t>
        </is>
      </c>
      <c r="BE903" t="inlineStr">
        <is>
          <t>30001003672625</t>
        </is>
      </c>
      <c r="BF903" t="inlineStr">
        <is>
          <t>893134361</t>
        </is>
      </c>
    </row>
    <row r="904">
      <c r="A904" t="inlineStr">
        <is>
          <t>No</t>
        </is>
      </c>
      <c r="B904" t="inlineStr">
        <is>
          <t>CUHSL</t>
        </is>
      </c>
      <c r="C904" t="inlineStr">
        <is>
          <t>SHELVES</t>
        </is>
      </c>
      <c r="D904" t="inlineStr">
        <is>
          <t>WY 100 C976 1990</t>
        </is>
      </c>
      <c r="E904" t="inlineStr">
        <is>
          <t>0                      WY 0100000C  976         1990</t>
        </is>
      </c>
      <c r="F904" t="inlineStr">
        <is>
          <t>Curriculum revolution : community building and activism.</t>
        </is>
      </c>
      <c r="H904" t="inlineStr">
        <is>
          <t>No</t>
        </is>
      </c>
      <c r="I904" t="inlineStr">
        <is>
          <t>1</t>
        </is>
      </c>
      <c r="J904" t="inlineStr">
        <is>
          <t>No</t>
        </is>
      </c>
      <c r="K904" t="inlineStr">
        <is>
          <t>No</t>
        </is>
      </c>
      <c r="L904" t="inlineStr">
        <is>
          <t>0</t>
        </is>
      </c>
      <c r="N904" t="inlineStr">
        <is>
          <t>New York : National League for Nursing, c1991.</t>
        </is>
      </c>
      <c r="O904" t="inlineStr">
        <is>
          <t>1991</t>
        </is>
      </c>
      <c r="Q904" t="inlineStr">
        <is>
          <t>eng</t>
        </is>
      </c>
      <c r="R904" t="inlineStr">
        <is>
          <t>nyu</t>
        </is>
      </c>
      <c r="S904" t="inlineStr">
        <is>
          <t>NLN pub. no. 15-2398.</t>
        </is>
      </c>
      <c r="T904" t="inlineStr">
        <is>
          <t xml:space="preserve">WY </t>
        </is>
      </c>
      <c r="U904" t="n">
        <v>1</v>
      </c>
      <c r="V904" t="n">
        <v>1</v>
      </c>
      <c r="W904" t="inlineStr">
        <is>
          <t>2007-11-30</t>
        </is>
      </c>
      <c r="X904" t="inlineStr">
        <is>
          <t>2007-11-30</t>
        </is>
      </c>
      <c r="Y904" t="inlineStr">
        <is>
          <t>2000-06-15</t>
        </is>
      </c>
      <c r="Z904" t="inlineStr">
        <is>
          <t>2000-06-15</t>
        </is>
      </c>
      <c r="AA904" t="n">
        <v>284</v>
      </c>
      <c r="AB904" t="n">
        <v>244</v>
      </c>
      <c r="AC904" t="n">
        <v>251</v>
      </c>
      <c r="AD904" t="n">
        <v>2</v>
      </c>
      <c r="AE904" t="n">
        <v>2</v>
      </c>
      <c r="AF904" t="n">
        <v>16</v>
      </c>
      <c r="AG904" t="n">
        <v>16</v>
      </c>
      <c r="AH904" t="n">
        <v>5</v>
      </c>
      <c r="AI904" t="n">
        <v>5</v>
      </c>
      <c r="AJ904" t="n">
        <v>4</v>
      </c>
      <c r="AK904" t="n">
        <v>4</v>
      </c>
      <c r="AL904" t="n">
        <v>10</v>
      </c>
      <c r="AM904" t="n">
        <v>10</v>
      </c>
      <c r="AN904" t="n">
        <v>1</v>
      </c>
      <c r="AO904" t="n">
        <v>1</v>
      </c>
      <c r="AP904" t="n">
        <v>0</v>
      </c>
      <c r="AQ904" t="n">
        <v>0</v>
      </c>
      <c r="AR904" t="inlineStr">
        <is>
          <t>No</t>
        </is>
      </c>
      <c r="AS904" t="inlineStr">
        <is>
          <t>Yes</t>
        </is>
      </c>
      <c r="AT904">
        <f>HYPERLINK("http://catalog.hathitrust.org/Record/002508792","HathiTrust Record")</f>
        <v/>
      </c>
      <c r="AU904">
        <f>HYPERLINK("https://creighton-primo.hosted.exlibrisgroup.com/primo-explore/search?tab=default_tab&amp;search_scope=EVERYTHING&amp;vid=01CRU&amp;lang=en_US&amp;offset=0&amp;query=any,contains,991000229319702656","Catalog Record")</f>
        <v/>
      </c>
      <c r="AV904">
        <f>HYPERLINK("http://www.worldcat.org/oclc/25967134","WorldCat Record")</f>
        <v/>
      </c>
      <c r="AW904" t="inlineStr">
        <is>
          <t>2261036430:eng</t>
        </is>
      </c>
      <c r="AX904" t="inlineStr">
        <is>
          <t>25967134</t>
        </is>
      </c>
      <c r="AY904" t="inlineStr">
        <is>
          <t>991000229319702656</t>
        </is>
      </c>
      <c r="AZ904" t="inlineStr">
        <is>
          <t>991000229319702656</t>
        </is>
      </c>
      <c r="BA904" t="inlineStr">
        <is>
          <t>2259720780002656</t>
        </is>
      </c>
      <c r="BB904" t="inlineStr">
        <is>
          <t>BOOK</t>
        </is>
      </c>
      <c r="BD904" t="inlineStr">
        <is>
          <t>9780887375170</t>
        </is>
      </c>
      <c r="BE904" t="inlineStr">
        <is>
          <t>30001002210286</t>
        </is>
      </c>
      <c r="BF904" t="inlineStr">
        <is>
          <t>893447090</t>
        </is>
      </c>
    </row>
    <row r="905">
      <c r="A905" t="inlineStr">
        <is>
          <t>No</t>
        </is>
      </c>
      <c r="B905" t="inlineStr">
        <is>
          <t>CUHSL</t>
        </is>
      </c>
      <c r="C905" t="inlineStr">
        <is>
          <t>SHELVES</t>
        </is>
      </c>
      <c r="D905" t="inlineStr">
        <is>
          <t>WY100 D521f 2005</t>
        </is>
      </c>
      <c r="E905" t="inlineStr">
        <is>
          <t>0                      WY 0100000D  521f        2005</t>
        </is>
      </c>
      <c r="F905" t="inlineStr">
        <is>
          <t>Fundamental concepts and skills for nursing / Susan C. deWit ; photographs by Jack Sanders.</t>
        </is>
      </c>
      <c r="H905" t="inlineStr">
        <is>
          <t>No</t>
        </is>
      </c>
      <c r="I905" t="inlineStr">
        <is>
          <t>1</t>
        </is>
      </c>
      <c r="J905" t="inlineStr">
        <is>
          <t>No</t>
        </is>
      </c>
      <c r="K905" t="inlineStr">
        <is>
          <t>No</t>
        </is>
      </c>
      <c r="L905" t="inlineStr">
        <is>
          <t>0</t>
        </is>
      </c>
      <c r="M905" t="inlineStr">
        <is>
          <t>DeWit, Susan C.</t>
        </is>
      </c>
      <c r="N905" t="inlineStr">
        <is>
          <t>Philadelphia : Elsevier, c2005.</t>
        </is>
      </c>
      <c r="O905" t="inlineStr">
        <is>
          <t>2005</t>
        </is>
      </c>
      <c r="P905" t="inlineStr">
        <is>
          <t>2nd ed.</t>
        </is>
      </c>
      <c r="Q905" t="inlineStr">
        <is>
          <t>eng</t>
        </is>
      </c>
      <c r="R905" t="inlineStr">
        <is>
          <t>pau</t>
        </is>
      </c>
      <c r="T905" t="inlineStr">
        <is>
          <t xml:space="preserve">WY </t>
        </is>
      </c>
      <c r="U905" t="n">
        <v>7</v>
      </c>
      <c r="V905" t="n">
        <v>7</v>
      </c>
      <c r="W905" t="inlineStr">
        <is>
          <t>2009-10-13</t>
        </is>
      </c>
      <c r="X905" t="inlineStr">
        <is>
          <t>2009-10-13</t>
        </is>
      </c>
      <c r="Y905" t="inlineStr">
        <is>
          <t>2006-01-19</t>
        </is>
      </c>
      <c r="Z905" t="inlineStr">
        <is>
          <t>2006-01-19</t>
        </is>
      </c>
      <c r="AA905" t="n">
        <v>212</v>
      </c>
      <c r="AB905" t="n">
        <v>159</v>
      </c>
      <c r="AC905" t="n">
        <v>449</v>
      </c>
      <c r="AD905" t="n">
        <v>1</v>
      </c>
      <c r="AE905" t="n">
        <v>6</v>
      </c>
      <c r="AF905" t="n">
        <v>3</v>
      </c>
      <c r="AG905" t="n">
        <v>11</v>
      </c>
      <c r="AH905" t="n">
        <v>1</v>
      </c>
      <c r="AI905" t="n">
        <v>2</v>
      </c>
      <c r="AJ905" t="n">
        <v>1</v>
      </c>
      <c r="AK905" t="n">
        <v>2</v>
      </c>
      <c r="AL905" t="n">
        <v>2</v>
      </c>
      <c r="AM905" t="n">
        <v>5</v>
      </c>
      <c r="AN905" t="n">
        <v>0</v>
      </c>
      <c r="AO905" t="n">
        <v>3</v>
      </c>
      <c r="AP905" t="n">
        <v>0</v>
      </c>
      <c r="AQ905" t="n">
        <v>0</v>
      </c>
      <c r="AR905" t="inlineStr">
        <is>
          <t>No</t>
        </is>
      </c>
      <c r="AS905" t="inlineStr">
        <is>
          <t>Yes</t>
        </is>
      </c>
      <c r="AT905">
        <f>HYPERLINK("http://catalog.hathitrust.org/Record/004953841","HathiTrust Record")</f>
        <v/>
      </c>
      <c r="AU905">
        <f>HYPERLINK("https://creighton-primo.hosted.exlibrisgroup.com/primo-explore/search?tab=default_tab&amp;search_scope=EVERYTHING&amp;vid=01CRU&amp;lang=en_US&amp;offset=0&amp;query=any,contains,991001736649702656","Catalog Record")</f>
        <v/>
      </c>
      <c r="AV905">
        <f>HYPERLINK("http://www.worldcat.org/oclc/56968838","WorldCat Record")</f>
        <v/>
      </c>
      <c r="AW905" t="inlineStr">
        <is>
          <t>941096:eng</t>
        </is>
      </c>
      <c r="AX905" t="inlineStr">
        <is>
          <t>56968838</t>
        </is>
      </c>
      <c r="AY905" t="inlineStr">
        <is>
          <t>991001736649702656</t>
        </is>
      </c>
      <c r="AZ905" t="inlineStr">
        <is>
          <t>991001736649702656</t>
        </is>
      </c>
      <c r="BA905" t="inlineStr">
        <is>
          <t>2261717130002656</t>
        </is>
      </c>
      <c r="BB905" t="inlineStr">
        <is>
          <t>BOOK</t>
        </is>
      </c>
      <c r="BD905" t="inlineStr">
        <is>
          <t>9780721603117</t>
        </is>
      </c>
      <c r="BE905" t="inlineStr">
        <is>
          <t>30001004910818</t>
        </is>
      </c>
      <c r="BF905" t="inlineStr">
        <is>
          <t>893826945</t>
        </is>
      </c>
    </row>
    <row r="906">
      <c r="A906" t="inlineStr">
        <is>
          <t>No</t>
        </is>
      </c>
      <c r="B906" t="inlineStr">
        <is>
          <t>CUHSL</t>
        </is>
      </c>
      <c r="C906" t="inlineStr">
        <is>
          <t>SHELVES</t>
        </is>
      </c>
      <c r="D906" t="inlineStr">
        <is>
          <t>WY 100 D535 1986</t>
        </is>
      </c>
      <c r="E906" t="inlineStr">
        <is>
          <t>0                      WY 0100000D  535         1986</t>
        </is>
      </c>
      <c r="F906" t="inlineStr">
        <is>
          <t>Diagnostics.</t>
        </is>
      </c>
      <c r="H906" t="inlineStr">
        <is>
          <t>No</t>
        </is>
      </c>
      <c r="I906" t="inlineStr">
        <is>
          <t>1</t>
        </is>
      </c>
      <c r="J906" t="inlineStr">
        <is>
          <t>No</t>
        </is>
      </c>
      <c r="K906" t="inlineStr">
        <is>
          <t>No</t>
        </is>
      </c>
      <c r="L906" t="inlineStr">
        <is>
          <t>0</t>
        </is>
      </c>
      <c r="N906" t="inlineStr">
        <is>
          <t>Springhouse, Pa. : Springhouse Corp., c1986.</t>
        </is>
      </c>
      <c r="O906" t="inlineStr">
        <is>
          <t>1986</t>
        </is>
      </c>
      <c r="P906" t="inlineStr">
        <is>
          <t>2nd ed.</t>
        </is>
      </c>
      <c r="Q906" t="inlineStr">
        <is>
          <t>eng</t>
        </is>
      </c>
      <c r="R906" t="inlineStr">
        <is>
          <t>xxu</t>
        </is>
      </c>
      <c r="S906" t="inlineStr">
        <is>
          <t>The Nurse's reference library</t>
        </is>
      </c>
      <c r="T906" t="inlineStr">
        <is>
          <t xml:space="preserve">WY </t>
        </is>
      </c>
      <c r="U906" t="n">
        <v>4</v>
      </c>
      <c r="V906" t="n">
        <v>4</v>
      </c>
      <c r="W906" t="inlineStr">
        <is>
          <t>2005-04-05</t>
        </is>
      </c>
      <c r="X906" t="inlineStr">
        <is>
          <t>2005-04-05</t>
        </is>
      </c>
      <c r="Y906" t="inlineStr">
        <is>
          <t>1987-10-22</t>
        </is>
      </c>
      <c r="Z906" t="inlineStr">
        <is>
          <t>1987-10-22</t>
        </is>
      </c>
      <c r="AA906" t="n">
        <v>288</v>
      </c>
      <c r="AB906" t="n">
        <v>245</v>
      </c>
      <c r="AC906" t="n">
        <v>268</v>
      </c>
      <c r="AD906" t="n">
        <v>3</v>
      </c>
      <c r="AE906" t="n">
        <v>3</v>
      </c>
      <c r="AF906" t="n">
        <v>3</v>
      </c>
      <c r="AG906" t="n">
        <v>3</v>
      </c>
      <c r="AH906" t="n">
        <v>1</v>
      </c>
      <c r="AI906" t="n">
        <v>1</v>
      </c>
      <c r="AJ906" t="n">
        <v>0</v>
      </c>
      <c r="AK906" t="n">
        <v>0</v>
      </c>
      <c r="AL906" t="n">
        <v>1</v>
      </c>
      <c r="AM906" t="n">
        <v>1</v>
      </c>
      <c r="AN906" t="n">
        <v>1</v>
      </c>
      <c r="AO906" t="n">
        <v>1</v>
      </c>
      <c r="AP906" t="n">
        <v>0</v>
      </c>
      <c r="AQ906" t="n">
        <v>0</v>
      </c>
      <c r="AR906" t="inlineStr">
        <is>
          <t>No</t>
        </is>
      </c>
      <c r="AS906" t="inlineStr">
        <is>
          <t>Yes</t>
        </is>
      </c>
      <c r="AT906">
        <f>HYPERLINK("http://catalog.hathitrust.org/Record/000434399","HathiTrust Record")</f>
        <v/>
      </c>
      <c r="AU906">
        <f>HYPERLINK("https://creighton-primo.hosted.exlibrisgroup.com/primo-explore/search?tab=default_tab&amp;search_scope=EVERYTHING&amp;vid=01CRU&amp;lang=en_US&amp;offset=0&amp;query=any,contains,991000738099702656","Catalog Record")</f>
        <v/>
      </c>
      <c r="AV906">
        <f>HYPERLINK("http://www.worldcat.org/oclc/12161068","WorldCat Record")</f>
        <v/>
      </c>
      <c r="AW906" t="inlineStr">
        <is>
          <t>54717348:eng</t>
        </is>
      </c>
      <c r="AX906" t="inlineStr">
        <is>
          <t>12161068</t>
        </is>
      </c>
      <c r="AY906" t="inlineStr">
        <is>
          <t>991000738099702656</t>
        </is>
      </c>
      <c r="AZ906" t="inlineStr">
        <is>
          <t>991000738099702656</t>
        </is>
      </c>
      <c r="BA906" t="inlineStr">
        <is>
          <t>2258390800002656</t>
        </is>
      </c>
      <c r="BB906" t="inlineStr">
        <is>
          <t>BOOK</t>
        </is>
      </c>
      <c r="BD906" t="inlineStr">
        <is>
          <t>9780916730895</t>
        </is>
      </c>
      <c r="BE906" t="inlineStr">
        <is>
          <t>30001000042368</t>
        </is>
      </c>
      <c r="BF906" t="inlineStr">
        <is>
          <t>893148139</t>
        </is>
      </c>
    </row>
    <row r="907">
      <c r="A907" t="inlineStr">
        <is>
          <t>No</t>
        </is>
      </c>
      <c r="B907" t="inlineStr">
        <is>
          <t>CUHSL</t>
        </is>
      </c>
      <c r="C907" t="inlineStr">
        <is>
          <t>SHELVES</t>
        </is>
      </c>
      <c r="D907" t="inlineStr">
        <is>
          <t>WY100 D615a 2003</t>
        </is>
      </c>
      <c r="E907" t="inlineStr">
        <is>
          <t>0                      WY 0100000D  615a        2003</t>
        </is>
      </c>
      <c r="F907" t="inlineStr">
        <is>
          <t>Application of nursing process and nursing diagnosis : an interactive text for diagnostic reasoning / Marilynn E. Doenges, Mary Frances Moorhouse.</t>
        </is>
      </c>
      <c r="H907" t="inlineStr">
        <is>
          <t>No</t>
        </is>
      </c>
      <c r="I907" t="inlineStr">
        <is>
          <t>1</t>
        </is>
      </c>
      <c r="J907" t="inlineStr">
        <is>
          <t>No</t>
        </is>
      </c>
      <c r="K907" t="inlineStr">
        <is>
          <t>Yes</t>
        </is>
      </c>
      <c r="L907" t="inlineStr">
        <is>
          <t>0</t>
        </is>
      </c>
      <c r="M907" t="inlineStr">
        <is>
          <t>Doenges, Marilynn E., 1922-</t>
        </is>
      </c>
      <c r="N907" t="inlineStr">
        <is>
          <t>Philadelphia, Pa. : F.A. Davis, c2003.</t>
        </is>
      </c>
      <c r="O907" t="inlineStr">
        <is>
          <t>2003</t>
        </is>
      </c>
      <c r="P907" t="inlineStr">
        <is>
          <t>4th ed.</t>
        </is>
      </c>
      <c r="Q907" t="inlineStr">
        <is>
          <t>eng</t>
        </is>
      </c>
      <c r="R907" t="inlineStr">
        <is>
          <t>pau</t>
        </is>
      </c>
      <c r="T907" t="inlineStr">
        <is>
          <t xml:space="preserve">WY </t>
        </is>
      </c>
      <c r="U907" t="n">
        <v>0</v>
      </c>
      <c r="V907" t="n">
        <v>0</v>
      </c>
      <c r="W907" t="inlineStr">
        <is>
          <t>2003-06-30</t>
        </is>
      </c>
      <c r="X907" t="inlineStr">
        <is>
          <t>2003-06-30</t>
        </is>
      </c>
      <c r="Y907" t="inlineStr">
        <is>
          <t>2003-06-30</t>
        </is>
      </c>
      <c r="Z907" t="inlineStr">
        <is>
          <t>2003-06-30</t>
        </is>
      </c>
      <c r="AA907" t="n">
        <v>237</v>
      </c>
      <c r="AB907" t="n">
        <v>188</v>
      </c>
      <c r="AC907" t="n">
        <v>715</v>
      </c>
      <c r="AD907" t="n">
        <v>1</v>
      </c>
      <c r="AE907" t="n">
        <v>4</v>
      </c>
      <c r="AF907" t="n">
        <v>6</v>
      </c>
      <c r="AG907" t="n">
        <v>21</v>
      </c>
      <c r="AH907" t="n">
        <v>1</v>
      </c>
      <c r="AI907" t="n">
        <v>7</v>
      </c>
      <c r="AJ907" t="n">
        <v>0</v>
      </c>
      <c r="AK907" t="n">
        <v>5</v>
      </c>
      <c r="AL907" t="n">
        <v>5</v>
      </c>
      <c r="AM907" t="n">
        <v>8</v>
      </c>
      <c r="AN907" t="n">
        <v>0</v>
      </c>
      <c r="AO907" t="n">
        <v>3</v>
      </c>
      <c r="AP907" t="n">
        <v>0</v>
      </c>
      <c r="AQ907" t="n">
        <v>1</v>
      </c>
      <c r="AR907" t="inlineStr">
        <is>
          <t>No</t>
        </is>
      </c>
      <c r="AS907" t="inlineStr">
        <is>
          <t>No</t>
        </is>
      </c>
      <c r="AU907">
        <f>HYPERLINK("https://creighton-primo.hosted.exlibrisgroup.com/primo-explore/search?tab=default_tab&amp;search_scope=EVERYTHING&amp;vid=01CRU&amp;lang=en_US&amp;offset=0&amp;query=any,contains,991000352429702656","Catalog Record")</f>
        <v/>
      </c>
      <c r="AV907">
        <f>HYPERLINK("http://www.worldcat.org/oclc/51607869","WorldCat Record")</f>
        <v/>
      </c>
      <c r="AW907" t="inlineStr">
        <is>
          <t>796423931:eng</t>
        </is>
      </c>
      <c r="AX907" t="inlineStr">
        <is>
          <t>51607869</t>
        </is>
      </c>
      <c r="AY907" t="inlineStr">
        <is>
          <t>991000352429702656</t>
        </is>
      </c>
      <c r="AZ907" t="inlineStr">
        <is>
          <t>991000352429702656</t>
        </is>
      </c>
      <c r="BA907" t="inlineStr">
        <is>
          <t>2270315370002656</t>
        </is>
      </c>
      <c r="BB907" t="inlineStr">
        <is>
          <t>BOOK</t>
        </is>
      </c>
      <c r="BD907" t="inlineStr">
        <is>
          <t>9780803610668</t>
        </is>
      </c>
      <c r="BE907" t="inlineStr">
        <is>
          <t>30001004505014</t>
        </is>
      </c>
      <c r="BF907" t="inlineStr">
        <is>
          <t>893150938</t>
        </is>
      </c>
    </row>
    <row r="908">
      <c r="A908" t="inlineStr">
        <is>
          <t>No</t>
        </is>
      </c>
      <c r="B908" t="inlineStr">
        <is>
          <t>CUHSL</t>
        </is>
      </c>
      <c r="C908" t="inlineStr">
        <is>
          <t>SHELVES</t>
        </is>
      </c>
      <c r="D908" t="inlineStr">
        <is>
          <t>WY 100 D651n 1984</t>
        </is>
      </c>
      <c r="E908" t="inlineStr">
        <is>
          <t>0                      WY 0100000D  651n        1984</t>
        </is>
      </c>
      <c r="F908" t="inlineStr">
        <is>
          <t>Nursing care plans : nursing diagnoses in planning patient care / Marilynn E. Doenges, Mary F. Jeffries, Mary Frances Moorhouse.</t>
        </is>
      </c>
      <c r="H908" t="inlineStr">
        <is>
          <t>No</t>
        </is>
      </c>
      <c r="I908" t="inlineStr">
        <is>
          <t>1</t>
        </is>
      </c>
      <c r="J908" t="inlineStr">
        <is>
          <t>No</t>
        </is>
      </c>
      <c r="K908" t="inlineStr">
        <is>
          <t>No</t>
        </is>
      </c>
      <c r="L908" t="inlineStr">
        <is>
          <t>0</t>
        </is>
      </c>
      <c r="M908" t="inlineStr">
        <is>
          <t>Doenges, Marilynn E., 1922-</t>
        </is>
      </c>
      <c r="N908" t="inlineStr">
        <is>
          <t>Philadelphia : Davis, c1984.</t>
        </is>
      </c>
      <c r="O908" t="inlineStr">
        <is>
          <t>1984</t>
        </is>
      </c>
      <c r="Q908" t="inlineStr">
        <is>
          <t>eng</t>
        </is>
      </c>
      <c r="R908" t="inlineStr">
        <is>
          <t>xxu</t>
        </is>
      </c>
      <c r="T908" t="inlineStr">
        <is>
          <t xml:space="preserve">WY </t>
        </is>
      </c>
      <c r="U908" t="n">
        <v>81</v>
      </c>
      <c r="V908" t="n">
        <v>81</v>
      </c>
      <c r="W908" t="inlineStr">
        <is>
          <t>1997-01-29</t>
        </is>
      </c>
      <c r="X908" t="inlineStr">
        <is>
          <t>1997-01-29</t>
        </is>
      </c>
      <c r="Y908" t="inlineStr">
        <is>
          <t>1988-02-23</t>
        </is>
      </c>
      <c r="Z908" t="inlineStr">
        <is>
          <t>1988-02-23</t>
        </is>
      </c>
      <c r="AA908" t="n">
        <v>299</v>
      </c>
      <c r="AB908" t="n">
        <v>252</v>
      </c>
      <c r="AC908" t="n">
        <v>259</v>
      </c>
      <c r="AD908" t="n">
        <v>2</v>
      </c>
      <c r="AE908" t="n">
        <v>2</v>
      </c>
      <c r="AF908" t="n">
        <v>7</v>
      </c>
      <c r="AG908" t="n">
        <v>7</v>
      </c>
      <c r="AH908" t="n">
        <v>4</v>
      </c>
      <c r="AI908" t="n">
        <v>4</v>
      </c>
      <c r="AJ908" t="n">
        <v>1</v>
      </c>
      <c r="AK908" t="n">
        <v>1</v>
      </c>
      <c r="AL908" t="n">
        <v>3</v>
      </c>
      <c r="AM908" t="n">
        <v>3</v>
      </c>
      <c r="AN908" t="n">
        <v>1</v>
      </c>
      <c r="AO908" t="n">
        <v>1</v>
      </c>
      <c r="AP908" t="n">
        <v>0</v>
      </c>
      <c r="AQ908" t="n">
        <v>0</v>
      </c>
      <c r="AR908" t="inlineStr">
        <is>
          <t>No</t>
        </is>
      </c>
      <c r="AS908" t="inlineStr">
        <is>
          <t>Yes</t>
        </is>
      </c>
      <c r="AT908">
        <f>HYPERLINK("http://catalog.hathitrust.org/Record/000781700","HathiTrust Record")</f>
        <v/>
      </c>
      <c r="AU908">
        <f>HYPERLINK("https://creighton-primo.hosted.exlibrisgroup.com/primo-explore/search?tab=default_tab&amp;search_scope=EVERYTHING&amp;vid=01CRU&amp;lang=en_US&amp;offset=0&amp;query=any,contains,991000738009702656","Catalog Record")</f>
        <v/>
      </c>
      <c r="AV908">
        <f>HYPERLINK("http://www.worldcat.org/oclc/10207898","WorldCat Record")</f>
        <v/>
      </c>
      <c r="AW908" t="inlineStr">
        <is>
          <t>3901029159:eng</t>
        </is>
      </c>
      <c r="AX908" t="inlineStr">
        <is>
          <t>10207898</t>
        </is>
      </c>
      <c r="AY908" t="inlineStr">
        <is>
          <t>991000738009702656</t>
        </is>
      </c>
      <c r="AZ908" t="inlineStr">
        <is>
          <t>991000738009702656</t>
        </is>
      </c>
      <c r="BA908" t="inlineStr">
        <is>
          <t>2268542510002656</t>
        </is>
      </c>
      <c r="BB908" t="inlineStr">
        <is>
          <t>BOOK</t>
        </is>
      </c>
      <c r="BD908" t="inlineStr">
        <is>
          <t>9780803626607</t>
        </is>
      </c>
      <c r="BE908" t="inlineStr">
        <is>
          <t>30001000042335</t>
        </is>
      </c>
      <c r="BF908" t="inlineStr">
        <is>
          <t>893459770</t>
        </is>
      </c>
    </row>
    <row r="909">
      <c r="A909" t="inlineStr">
        <is>
          <t>No</t>
        </is>
      </c>
      <c r="B909" t="inlineStr">
        <is>
          <t>CUHSL</t>
        </is>
      </c>
      <c r="C909" t="inlineStr">
        <is>
          <t>SHELVES</t>
        </is>
      </c>
      <c r="D909" t="inlineStr">
        <is>
          <t>WY 100 E43n 2000</t>
        </is>
      </c>
      <c r="E909" t="inlineStr">
        <is>
          <t>0                      WY 0100000E  43n         2000</t>
        </is>
      </c>
      <c r="F909" t="inlineStr">
        <is>
          <t>Nursing interventions and clinical skills / Martha Keene Elkin, Patricia A. Potter, Anne G. Perry.</t>
        </is>
      </c>
      <c r="H909" t="inlineStr">
        <is>
          <t>No</t>
        </is>
      </c>
      <c r="I909" t="inlineStr">
        <is>
          <t>1</t>
        </is>
      </c>
      <c r="J909" t="inlineStr">
        <is>
          <t>No</t>
        </is>
      </c>
      <c r="K909" t="inlineStr">
        <is>
          <t>Yes</t>
        </is>
      </c>
      <c r="L909" t="inlineStr">
        <is>
          <t>0</t>
        </is>
      </c>
      <c r="M909" t="inlineStr">
        <is>
          <t>Elkin, Martha Keene.</t>
        </is>
      </c>
      <c r="N909" t="inlineStr">
        <is>
          <t>St. Louis, Mo. ; London : Mosby, 1999.</t>
        </is>
      </c>
      <c r="O909" t="inlineStr">
        <is>
          <t>1999</t>
        </is>
      </c>
      <c r="P909" t="inlineStr">
        <is>
          <t>2nd ed.</t>
        </is>
      </c>
      <c r="Q909" t="inlineStr">
        <is>
          <t>eng</t>
        </is>
      </c>
      <c r="R909" t="inlineStr">
        <is>
          <t>mou</t>
        </is>
      </c>
      <c r="T909" t="inlineStr">
        <is>
          <t xml:space="preserve">WY </t>
        </is>
      </c>
      <c r="U909" t="n">
        <v>12</v>
      </c>
      <c r="V909" t="n">
        <v>12</v>
      </c>
      <c r="W909" t="inlineStr">
        <is>
          <t>2003-06-23</t>
        </is>
      </c>
      <c r="X909" t="inlineStr">
        <is>
          <t>2003-06-23</t>
        </is>
      </c>
      <c r="Y909" t="inlineStr">
        <is>
          <t>1999-09-28</t>
        </is>
      </c>
      <c r="Z909" t="inlineStr">
        <is>
          <t>1999-09-28</t>
        </is>
      </c>
      <c r="AA909" t="n">
        <v>35</v>
      </c>
      <c r="AB909" t="n">
        <v>24</v>
      </c>
      <c r="AC909" t="n">
        <v>721</v>
      </c>
      <c r="AD909" t="n">
        <v>1</v>
      </c>
      <c r="AE909" t="n">
        <v>5</v>
      </c>
      <c r="AF909" t="n">
        <v>1</v>
      </c>
      <c r="AG909" t="n">
        <v>19</v>
      </c>
      <c r="AH909" t="n">
        <v>0</v>
      </c>
      <c r="AI909" t="n">
        <v>6</v>
      </c>
      <c r="AJ909" t="n">
        <v>0</v>
      </c>
      <c r="AK909" t="n">
        <v>3</v>
      </c>
      <c r="AL909" t="n">
        <v>1</v>
      </c>
      <c r="AM909" t="n">
        <v>10</v>
      </c>
      <c r="AN909" t="n">
        <v>0</v>
      </c>
      <c r="AO909" t="n">
        <v>3</v>
      </c>
      <c r="AP909" t="n">
        <v>0</v>
      </c>
      <c r="AQ909" t="n">
        <v>0</v>
      </c>
      <c r="AR909" t="inlineStr">
        <is>
          <t>No</t>
        </is>
      </c>
      <c r="AS909" t="inlineStr">
        <is>
          <t>No</t>
        </is>
      </c>
      <c r="AU909">
        <f>HYPERLINK("https://creighton-primo.hosted.exlibrisgroup.com/primo-explore/search?tab=default_tab&amp;search_scope=EVERYTHING&amp;vid=01CRU&amp;lang=en_US&amp;offset=0&amp;query=any,contains,991001565249702656","Catalog Record")</f>
        <v/>
      </c>
      <c r="AV909">
        <f>HYPERLINK("http://www.worldcat.org/oclc/222740507","WorldCat Record")</f>
        <v/>
      </c>
      <c r="AW909" t="inlineStr">
        <is>
          <t>429367:eng</t>
        </is>
      </c>
      <c r="AX909" t="inlineStr">
        <is>
          <t>222740507</t>
        </is>
      </c>
      <c r="AY909" t="inlineStr">
        <is>
          <t>991001565249702656</t>
        </is>
      </c>
      <c r="AZ909" t="inlineStr">
        <is>
          <t>991001565249702656</t>
        </is>
      </c>
      <c r="BA909" t="inlineStr">
        <is>
          <t>2266979120002656</t>
        </is>
      </c>
      <c r="BB909" t="inlineStr">
        <is>
          <t>BOOK</t>
        </is>
      </c>
      <c r="BD909" t="inlineStr">
        <is>
          <t>9780323008020</t>
        </is>
      </c>
      <c r="BE909" t="inlineStr">
        <is>
          <t>30001004015055</t>
        </is>
      </c>
      <c r="BF909" t="inlineStr">
        <is>
          <t>893279223</t>
        </is>
      </c>
    </row>
    <row r="910">
      <c r="A910" t="inlineStr">
        <is>
          <t>No</t>
        </is>
      </c>
      <c r="B910" t="inlineStr">
        <is>
          <t>CUHSL</t>
        </is>
      </c>
      <c r="C910" t="inlineStr">
        <is>
          <t>SHELVES</t>
        </is>
      </c>
      <c r="D910" t="inlineStr">
        <is>
          <t>WY 100 E92 1988</t>
        </is>
      </c>
      <c r="E910" t="inlineStr">
        <is>
          <t>0                      WY 0100000E  92          1988</t>
        </is>
      </c>
      <c r="F910" t="inlineStr">
        <is>
          <t>Evaluation instruments in nursing / Dolores Bower, Linda Linc, Doreen Denega ; contributing authors, Annette Sues Mitzel, Elaine Nichols.</t>
        </is>
      </c>
      <c r="H910" t="inlineStr">
        <is>
          <t>No</t>
        </is>
      </c>
      <c r="I910" t="inlineStr">
        <is>
          <t>1</t>
        </is>
      </c>
      <c r="J910" t="inlineStr">
        <is>
          <t>No</t>
        </is>
      </c>
      <c r="K910" t="inlineStr">
        <is>
          <t>No</t>
        </is>
      </c>
      <c r="L910" t="inlineStr">
        <is>
          <t>0</t>
        </is>
      </c>
      <c r="N910" t="inlineStr">
        <is>
          <t>New York : National League for Nursing, c1988.</t>
        </is>
      </c>
      <c r="O910" t="inlineStr">
        <is>
          <t>1988</t>
        </is>
      </c>
      <c r="Q910" t="inlineStr">
        <is>
          <t>eng</t>
        </is>
      </c>
      <c r="R910" t="inlineStr">
        <is>
          <t>nyu</t>
        </is>
      </c>
      <c r="S910" t="inlineStr">
        <is>
          <t>"Pub. no. 15-2178."</t>
        </is>
      </c>
      <c r="T910" t="inlineStr">
        <is>
          <t xml:space="preserve">WY </t>
        </is>
      </c>
      <c r="U910" t="n">
        <v>7</v>
      </c>
      <c r="V910" t="n">
        <v>7</v>
      </c>
      <c r="W910" t="inlineStr">
        <is>
          <t>1994-02-11</t>
        </is>
      </c>
      <c r="X910" t="inlineStr">
        <is>
          <t>1994-02-11</t>
        </is>
      </c>
      <c r="Y910" t="inlineStr">
        <is>
          <t>1988-03-23</t>
        </is>
      </c>
      <c r="Z910" t="inlineStr">
        <is>
          <t>1988-03-23</t>
        </is>
      </c>
      <c r="AA910" t="n">
        <v>249</v>
      </c>
      <c r="AB910" t="n">
        <v>221</v>
      </c>
      <c r="AC910" t="n">
        <v>228</v>
      </c>
      <c r="AD910" t="n">
        <v>4</v>
      </c>
      <c r="AE910" t="n">
        <v>4</v>
      </c>
      <c r="AF910" t="n">
        <v>12</v>
      </c>
      <c r="AG910" t="n">
        <v>12</v>
      </c>
      <c r="AH910" t="n">
        <v>3</v>
      </c>
      <c r="AI910" t="n">
        <v>3</v>
      </c>
      <c r="AJ910" t="n">
        <v>3</v>
      </c>
      <c r="AK910" t="n">
        <v>3</v>
      </c>
      <c r="AL910" t="n">
        <v>5</v>
      </c>
      <c r="AM910" t="n">
        <v>5</v>
      </c>
      <c r="AN910" t="n">
        <v>2</v>
      </c>
      <c r="AO910" t="n">
        <v>2</v>
      </c>
      <c r="AP910" t="n">
        <v>0</v>
      </c>
      <c r="AQ910" t="n">
        <v>0</v>
      </c>
      <c r="AR910" t="inlineStr">
        <is>
          <t>No</t>
        </is>
      </c>
      <c r="AS910" t="inlineStr">
        <is>
          <t>Yes</t>
        </is>
      </c>
      <c r="AT910">
        <f>HYPERLINK("http://catalog.hathitrust.org/Record/002508310","HathiTrust Record")</f>
        <v/>
      </c>
      <c r="AU910">
        <f>HYPERLINK("https://creighton-primo.hosted.exlibrisgroup.com/primo-explore/search?tab=default_tab&amp;search_scope=EVERYTHING&amp;vid=01CRU&amp;lang=en_US&amp;offset=0&amp;query=any,contains,991001540309702656","Catalog Record")</f>
        <v/>
      </c>
      <c r="AV910">
        <f>HYPERLINK("http://www.worldcat.org/oclc/17285099","WorldCat Record")</f>
        <v/>
      </c>
      <c r="AW910" t="inlineStr">
        <is>
          <t>355359975:eng</t>
        </is>
      </c>
      <c r="AX910" t="inlineStr">
        <is>
          <t>17285099</t>
        </is>
      </c>
      <c r="AY910" t="inlineStr">
        <is>
          <t>991001540309702656</t>
        </is>
      </c>
      <c r="AZ910" t="inlineStr">
        <is>
          <t>991001540309702656</t>
        </is>
      </c>
      <c r="BA910" t="inlineStr">
        <is>
          <t>2268166080002656</t>
        </is>
      </c>
      <c r="BB910" t="inlineStr">
        <is>
          <t>BOOK</t>
        </is>
      </c>
      <c r="BD910" t="inlineStr">
        <is>
          <t>9780887373596</t>
        </is>
      </c>
      <c r="BE910" t="inlineStr">
        <is>
          <t>30001000624900</t>
        </is>
      </c>
      <c r="BF910" t="inlineStr">
        <is>
          <t>893268593</t>
        </is>
      </c>
    </row>
    <row r="911">
      <c r="A911" t="inlineStr">
        <is>
          <t>No</t>
        </is>
      </c>
      <c r="B911" t="inlineStr">
        <is>
          <t>CUHSL</t>
        </is>
      </c>
      <c r="C911" t="inlineStr">
        <is>
          <t>SHELVES</t>
        </is>
      </c>
      <c r="D911" t="inlineStr">
        <is>
          <t>WY 100 F1978 1987</t>
        </is>
      </c>
      <c r="E911" t="inlineStr">
        <is>
          <t>0                      WY 0100000F  1978        1987</t>
        </is>
      </c>
      <c r="F911" t="inlineStr">
        <is>
          <t>Families and life-threatening illness / [edited by] Maureen Leahey, Lorraine M. Wright.</t>
        </is>
      </c>
      <c r="H911" t="inlineStr">
        <is>
          <t>No</t>
        </is>
      </c>
      <c r="I911" t="inlineStr">
        <is>
          <t>1</t>
        </is>
      </c>
      <c r="J911" t="inlineStr">
        <is>
          <t>No</t>
        </is>
      </c>
      <c r="K911" t="inlineStr">
        <is>
          <t>No</t>
        </is>
      </c>
      <c r="L911" t="inlineStr">
        <is>
          <t>0</t>
        </is>
      </c>
      <c r="N911" t="inlineStr">
        <is>
          <t>Springhouse, Pa. : Springhouse Corp., c1987.</t>
        </is>
      </c>
      <c r="O911" t="inlineStr">
        <is>
          <t>1987</t>
        </is>
      </c>
      <c r="Q911" t="inlineStr">
        <is>
          <t>eng</t>
        </is>
      </c>
      <c r="R911" t="inlineStr">
        <is>
          <t>xxu</t>
        </is>
      </c>
      <c r="S911" t="inlineStr">
        <is>
          <t>Family nursing series</t>
        </is>
      </c>
      <c r="T911" t="inlineStr">
        <is>
          <t xml:space="preserve">WY </t>
        </is>
      </c>
      <c r="U911" t="n">
        <v>10</v>
      </c>
      <c r="V911" t="n">
        <v>10</v>
      </c>
      <c r="W911" t="inlineStr">
        <is>
          <t>2006-02-16</t>
        </is>
      </c>
      <c r="X911" t="inlineStr">
        <is>
          <t>2006-02-16</t>
        </is>
      </c>
      <c r="Y911" t="inlineStr">
        <is>
          <t>1988-01-06</t>
        </is>
      </c>
      <c r="Z911" t="inlineStr">
        <is>
          <t>1988-01-06</t>
        </is>
      </c>
      <c r="AA911" t="n">
        <v>269</v>
      </c>
      <c r="AB911" t="n">
        <v>197</v>
      </c>
      <c r="AC911" t="n">
        <v>199</v>
      </c>
      <c r="AD911" t="n">
        <v>1</v>
      </c>
      <c r="AE911" t="n">
        <v>1</v>
      </c>
      <c r="AF911" t="n">
        <v>6</v>
      </c>
      <c r="AG911" t="n">
        <v>6</v>
      </c>
      <c r="AH911" t="n">
        <v>2</v>
      </c>
      <c r="AI911" t="n">
        <v>2</v>
      </c>
      <c r="AJ911" t="n">
        <v>0</v>
      </c>
      <c r="AK911" t="n">
        <v>0</v>
      </c>
      <c r="AL911" t="n">
        <v>4</v>
      </c>
      <c r="AM911" t="n">
        <v>4</v>
      </c>
      <c r="AN911" t="n">
        <v>0</v>
      </c>
      <c r="AO911" t="n">
        <v>0</v>
      </c>
      <c r="AP911" t="n">
        <v>0</v>
      </c>
      <c r="AQ911" t="n">
        <v>0</v>
      </c>
      <c r="AR911" t="inlineStr">
        <is>
          <t>No</t>
        </is>
      </c>
      <c r="AS911" t="inlineStr">
        <is>
          <t>Yes</t>
        </is>
      </c>
      <c r="AT911">
        <f>HYPERLINK("http://catalog.hathitrust.org/Record/004410370","HathiTrust Record")</f>
        <v/>
      </c>
      <c r="AU911">
        <f>HYPERLINK("https://creighton-primo.hosted.exlibrisgroup.com/primo-explore/search?tab=default_tab&amp;search_scope=EVERYTHING&amp;vid=01CRU&amp;lang=en_US&amp;offset=0&amp;query=any,contains,991001535449702656","Catalog Record")</f>
        <v/>
      </c>
      <c r="AV911">
        <f>HYPERLINK("http://www.worldcat.org/oclc/16005787","WorldCat Record")</f>
        <v/>
      </c>
      <c r="AW911" t="inlineStr">
        <is>
          <t>10995210:eng</t>
        </is>
      </c>
      <c r="AX911" t="inlineStr">
        <is>
          <t>16005787</t>
        </is>
      </c>
      <c r="AY911" t="inlineStr">
        <is>
          <t>991001535449702656</t>
        </is>
      </c>
      <c r="AZ911" t="inlineStr">
        <is>
          <t>991001535449702656</t>
        </is>
      </c>
      <c r="BA911" t="inlineStr">
        <is>
          <t>2258092530002656</t>
        </is>
      </c>
      <c r="BB911" t="inlineStr">
        <is>
          <t>BOOK</t>
        </is>
      </c>
      <c r="BD911" t="inlineStr">
        <is>
          <t>9780874340891</t>
        </is>
      </c>
      <c r="BE911" t="inlineStr">
        <is>
          <t>30001000622748</t>
        </is>
      </c>
      <c r="BF911" t="inlineStr">
        <is>
          <t>893633172</t>
        </is>
      </c>
    </row>
    <row r="912">
      <c r="A912" t="inlineStr">
        <is>
          <t>No</t>
        </is>
      </c>
      <c r="B912" t="inlineStr">
        <is>
          <t>CUHSL</t>
        </is>
      </c>
      <c r="C912" t="inlineStr">
        <is>
          <t>SHELVES</t>
        </is>
      </c>
      <c r="D912" t="inlineStr">
        <is>
          <t>WY 100 F198 1983</t>
        </is>
      </c>
      <c r="E912" t="inlineStr">
        <is>
          <t>0                      WY 0100000F  198         1983</t>
        </is>
      </c>
      <c r="F912" t="inlineStr">
        <is>
          <t>Family health, a theoretical approach to nursing care / edited by Imelda W. Clements, Florence B. Roberts.</t>
        </is>
      </c>
      <c r="H912" t="inlineStr">
        <is>
          <t>No</t>
        </is>
      </c>
      <c r="I912" t="inlineStr">
        <is>
          <t>1</t>
        </is>
      </c>
      <c r="J912" t="inlineStr">
        <is>
          <t>No</t>
        </is>
      </c>
      <c r="K912" t="inlineStr">
        <is>
          <t>No</t>
        </is>
      </c>
      <c r="L912" t="inlineStr">
        <is>
          <t>0</t>
        </is>
      </c>
      <c r="N912" t="inlineStr">
        <is>
          <t>New York : Wiley, c1983.</t>
        </is>
      </c>
      <c r="O912" t="inlineStr">
        <is>
          <t>1983</t>
        </is>
      </c>
      <c r="Q912" t="inlineStr">
        <is>
          <t>eng</t>
        </is>
      </c>
      <c r="R912" t="inlineStr">
        <is>
          <t>xxu</t>
        </is>
      </c>
      <c r="S912" t="inlineStr">
        <is>
          <t>A Wiley medical publication</t>
        </is>
      </c>
      <c r="T912" t="inlineStr">
        <is>
          <t xml:space="preserve">WY </t>
        </is>
      </c>
      <c r="U912" t="n">
        <v>7</v>
      </c>
      <c r="V912" t="n">
        <v>7</v>
      </c>
      <c r="W912" t="inlineStr">
        <is>
          <t>2005-09-06</t>
        </is>
      </c>
      <c r="X912" t="inlineStr">
        <is>
          <t>2005-09-06</t>
        </is>
      </c>
      <c r="Y912" t="inlineStr">
        <is>
          <t>1987-10-22</t>
        </is>
      </c>
      <c r="Z912" t="inlineStr">
        <is>
          <t>1987-10-22</t>
        </is>
      </c>
      <c r="AA912" t="n">
        <v>214</v>
      </c>
      <c r="AB912" t="n">
        <v>170</v>
      </c>
      <c r="AC912" t="n">
        <v>172</v>
      </c>
      <c r="AD912" t="n">
        <v>4</v>
      </c>
      <c r="AE912" t="n">
        <v>4</v>
      </c>
      <c r="AF912" t="n">
        <v>6</v>
      </c>
      <c r="AG912" t="n">
        <v>6</v>
      </c>
      <c r="AH912" t="n">
        <v>1</v>
      </c>
      <c r="AI912" t="n">
        <v>1</v>
      </c>
      <c r="AJ912" t="n">
        <v>0</v>
      </c>
      <c r="AK912" t="n">
        <v>0</v>
      </c>
      <c r="AL912" t="n">
        <v>4</v>
      </c>
      <c r="AM912" t="n">
        <v>4</v>
      </c>
      <c r="AN912" t="n">
        <v>1</v>
      </c>
      <c r="AO912" t="n">
        <v>1</v>
      </c>
      <c r="AP912" t="n">
        <v>0</v>
      </c>
      <c r="AQ912" t="n">
        <v>0</v>
      </c>
      <c r="AR912" t="inlineStr">
        <is>
          <t>No</t>
        </is>
      </c>
      <c r="AS912" t="inlineStr">
        <is>
          <t>Yes</t>
        </is>
      </c>
      <c r="AT912">
        <f>HYPERLINK("http://catalog.hathitrust.org/Record/000202295","HathiTrust Record")</f>
        <v/>
      </c>
      <c r="AU912">
        <f>HYPERLINK("https://creighton-primo.hosted.exlibrisgroup.com/primo-explore/search?tab=default_tab&amp;search_scope=EVERYTHING&amp;vid=01CRU&amp;lang=en_US&amp;offset=0&amp;query=any,contains,991000737869702656","Catalog Record")</f>
        <v/>
      </c>
      <c r="AV912">
        <f>HYPERLINK("http://www.worldcat.org/oclc/8763246","WorldCat Record")</f>
        <v/>
      </c>
      <c r="AW912" t="inlineStr">
        <is>
          <t>430538467:eng</t>
        </is>
      </c>
      <c r="AX912" t="inlineStr">
        <is>
          <t>8763246</t>
        </is>
      </c>
      <c r="AY912" t="inlineStr">
        <is>
          <t>991000737869702656</t>
        </is>
      </c>
      <c r="AZ912" t="inlineStr">
        <is>
          <t>991000737869702656</t>
        </is>
      </c>
      <c r="BA912" t="inlineStr">
        <is>
          <t>2272475020002656</t>
        </is>
      </c>
      <c r="BB912" t="inlineStr">
        <is>
          <t>BOOK</t>
        </is>
      </c>
      <c r="BD912" t="inlineStr">
        <is>
          <t>9780471085362</t>
        </is>
      </c>
      <c r="BE912" t="inlineStr">
        <is>
          <t>30001000042293</t>
        </is>
      </c>
      <c r="BF912" t="inlineStr">
        <is>
          <t>893735450</t>
        </is>
      </c>
    </row>
    <row r="913">
      <c r="A913" t="inlineStr">
        <is>
          <t>No</t>
        </is>
      </c>
      <c r="B913" t="inlineStr">
        <is>
          <t>CUHSL</t>
        </is>
      </c>
      <c r="C913" t="inlineStr">
        <is>
          <t>SHELVES</t>
        </is>
      </c>
      <c r="D913" t="inlineStr">
        <is>
          <t>WY 100 F1985 1991</t>
        </is>
      </c>
      <c r="E913" t="inlineStr">
        <is>
          <t>0                      WY 0100000F  1985        1991</t>
        </is>
      </c>
      <c r="F913" t="inlineStr">
        <is>
          <t>Family theory development in nursing : state of the science and art / edited by Ann L. Whall, Jacqueline Fawcett.</t>
        </is>
      </c>
      <c r="H913" t="inlineStr">
        <is>
          <t>No</t>
        </is>
      </c>
      <c r="I913" t="inlineStr">
        <is>
          <t>1</t>
        </is>
      </c>
      <c r="J913" t="inlineStr">
        <is>
          <t>No</t>
        </is>
      </c>
      <c r="K913" t="inlineStr">
        <is>
          <t>No</t>
        </is>
      </c>
      <c r="L913" t="inlineStr">
        <is>
          <t>0</t>
        </is>
      </c>
      <c r="N913" t="inlineStr">
        <is>
          <t>Philadelphia : F.A. Davis, c1991.</t>
        </is>
      </c>
      <c r="O913" t="inlineStr">
        <is>
          <t>1991</t>
        </is>
      </c>
      <c r="Q913" t="inlineStr">
        <is>
          <t>eng</t>
        </is>
      </c>
      <c r="R913" t="inlineStr">
        <is>
          <t>pau</t>
        </is>
      </c>
      <c r="T913" t="inlineStr">
        <is>
          <t xml:space="preserve">WY </t>
        </is>
      </c>
      <c r="U913" t="n">
        <v>2</v>
      </c>
      <c r="V913" t="n">
        <v>2</v>
      </c>
      <c r="W913" t="inlineStr">
        <is>
          <t>1991-04-25</t>
        </is>
      </c>
      <c r="X913" t="inlineStr">
        <is>
          <t>1991-04-25</t>
        </is>
      </c>
      <c r="Y913" t="inlineStr">
        <is>
          <t>1991-04-25</t>
        </is>
      </c>
      <c r="Z913" t="inlineStr">
        <is>
          <t>1991-04-25</t>
        </is>
      </c>
      <c r="AA913" t="n">
        <v>318</v>
      </c>
      <c r="AB913" t="n">
        <v>246</v>
      </c>
      <c r="AC913" t="n">
        <v>258</v>
      </c>
      <c r="AD913" t="n">
        <v>2</v>
      </c>
      <c r="AE913" t="n">
        <v>2</v>
      </c>
      <c r="AF913" t="n">
        <v>12</v>
      </c>
      <c r="AG913" t="n">
        <v>12</v>
      </c>
      <c r="AH913" t="n">
        <v>6</v>
      </c>
      <c r="AI913" t="n">
        <v>6</v>
      </c>
      <c r="AJ913" t="n">
        <v>1</v>
      </c>
      <c r="AK913" t="n">
        <v>1</v>
      </c>
      <c r="AL913" t="n">
        <v>9</v>
      </c>
      <c r="AM913" t="n">
        <v>9</v>
      </c>
      <c r="AN913" t="n">
        <v>0</v>
      </c>
      <c r="AO913" t="n">
        <v>0</v>
      </c>
      <c r="AP913" t="n">
        <v>0</v>
      </c>
      <c r="AQ913" t="n">
        <v>0</v>
      </c>
      <c r="AR913" t="inlineStr">
        <is>
          <t>No</t>
        </is>
      </c>
      <c r="AS913" t="inlineStr">
        <is>
          <t>Yes</t>
        </is>
      </c>
      <c r="AT913">
        <f>HYPERLINK("http://catalog.hathitrust.org/Record/002456940","HathiTrust Record")</f>
        <v/>
      </c>
      <c r="AU913">
        <f>HYPERLINK("https://creighton-primo.hosted.exlibrisgroup.com/primo-explore/search?tab=default_tab&amp;search_scope=EVERYTHING&amp;vid=01CRU&amp;lang=en_US&amp;offset=0&amp;query=any,contains,991000933899702656","Catalog Record")</f>
        <v/>
      </c>
      <c r="AV913">
        <f>HYPERLINK("http://www.worldcat.org/oclc/22813929","WorldCat Record")</f>
        <v/>
      </c>
      <c r="AW913" t="inlineStr">
        <is>
          <t>836754984:eng</t>
        </is>
      </c>
      <c r="AX913" t="inlineStr">
        <is>
          <t>22813929</t>
        </is>
      </c>
      <c r="AY913" t="inlineStr">
        <is>
          <t>991000933899702656</t>
        </is>
      </c>
      <c r="AZ913" t="inlineStr">
        <is>
          <t>991000933899702656</t>
        </is>
      </c>
      <c r="BA913" t="inlineStr">
        <is>
          <t>2263938880002656</t>
        </is>
      </c>
      <c r="BB913" t="inlineStr">
        <is>
          <t>BOOK</t>
        </is>
      </c>
      <c r="BD913" t="inlineStr">
        <is>
          <t>9780803692527</t>
        </is>
      </c>
      <c r="BE913" t="inlineStr">
        <is>
          <t>30001002190322</t>
        </is>
      </c>
      <c r="BF913" t="inlineStr">
        <is>
          <t>893632514</t>
        </is>
      </c>
    </row>
    <row r="914">
      <c r="A914" t="inlineStr">
        <is>
          <t>No</t>
        </is>
      </c>
      <c r="B914" t="inlineStr">
        <is>
          <t>CUHSL</t>
        </is>
      </c>
      <c r="C914" t="inlineStr">
        <is>
          <t>SHELVES</t>
        </is>
      </c>
      <c r="D914" t="inlineStr">
        <is>
          <t>WY 100 F278a 1984</t>
        </is>
      </c>
      <c r="E914" t="inlineStr">
        <is>
          <t>0                      WY 0100000F  278a        1984</t>
        </is>
      </c>
      <c r="F914" t="inlineStr">
        <is>
          <t>Analysis and evaluation of conceptual models of nursing / Jacqueline Fawcett.</t>
        </is>
      </c>
      <c r="H914" t="inlineStr">
        <is>
          <t>No</t>
        </is>
      </c>
      <c r="I914" t="inlineStr">
        <is>
          <t>1</t>
        </is>
      </c>
      <c r="J914" t="inlineStr">
        <is>
          <t>No</t>
        </is>
      </c>
      <c r="K914" t="inlineStr">
        <is>
          <t>Yes</t>
        </is>
      </c>
      <c r="L914" t="inlineStr">
        <is>
          <t>0</t>
        </is>
      </c>
      <c r="M914" t="inlineStr">
        <is>
          <t>Fawcett, Jacqueline.</t>
        </is>
      </c>
      <c r="N914" t="inlineStr">
        <is>
          <t>Philadelphia : F.A. Davis, c1984.</t>
        </is>
      </c>
      <c r="O914" t="inlineStr">
        <is>
          <t>1984</t>
        </is>
      </c>
      <c r="Q914" t="inlineStr">
        <is>
          <t>eng</t>
        </is>
      </c>
      <c r="R914" t="inlineStr">
        <is>
          <t>xxu</t>
        </is>
      </c>
      <c r="T914" t="inlineStr">
        <is>
          <t xml:space="preserve">WY </t>
        </is>
      </c>
      <c r="U914" t="n">
        <v>18</v>
      </c>
      <c r="V914" t="n">
        <v>18</v>
      </c>
      <c r="W914" t="inlineStr">
        <is>
          <t>1996-10-06</t>
        </is>
      </c>
      <c r="X914" t="inlineStr">
        <is>
          <t>1996-10-06</t>
        </is>
      </c>
      <c r="Y914" t="inlineStr">
        <is>
          <t>1987-10-22</t>
        </is>
      </c>
      <c r="Z914" t="inlineStr">
        <is>
          <t>1987-10-22</t>
        </is>
      </c>
      <c r="AA914" t="n">
        <v>300</v>
      </c>
      <c r="AB914" t="n">
        <v>235</v>
      </c>
      <c r="AC914" t="n">
        <v>566</v>
      </c>
      <c r="AD914" t="n">
        <v>2</v>
      </c>
      <c r="AE914" t="n">
        <v>4</v>
      </c>
      <c r="AF914" t="n">
        <v>8</v>
      </c>
      <c r="AG914" t="n">
        <v>26</v>
      </c>
      <c r="AH914" t="n">
        <v>3</v>
      </c>
      <c r="AI914" t="n">
        <v>10</v>
      </c>
      <c r="AJ914" t="n">
        <v>2</v>
      </c>
      <c r="AK914" t="n">
        <v>6</v>
      </c>
      <c r="AL914" t="n">
        <v>3</v>
      </c>
      <c r="AM914" t="n">
        <v>13</v>
      </c>
      <c r="AN914" t="n">
        <v>1</v>
      </c>
      <c r="AO914" t="n">
        <v>2</v>
      </c>
      <c r="AP914" t="n">
        <v>0</v>
      </c>
      <c r="AQ914" t="n">
        <v>0</v>
      </c>
      <c r="AR914" t="inlineStr">
        <is>
          <t>No</t>
        </is>
      </c>
      <c r="AS914" t="inlineStr">
        <is>
          <t>Yes</t>
        </is>
      </c>
      <c r="AT914">
        <f>HYPERLINK("http://catalog.hathitrust.org/Record/000245711","HathiTrust Record")</f>
        <v/>
      </c>
      <c r="AU914">
        <f>HYPERLINK("https://creighton-primo.hosted.exlibrisgroup.com/primo-explore/search?tab=default_tab&amp;search_scope=EVERYTHING&amp;vid=01CRU&amp;lang=en_US&amp;offset=0&amp;query=any,contains,991000737919702656","Catalog Record")</f>
        <v/>
      </c>
      <c r="AV914">
        <f>HYPERLINK("http://www.worldcat.org/oclc/9394631","WorldCat Record")</f>
        <v/>
      </c>
      <c r="AW914" t="inlineStr">
        <is>
          <t>16491669:eng</t>
        </is>
      </c>
      <c r="AX914" t="inlineStr">
        <is>
          <t>9394631</t>
        </is>
      </c>
      <c r="AY914" t="inlineStr">
        <is>
          <t>991000737919702656</t>
        </is>
      </c>
      <c r="AZ914" t="inlineStr">
        <is>
          <t>991000737919702656</t>
        </is>
      </c>
      <c r="BA914" t="inlineStr">
        <is>
          <t>2263532300002656</t>
        </is>
      </c>
      <c r="BB914" t="inlineStr">
        <is>
          <t>BOOK</t>
        </is>
      </c>
      <c r="BD914" t="inlineStr">
        <is>
          <t>9780803634091</t>
        </is>
      </c>
      <c r="BE914" t="inlineStr">
        <is>
          <t>30001000042285</t>
        </is>
      </c>
      <c r="BF914" t="inlineStr">
        <is>
          <t>893831135</t>
        </is>
      </c>
    </row>
    <row r="915">
      <c r="A915" t="inlineStr">
        <is>
          <t>No</t>
        </is>
      </c>
      <c r="B915" t="inlineStr">
        <is>
          <t>CUHSL</t>
        </is>
      </c>
      <c r="C915" t="inlineStr">
        <is>
          <t>SHELVES</t>
        </is>
      </c>
      <c r="D915" t="inlineStr">
        <is>
          <t>WY 100 F278a 1995</t>
        </is>
      </c>
      <c r="E915" t="inlineStr">
        <is>
          <t>0                      WY 0100000F  278a        1995</t>
        </is>
      </c>
      <c r="F915" t="inlineStr">
        <is>
          <t>Analysis and evaluation of conceptual models of nursing / Jacqueline Fawcett.</t>
        </is>
      </c>
      <c r="H915" t="inlineStr">
        <is>
          <t>No</t>
        </is>
      </c>
      <c r="I915" t="inlineStr">
        <is>
          <t>1</t>
        </is>
      </c>
      <c r="J915" t="inlineStr">
        <is>
          <t>No</t>
        </is>
      </c>
      <c r="K915" t="inlineStr">
        <is>
          <t>Yes</t>
        </is>
      </c>
      <c r="L915" t="inlineStr">
        <is>
          <t>0</t>
        </is>
      </c>
      <c r="M915" t="inlineStr">
        <is>
          <t>Fawcett, Jacqueline.</t>
        </is>
      </c>
      <c r="N915" t="inlineStr">
        <is>
          <t>Philadelphia : F.A. Davis, c1995.</t>
        </is>
      </c>
      <c r="O915" t="inlineStr">
        <is>
          <t>1995</t>
        </is>
      </c>
      <c r="P915" t="inlineStr">
        <is>
          <t>3rd ed.</t>
        </is>
      </c>
      <c r="Q915" t="inlineStr">
        <is>
          <t>eng</t>
        </is>
      </c>
      <c r="R915" t="inlineStr">
        <is>
          <t>pau</t>
        </is>
      </c>
      <c r="T915" t="inlineStr">
        <is>
          <t xml:space="preserve">WY </t>
        </is>
      </c>
      <c r="U915" t="n">
        <v>59</v>
      </c>
      <c r="V915" t="n">
        <v>59</v>
      </c>
      <c r="W915" t="inlineStr">
        <is>
          <t>2000-09-26</t>
        </is>
      </c>
      <c r="X915" t="inlineStr">
        <is>
          <t>2000-09-26</t>
        </is>
      </c>
      <c r="Y915" t="inlineStr">
        <is>
          <t>1995-09-13</t>
        </is>
      </c>
      <c r="Z915" t="inlineStr">
        <is>
          <t>1995-09-13</t>
        </is>
      </c>
      <c r="AA915" t="n">
        <v>448</v>
      </c>
      <c r="AB915" t="n">
        <v>315</v>
      </c>
      <c r="AC915" t="n">
        <v>566</v>
      </c>
      <c r="AD915" t="n">
        <v>3</v>
      </c>
      <c r="AE915" t="n">
        <v>4</v>
      </c>
      <c r="AF915" t="n">
        <v>16</v>
      </c>
      <c r="AG915" t="n">
        <v>26</v>
      </c>
      <c r="AH915" t="n">
        <v>6</v>
      </c>
      <c r="AI915" t="n">
        <v>10</v>
      </c>
      <c r="AJ915" t="n">
        <v>3</v>
      </c>
      <c r="AK915" t="n">
        <v>6</v>
      </c>
      <c r="AL915" t="n">
        <v>10</v>
      </c>
      <c r="AM915" t="n">
        <v>13</v>
      </c>
      <c r="AN915" t="n">
        <v>1</v>
      </c>
      <c r="AO915" t="n">
        <v>2</v>
      </c>
      <c r="AP915" t="n">
        <v>0</v>
      </c>
      <c r="AQ915" t="n">
        <v>0</v>
      </c>
      <c r="AR915" t="inlineStr">
        <is>
          <t>No</t>
        </is>
      </c>
      <c r="AS915" t="inlineStr">
        <is>
          <t>Yes</t>
        </is>
      </c>
      <c r="AT915">
        <f>HYPERLINK("http://catalog.hathitrust.org/Record/002873327","HathiTrust Record")</f>
        <v/>
      </c>
      <c r="AU915">
        <f>HYPERLINK("https://creighton-primo.hosted.exlibrisgroup.com/primo-explore/search?tab=default_tab&amp;search_scope=EVERYTHING&amp;vid=01CRU&amp;lang=en_US&amp;offset=0&amp;query=any,contains,991001491309702656","Catalog Record")</f>
        <v/>
      </c>
      <c r="AV915">
        <f>HYPERLINK("http://www.worldcat.org/oclc/30071382","WorldCat Record")</f>
        <v/>
      </c>
      <c r="AW915" t="inlineStr">
        <is>
          <t>16491669:eng</t>
        </is>
      </c>
      <c r="AX915" t="inlineStr">
        <is>
          <t>30071382</t>
        </is>
      </c>
      <c r="AY915" t="inlineStr">
        <is>
          <t>991001491309702656</t>
        </is>
      </c>
      <c r="AZ915" t="inlineStr">
        <is>
          <t>991001491309702656</t>
        </is>
      </c>
      <c r="BA915" t="inlineStr">
        <is>
          <t>2263355680002656</t>
        </is>
      </c>
      <c r="BB915" t="inlineStr">
        <is>
          <t>BOOK</t>
        </is>
      </c>
      <c r="BD915" t="inlineStr">
        <is>
          <t>9780803634114</t>
        </is>
      </c>
      <c r="BE915" t="inlineStr">
        <is>
          <t>30001003260595</t>
        </is>
      </c>
      <c r="BF915" t="inlineStr">
        <is>
          <t>893732097</t>
        </is>
      </c>
    </row>
    <row r="916">
      <c r="A916" t="inlineStr">
        <is>
          <t>No</t>
        </is>
      </c>
      <c r="B916" t="inlineStr">
        <is>
          <t>CUHSL</t>
        </is>
      </c>
      <c r="C916" t="inlineStr">
        <is>
          <t>SHELVES</t>
        </is>
      </c>
      <c r="D916" t="inlineStr">
        <is>
          <t>WY 100 F278an 1993</t>
        </is>
      </c>
      <c r="E916" t="inlineStr">
        <is>
          <t>0                      WY 0100000F  278an       1993</t>
        </is>
      </c>
      <c r="F916" t="inlineStr">
        <is>
          <t>Analysis and evaluation of nursing theories / Jacqueline Fawcett.</t>
        </is>
      </c>
      <c r="H916" t="inlineStr">
        <is>
          <t>No</t>
        </is>
      </c>
      <c r="I916" t="inlineStr">
        <is>
          <t>1</t>
        </is>
      </c>
      <c r="J916" t="inlineStr">
        <is>
          <t>No</t>
        </is>
      </c>
      <c r="K916" t="inlineStr">
        <is>
          <t>No</t>
        </is>
      </c>
      <c r="L916" t="inlineStr">
        <is>
          <t>0</t>
        </is>
      </c>
      <c r="M916" t="inlineStr">
        <is>
          <t>Fawcett, Jacqueline.</t>
        </is>
      </c>
      <c r="N916" t="inlineStr">
        <is>
          <t>Philadelphia : F.A. Davis Co., c1993.</t>
        </is>
      </c>
      <c r="O916" t="inlineStr">
        <is>
          <t>1993</t>
        </is>
      </c>
      <c r="Q916" t="inlineStr">
        <is>
          <t>eng</t>
        </is>
      </c>
      <c r="R916" t="inlineStr">
        <is>
          <t>pau</t>
        </is>
      </c>
      <c r="T916" t="inlineStr">
        <is>
          <t xml:space="preserve">WY </t>
        </is>
      </c>
      <c r="U916" t="n">
        <v>44</v>
      </c>
      <c r="V916" t="n">
        <v>44</v>
      </c>
      <c r="W916" t="inlineStr">
        <is>
          <t>2000-10-01</t>
        </is>
      </c>
      <c r="X916" t="inlineStr">
        <is>
          <t>2000-10-01</t>
        </is>
      </c>
      <c r="Y916" t="inlineStr">
        <is>
          <t>1995-09-14</t>
        </is>
      </c>
      <c r="Z916" t="inlineStr">
        <is>
          <t>1995-09-14</t>
        </is>
      </c>
      <c r="AA916" t="n">
        <v>443</v>
      </c>
      <c r="AB916" t="n">
        <v>337</v>
      </c>
      <c r="AC916" t="n">
        <v>339</v>
      </c>
      <c r="AD916" t="n">
        <v>4</v>
      </c>
      <c r="AE916" t="n">
        <v>4</v>
      </c>
      <c r="AF916" t="n">
        <v>16</v>
      </c>
      <c r="AG916" t="n">
        <v>16</v>
      </c>
      <c r="AH916" t="n">
        <v>6</v>
      </c>
      <c r="AI916" t="n">
        <v>6</v>
      </c>
      <c r="AJ916" t="n">
        <v>2</v>
      </c>
      <c r="AK916" t="n">
        <v>2</v>
      </c>
      <c r="AL916" t="n">
        <v>11</v>
      </c>
      <c r="AM916" t="n">
        <v>11</v>
      </c>
      <c r="AN916" t="n">
        <v>2</v>
      </c>
      <c r="AO916" t="n">
        <v>2</v>
      </c>
      <c r="AP916" t="n">
        <v>0</v>
      </c>
      <c r="AQ916" t="n">
        <v>0</v>
      </c>
      <c r="AR916" t="inlineStr">
        <is>
          <t>No</t>
        </is>
      </c>
      <c r="AS916" t="inlineStr">
        <is>
          <t>Yes</t>
        </is>
      </c>
      <c r="AT916">
        <f>HYPERLINK("http://catalog.hathitrust.org/Record/002704913","HathiTrust Record")</f>
        <v/>
      </c>
      <c r="AU916">
        <f>HYPERLINK("https://creighton-primo.hosted.exlibrisgroup.com/primo-explore/search?tab=default_tab&amp;search_scope=EVERYTHING&amp;vid=01CRU&amp;lang=en_US&amp;offset=0&amp;query=any,contains,991001491809702656","Catalog Record")</f>
        <v/>
      </c>
      <c r="AV916">
        <f>HYPERLINK("http://www.worldcat.org/oclc/27727854","WorldCat Record")</f>
        <v/>
      </c>
      <c r="AW916" t="inlineStr">
        <is>
          <t>351930:eng</t>
        </is>
      </c>
      <c r="AX916" t="inlineStr">
        <is>
          <t>27727854</t>
        </is>
      </c>
      <c r="AY916" t="inlineStr">
        <is>
          <t>991001491809702656</t>
        </is>
      </c>
      <c r="AZ916" t="inlineStr">
        <is>
          <t>991001491809702656</t>
        </is>
      </c>
      <c r="BA916" t="inlineStr">
        <is>
          <t>2264498690002656</t>
        </is>
      </c>
      <c r="BB916" t="inlineStr">
        <is>
          <t>BOOK</t>
        </is>
      </c>
      <c r="BD916" t="inlineStr">
        <is>
          <t>9780803634138</t>
        </is>
      </c>
      <c r="BE916" t="inlineStr">
        <is>
          <t>30001003260660</t>
        </is>
      </c>
      <c r="BF916" t="inlineStr">
        <is>
          <t>893741192</t>
        </is>
      </c>
    </row>
    <row r="917">
      <c r="A917" t="inlineStr">
        <is>
          <t>No</t>
        </is>
      </c>
      <c r="B917" t="inlineStr">
        <is>
          <t>CUHSL</t>
        </is>
      </c>
      <c r="C917" t="inlineStr">
        <is>
          <t>SHELVES</t>
        </is>
      </c>
      <c r="D917" t="inlineStr">
        <is>
          <t>WY 100 F699a 1979</t>
        </is>
      </c>
      <c r="E917" t="inlineStr">
        <is>
          <t>0                      WY 0100000F  699a        1979</t>
        </is>
      </c>
      <c r="F917" t="inlineStr">
        <is>
          <t>Applied decision making for nurses / Jo Ann Garofalo Ford, Louise N. Trygstad-Durland, Bobbie Crew Nelms.</t>
        </is>
      </c>
      <c r="H917" t="inlineStr">
        <is>
          <t>No</t>
        </is>
      </c>
      <c r="I917" t="inlineStr">
        <is>
          <t>1</t>
        </is>
      </c>
      <c r="J917" t="inlineStr">
        <is>
          <t>No</t>
        </is>
      </c>
      <c r="K917" t="inlineStr">
        <is>
          <t>No</t>
        </is>
      </c>
      <c r="L917" t="inlineStr">
        <is>
          <t>0</t>
        </is>
      </c>
      <c r="M917" t="inlineStr">
        <is>
          <t>Ford, Jo Ann Garofalo, 1948-</t>
        </is>
      </c>
      <c r="N917" t="inlineStr">
        <is>
          <t>-- St. Louis : Mosby, 1979.</t>
        </is>
      </c>
      <c r="O917" t="inlineStr">
        <is>
          <t>1979</t>
        </is>
      </c>
      <c r="Q917" t="inlineStr">
        <is>
          <t>eng</t>
        </is>
      </c>
      <c r="R917" t="inlineStr">
        <is>
          <t>mou</t>
        </is>
      </c>
      <c r="T917" t="inlineStr">
        <is>
          <t xml:space="preserve">WY </t>
        </is>
      </c>
      <c r="U917" t="n">
        <v>4</v>
      </c>
      <c r="V917" t="n">
        <v>4</v>
      </c>
      <c r="W917" t="inlineStr">
        <is>
          <t>1993-04-12</t>
        </is>
      </c>
      <c r="X917" t="inlineStr">
        <is>
          <t>1993-04-12</t>
        </is>
      </c>
      <c r="Y917" t="inlineStr">
        <is>
          <t>1987-12-29</t>
        </is>
      </c>
      <c r="Z917" t="inlineStr">
        <is>
          <t>1987-12-29</t>
        </is>
      </c>
      <c r="AA917" t="n">
        <v>251</v>
      </c>
      <c r="AB917" t="n">
        <v>192</v>
      </c>
      <c r="AC917" t="n">
        <v>194</v>
      </c>
      <c r="AD917" t="n">
        <v>3</v>
      </c>
      <c r="AE917" t="n">
        <v>3</v>
      </c>
      <c r="AF917" t="n">
        <v>8</v>
      </c>
      <c r="AG917" t="n">
        <v>8</v>
      </c>
      <c r="AH917" t="n">
        <v>3</v>
      </c>
      <c r="AI917" t="n">
        <v>3</v>
      </c>
      <c r="AJ917" t="n">
        <v>1</v>
      </c>
      <c r="AK917" t="n">
        <v>1</v>
      </c>
      <c r="AL917" t="n">
        <v>3</v>
      </c>
      <c r="AM917" t="n">
        <v>3</v>
      </c>
      <c r="AN917" t="n">
        <v>2</v>
      </c>
      <c r="AO917" t="n">
        <v>2</v>
      </c>
      <c r="AP917" t="n">
        <v>0</v>
      </c>
      <c r="AQ917" t="n">
        <v>0</v>
      </c>
      <c r="AR917" t="inlineStr">
        <is>
          <t>No</t>
        </is>
      </c>
      <c r="AS917" t="inlineStr">
        <is>
          <t>Yes</t>
        </is>
      </c>
      <c r="AT917">
        <f>HYPERLINK("http://catalog.hathitrust.org/Record/000701951","HathiTrust Record")</f>
        <v/>
      </c>
      <c r="AU917">
        <f>HYPERLINK("https://creighton-primo.hosted.exlibrisgroup.com/primo-explore/search?tab=default_tab&amp;search_scope=EVERYTHING&amp;vid=01CRU&amp;lang=en_US&amp;offset=0&amp;query=any,contains,991000493059702656","Catalog Record")</f>
        <v/>
      </c>
      <c r="AV917">
        <f>HYPERLINK("http://www.worldcat.org/oclc/4135170","WorldCat Record")</f>
        <v/>
      </c>
      <c r="AW917" t="inlineStr">
        <is>
          <t>14586950:eng</t>
        </is>
      </c>
      <c r="AX917" t="inlineStr">
        <is>
          <t>4135170</t>
        </is>
      </c>
      <c r="AY917" t="inlineStr">
        <is>
          <t>991000493059702656</t>
        </is>
      </c>
      <c r="AZ917" t="inlineStr">
        <is>
          <t>991000493059702656</t>
        </is>
      </c>
      <c r="BA917" t="inlineStr">
        <is>
          <t>2254890080002656</t>
        </is>
      </c>
      <c r="BB917" t="inlineStr">
        <is>
          <t>BOOK</t>
        </is>
      </c>
      <c r="BD917" t="inlineStr">
        <is>
          <t>9780801616242</t>
        </is>
      </c>
      <c r="BE917" t="inlineStr">
        <is>
          <t>30001000291668</t>
        </is>
      </c>
      <c r="BF917" t="inlineStr">
        <is>
          <t>893365754</t>
        </is>
      </c>
    </row>
    <row r="918">
      <c r="A918" t="inlineStr">
        <is>
          <t>No</t>
        </is>
      </c>
      <c r="B918" t="inlineStr">
        <is>
          <t>CUHSL</t>
        </is>
      </c>
      <c r="C918" t="inlineStr">
        <is>
          <t>SHELVES</t>
        </is>
      </c>
      <c r="D918" t="inlineStr">
        <is>
          <t>WY 100 F784c 1973</t>
        </is>
      </c>
      <c r="E918" t="inlineStr">
        <is>
          <t>0                      WY 0100000F  784c        1973</t>
        </is>
      </c>
      <c r="F918" t="inlineStr">
        <is>
          <t>Clinical assessment for the nurse practitioner / William C. Fowkes, Jr. and Virginia K. Hunn.</t>
        </is>
      </c>
      <c r="H918" t="inlineStr">
        <is>
          <t>No</t>
        </is>
      </c>
      <c r="I918" t="inlineStr">
        <is>
          <t>1</t>
        </is>
      </c>
      <c r="J918" t="inlineStr">
        <is>
          <t>No</t>
        </is>
      </c>
      <c r="K918" t="inlineStr">
        <is>
          <t>No</t>
        </is>
      </c>
      <c r="L918" t="inlineStr">
        <is>
          <t>0</t>
        </is>
      </c>
      <c r="M918" t="inlineStr">
        <is>
          <t>Fowkes, William C., 1930-</t>
        </is>
      </c>
      <c r="N918" t="inlineStr">
        <is>
          <t>Saint Louis : Mosby, 1973.</t>
        </is>
      </c>
      <c r="O918" t="inlineStr">
        <is>
          <t>1973</t>
        </is>
      </c>
      <c r="Q918" t="inlineStr">
        <is>
          <t>eng</t>
        </is>
      </c>
      <c r="R918" t="inlineStr">
        <is>
          <t>mou</t>
        </is>
      </c>
      <c r="T918" t="inlineStr">
        <is>
          <t xml:space="preserve">WY </t>
        </is>
      </c>
      <c r="U918" t="n">
        <v>2</v>
      </c>
      <c r="V918" t="n">
        <v>2</v>
      </c>
      <c r="W918" t="inlineStr">
        <is>
          <t>1994-03-24</t>
        </is>
      </c>
      <c r="X918" t="inlineStr">
        <is>
          <t>1994-03-24</t>
        </is>
      </c>
      <c r="Y918" t="inlineStr">
        <is>
          <t>1988-01-08</t>
        </is>
      </c>
      <c r="Z918" t="inlineStr">
        <is>
          <t>1988-01-08</t>
        </is>
      </c>
      <c r="AA918" t="n">
        <v>216</v>
      </c>
      <c r="AB918" t="n">
        <v>159</v>
      </c>
      <c r="AC918" t="n">
        <v>166</v>
      </c>
      <c r="AD918" t="n">
        <v>3</v>
      </c>
      <c r="AE918" t="n">
        <v>3</v>
      </c>
      <c r="AF918" t="n">
        <v>7</v>
      </c>
      <c r="AG918" t="n">
        <v>7</v>
      </c>
      <c r="AH918" t="n">
        <v>1</v>
      </c>
      <c r="AI918" t="n">
        <v>1</v>
      </c>
      <c r="AJ918" t="n">
        <v>1</v>
      </c>
      <c r="AK918" t="n">
        <v>1</v>
      </c>
      <c r="AL918" t="n">
        <v>4</v>
      </c>
      <c r="AM918" t="n">
        <v>4</v>
      </c>
      <c r="AN918" t="n">
        <v>2</v>
      </c>
      <c r="AO918" t="n">
        <v>2</v>
      </c>
      <c r="AP918" t="n">
        <v>0</v>
      </c>
      <c r="AQ918" t="n">
        <v>0</v>
      </c>
      <c r="AR918" t="inlineStr">
        <is>
          <t>No</t>
        </is>
      </c>
      <c r="AS918" t="inlineStr">
        <is>
          <t>Yes</t>
        </is>
      </c>
      <c r="AT918">
        <f>HYPERLINK("http://catalog.hathitrust.org/Record/001579422","HathiTrust Record")</f>
        <v/>
      </c>
      <c r="AU918">
        <f>HYPERLINK("https://creighton-primo.hosted.exlibrisgroup.com/primo-explore/search?tab=default_tab&amp;search_scope=EVERYTHING&amp;vid=01CRU&amp;lang=en_US&amp;offset=0&amp;query=any,contains,991001145059702656","Catalog Record")</f>
        <v/>
      </c>
      <c r="AV918">
        <f>HYPERLINK("http://www.worldcat.org/oclc/572884","WorldCat Record")</f>
        <v/>
      </c>
      <c r="AW918" t="inlineStr">
        <is>
          <t>1690685:eng</t>
        </is>
      </c>
      <c r="AX918" t="inlineStr">
        <is>
          <t>572884</t>
        </is>
      </c>
      <c r="AY918" t="inlineStr">
        <is>
          <t>991001145059702656</t>
        </is>
      </c>
      <c r="AZ918" t="inlineStr">
        <is>
          <t>991001145059702656</t>
        </is>
      </c>
      <c r="BA918" t="inlineStr">
        <is>
          <t>2272577200002656</t>
        </is>
      </c>
      <c r="BB918" t="inlineStr">
        <is>
          <t>BOOK</t>
        </is>
      </c>
      <c r="BD918" t="inlineStr">
        <is>
          <t>9780801616389</t>
        </is>
      </c>
      <c r="BE918" t="inlineStr">
        <is>
          <t>30001000291684</t>
        </is>
      </c>
      <c r="BF918" t="inlineStr">
        <is>
          <t>893168040</t>
        </is>
      </c>
    </row>
    <row r="919">
      <c r="A919" t="inlineStr">
        <is>
          <t>No</t>
        </is>
      </c>
      <c r="B919" t="inlineStr">
        <is>
          <t>CUHSL</t>
        </is>
      </c>
      <c r="C919" t="inlineStr">
        <is>
          <t>SHELVES</t>
        </is>
      </c>
      <c r="D919" t="inlineStr">
        <is>
          <t>WY 100 F97983 1999</t>
        </is>
      </c>
      <c r="E919" t="inlineStr">
        <is>
          <t>0                      WY 0100000F  97983       1999</t>
        </is>
      </c>
      <c r="F919" t="inlineStr">
        <is>
          <t>Fundamentals of nursing : collaborating for optimal health / edited by Karen J. Berger, Marilyn Brinkman Williams.</t>
        </is>
      </c>
      <c r="G919" t="inlineStr">
        <is>
          <t>V. 2</t>
        </is>
      </c>
      <c r="H919" t="inlineStr">
        <is>
          <t>Yes</t>
        </is>
      </c>
      <c r="I919" t="inlineStr">
        <is>
          <t>1</t>
        </is>
      </c>
      <c r="J919" t="inlineStr">
        <is>
          <t>No</t>
        </is>
      </c>
      <c r="K919" t="inlineStr">
        <is>
          <t>No</t>
        </is>
      </c>
      <c r="L919" t="inlineStr">
        <is>
          <t>0</t>
        </is>
      </c>
      <c r="N919" t="inlineStr">
        <is>
          <t>Stamford, Conn. : Appleton &amp; Lange, c1999.</t>
        </is>
      </c>
      <c r="O919" t="inlineStr">
        <is>
          <t>1999</t>
        </is>
      </c>
      <c r="P919" t="inlineStr">
        <is>
          <t>2nd ed.</t>
        </is>
      </c>
      <c r="Q919" t="inlineStr">
        <is>
          <t>eng</t>
        </is>
      </c>
      <c r="R919" t="inlineStr">
        <is>
          <t>ctu</t>
        </is>
      </c>
      <c r="T919" t="inlineStr">
        <is>
          <t xml:space="preserve">WY </t>
        </is>
      </c>
      <c r="U919" t="n">
        <v>1</v>
      </c>
      <c r="V919" t="n">
        <v>3</v>
      </c>
      <c r="W919" t="inlineStr">
        <is>
          <t>1999-11-11</t>
        </is>
      </c>
      <c r="X919" t="inlineStr">
        <is>
          <t>1999-11-11</t>
        </is>
      </c>
      <c r="Y919" t="inlineStr">
        <is>
          <t>1999-11-09</t>
        </is>
      </c>
      <c r="Z919" t="inlineStr">
        <is>
          <t>1999-11-09</t>
        </is>
      </c>
      <c r="AA919" t="n">
        <v>180</v>
      </c>
      <c r="AB919" t="n">
        <v>131</v>
      </c>
      <c r="AC919" t="n">
        <v>230</v>
      </c>
      <c r="AD919" t="n">
        <v>1</v>
      </c>
      <c r="AE919" t="n">
        <v>1</v>
      </c>
      <c r="AF919" t="n">
        <v>2</v>
      </c>
      <c r="AG919" t="n">
        <v>2</v>
      </c>
      <c r="AH919" t="n">
        <v>1</v>
      </c>
      <c r="AI919" t="n">
        <v>1</v>
      </c>
      <c r="AJ919" t="n">
        <v>0</v>
      </c>
      <c r="AK919" t="n">
        <v>0</v>
      </c>
      <c r="AL919" t="n">
        <v>1</v>
      </c>
      <c r="AM919" t="n">
        <v>1</v>
      </c>
      <c r="AN919" t="n">
        <v>0</v>
      </c>
      <c r="AO919" t="n">
        <v>0</v>
      </c>
      <c r="AP919" t="n">
        <v>0</v>
      </c>
      <c r="AQ919" t="n">
        <v>0</v>
      </c>
      <c r="AR919" t="inlineStr">
        <is>
          <t>No</t>
        </is>
      </c>
      <c r="AS919" t="inlineStr">
        <is>
          <t>Yes</t>
        </is>
      </c>
      <c r="AT919">
        <f>HYPERLINK("http://catalog.hathitrust.org/Record/004012989","HathiTrust Record")</f>
        <v/>
      </c>
      <c r="AU919">
        <f>HYPERLINK("https://creighton-primo.hosted.exlibrisgroup.com/primo-explore/search?tab=default_tab&amp;search_scope=EVERYTHING&amp;vid=01CRU&amp;lang=en_US&amp;offset=0&amp;query=any,contains,991000597839702656","Catalog Record")</f>
        <v/>
      </c>
      <c r="AV919">
        <f>HYPERLINK("http://www.worldcat.org/oclc/37580701","WorldCat Record")</f>
        <v/>
      </c>
      <c r="AW919" t="inlineStr">
        <is>
          <t>836921454:eng</t>
        </is>
      </c>
      <c r="AX919" t="inlineStr">
        <is>
          <t>37580701</t>
        </is>
      </c>
      <c r="AY919" t="inlineStr">
        <is>
          <t>991000597839702656</t>
        </is>
      </c>
      <c r="AZ919" t="inlineStr">
        <is>
          <t>991000597839702656</t>
        </is>
      </c>
      <c r="BA919" t="inlineStr">
        <is>
          <t>2258447090002656</t>
        </is>
      </c>
      <c r="BB919" t="inlineStr">
        <is>
          <t>BOOK</t>
        </is>
      </c>
      <c r="BD919" t="inlineStr">
        <is>
          <t>9780838525944</t>
        </is>
      </c>
      <c r="BE919" t="inlineStr">
        <is>
          <t>30001004015766</t>
        </is>
      </c>
      <c r="BF919" t="inlineStr">
        <is>
          <t>893556193</t>
        </is>
      </c>
    </row>
    <row r="920">
      <c r="A920" t="inlineStr">
        <is>
          <t>No</t>
        </is>
      </c>
      <c r="B920" t="inlineStr">
        <is>
          <t>CUHSL</t>
        </is>
      </c>
      <c r="C920" t="inlineStr">
        <is>
          <t>SHELVES</t>
        </is>
      </c>
      <c r="D920" t="inlineStr">
        <is>
          <t>WY 100 F97983 1999</t>
        </is>
      </c>
      <c r="E920" t="inlineStr">
        <is>
          <t>0                      WY 0100000F  97983       1999</t>
        </is>
      </c>
      <c r="F920" t="inlineStr">
        <is>
          <t>Fundamentals of nursing : collaborating for optimal health / edited by Karen J. Berger, Marilyn Brinkman Williams.</t>
        </is>
      </c>
      <c r="G920" t="inlineStr">
        <is>
          <t>V. 3</t>
        </is>
      </c>
      <c r="H920" t="inlineStr">
        <is>
          <t>Yes</t>
        </is>
      </c>
      <c r="I920" t="inlineStr">
        <is>
          <t>1</t>
        </is>
      </c>
      <c r="J920" t="inlineStr">
        <is>
          <t>No</t>
        </is>
      </c>
      <c r="K920" t="inlineStr">
        <is>
          <t>No</t>
        </is>
      </c>
      <c r="L920" t="inlineStr">
        <is>
          <t>0</t>
        </is>
      </c>
      <c r="N920" t="inlineStr">
        <is>
          <t>Stamford, Conn. : Appleton &amp; Lange, c1999.</t>
        </is>
      </c>
      <c r="O920" t="inlineStr">
        <is>
          <t>1999</t>
        </is>
      </c>
      <c r="P920" t="inlineStr">
        <is>
          <t>2nd ed.</t>
        </is>
      </c>
      <c r="Q920" t="inlineStr">
        <is>
          <t>eng</t>
        </is>
      </c>
      <c r="R920" t="inlineStr">
        <is>
          <t>ctu</t>
        </is>
      </c>
      <c r="T920" t="inlineStr">
        <is>
          <t xml:space="preserve">WY </t>
        </is>
      </c>
      <c r="U920" t="n">
        <v>1</v>
      </c>
      <c r="V920" t="n">
        <v>3</v>
      </c>
      <c r="W920" t="inlineStr">
        <is>
          <t>1999-11-11</t>
        </is>
      </c>
      <c r="X920" t="inlineStr">
        <is>
          <t>1999-11-11</t>
        </is>
      </c>
      <c r="Y920" t="inlineStr">
        <is>
          <t>1999-11-09</t>
        </is>
      </c>
      <c r="Z920" t="inlineStr">
        <is>
          <t>1999-11-09</t>
        </is>
      </c>
      <c r="AA920" t="n">
        <v>180</v>
      </c>
      <c r="AB920" t="n">
        <v>131</v>
      </c>
      <c r="AC920" t="n">
        <v>230</v>
      </c>
      <c r="AD920" t="n">
        <v>1</v>
      </c>
      <c r="AE920" t="n">
        <v>1</v>
      </c>
      <c r="AF920" t="n">
        <v>2</v>
      </c>
      <c r="AG920" t="n">
        <v>2</v>
      </c>
      <c r="AH920" t="n">
        <v>1</v>
      </c>
      <c r="AI920" t="n">
        <v>1</v>
      </c>
      <c r="AJ920" t="n">
        <v>0</v>
      </c>
      <c r="AK920" t="n">
        <v>0</v>
      </c>
      <c r="AL920" t="n">
        <v>1</v>
      </c>
      <c r="AM920" t="n">
        <v>1</v>
      </c>
      <c r="AN920" t="n">
        <v>0</v>
      </c>
      <c r="AO920" t="n">
        <v>0</v>
      </c>
      <c r="AP920" t="n">
        <v>0</v>
      </c>
      <c r="AQ920" t="n">
        <v>0</v>
      </c>
      <c r="AR920" t="inlineStr">
        <is>
          <t>No</t>
        </is>
      </c>
      <c r="AS920" t="inlineStr">
        <is>
          <t>Yes</t>
        </is>
      </c>
      <c r="AT920">
        <f>HYPERLINK("http://catalog.hathitrust.org/Record/004012989","HathiTrust Record")</f>
        <v/>
      </c>
      <c r="AU920">
        <f>HYPERLINK("https://creighton-primo.hosted.exlibrisgroup.com/primo-explore/search?tab=default_tab&amp;search_scope=EVERYTHING&amp;vid=01CRU&amp;lang=en_US&amp;offset=0&amp;query=any,contains,991000597839702656","Catalog Record")</f>
        <v/>
      </c>
      <c r="AV920">
        <f>HYPERLINK("http://www.worldcat.org/oclc/37580701","WorldCat Record")</f>
        <v/>
      </c>
      <c r="AW920" t="inlineStr">
        <is>
          <t>836921454:eng</t>
        </is>
      </c>
      <c r="AX920" t="inlineStr">
        <is>
          <t>37580701</t>
        </is>
      </c>
      <c r="AY920" t="inlineStr">
        <is>
          <t>991000597839702656</t>
        </is>
      </c>
      <c r="AZ920" t="inlineStr">
        <is>
          <t>991000597839702656</t>
        </is>
      </c>
      <c r="BA920" t="inlineStr">
        <is>
          <t>2258447090002656</t>
        </is>
      </c>
      <c r="BB920" t="inlineStr">
        <is>
          <t>BOOK</t>
        </is>
      </c>
      <c r="BD920" t="inlineStr">
        <is>
          <t>9780838525944</t>
        </is>
      </c>
      <c r="BE920" t="inlineStr">
        <is>
          <t>30001004015774</t>
        </is>
      </c>
      <c r="BF920" t="inlineStr">
        <is>
          <t>893560097</t>
        </is>
      </c>
    </row>
    <row r="921">
      <c r="A921" t="inlineStr">
        <is>
          <t>No</t>
        </is>
      </c>
      <c r="B921" t="inlineStr">
        <is>
          <t>CUHSL</t>
        </is>
      </c>
      <c r="C921" t="inlineStr">
        <is>
          <t>SHELVES</t>
        </is>
      </c>
      <c r="D921" t="inlineStr">
        <is>
          <t>WY 100 F97983 1999</t>
        </is>
      </c>
      <c r="E921" t="inlineStr">
        <is>
          <t>0                      WY 0100000F  97983       1999</t>
        </is>
      </c>
      <c r="F921" t="inlineStr">
        <is>
          <t>Fundamentals of nursing : collaborating for optimal health / edited by Karen J. Berger, Marilyn Brinkman Williams.</t>
        </is>
      </c>
      <c r="G921" t="inlineStr">
        <is>
          <t>V. 1</t>
        </is>
      </c>
      <c r="H921" t="inlineStr">
        <is>
          <t>Yes</t>
        </is>
      </c>
      <c r="I921" t="inlineStr">
        <is>
          <t>1</t>
        </is>
      </c>
      <c r="J921" t="inlineStr">
        <is>
          <t>No</t>
        </is>
      </c>
      <c r="K921" t="inlineStr">
        <is>
          <t>No</t>
        </is>
      </c>
      <c r="L921" t="inlineStr">
        <is>
          <t>0</t>
        </is>
      </c>
      <c r="N921" t="inlineStr">
        <is>
          <t>Stamford, Conn. : Appleton &amp; Lange, c1999.</t>
        </is>
      </c>
      <c r="O921" t="inlineStr">
        <is>
          <t>1999</t>
        </is>
      </c>
      <c r="P921" t="inlineStr">
        <is>
          <t>2nd ed.</t>
        </is>
      </c>
      <c r="Q921" t="inlineStr">
        <is>
          <t>eng</t>
        </is>
      </c>
      <c r="R921" t="inlineStr">
        <is>
          <t>ctu</t>
        </is>
      </c>
      <c r="T921" t="inlineStr">
        <is>
          <t xml:space="preserve">WY </t>
        </is>
      </c>
      <c r="U921" t="n">
        <v>1</v>
      </c>
      <c r="V921" t="n">
        <v>3</v>
      </c>
      <c r="W921" t="inlineStr">
        <is>
          <t>1999-11-11</t>
        </is>
      </c>
      <c r="X921" t="inlineStr">
        <is>
          <t>1999-11-11</t>
        </is>
      </c>
      <c r="Y921" t="inlineStr">
        <is>
          <t>1999-11-09</t>
        </is>
      </c>
      <c r="Z921" t="inlineStr">
        <is>
          <t>1999-11-09</t>
        </is>
      </c>
      <c r="AA921" t="n">
        <v>180</v>
      </c>
      <c r="AB921" t="n">
        <v>131</v>
      </c>
      <c r="AC921" t="n">
        <v>230</v>
      </c>
      <c r="AD921" t="n">
        <v>1</v>
      </c>
      <c r="AE921" t="n">
        <v>1</v>
      </c>
      <c r="AF921" t="n">
        <v>2</v>
      </c>
      <c r="AG921" t="n">
        <v>2</v>
      </c>
      <c r="AH921" t="n">
        <v>1</v>
      </c>
      <c r="AI921" t="n">
        <v>1</v>
      </c>
      <c r="AJ921" t="n">
        <v>0</v>
      </c>
      <c r="AK921" t="n">
        <v>0</v>
      </c>
      <c r="AL921" t="n">
        <v>1</v>
      </c>
      <c r="AM921" t="n">
        <v>1</v>
      </c>
      <c r="AN921" t="n">
        <v>0</v>
      </c>
      <c r="AO921" t="n">
        <v>0</v>
      </c>
      <c r="AP921" t="n">
        <v>0</v>
      </c>
      <c r="AQ921" t="n">
        <v>0</v>
      </c>
      <c r="AR921" t="inlineStr">
        <is>
          <t>No</t>
        </is>
      </c>
      <c r="AS921" t="inlineStr">
        <is>
          <t>Yes</t>
        </is>
      </c>
      <c r="AT921">
        <f>HYPERLINK("http://catalog.hathitrust.org/Record/004012989","HathiTrust Record")</f>
        <v/>
      </c>
      <c r="AU921">
        <f>HYPERLINK("https://creighton-primo.hosted.exlibrisgroup.com/primo-explore/search?tab=default_tab&amp;search_scope=EVERYTHING&amp;vid=01CRU&amp;lang=en_US&amp;offset=0&amp;query=any,contains,991000597839702656","Catalog Record")</f>
        <v/>
      </c>
      <c r="AV921">
        <f>HYPERLINK("http://www.worldcat.org/oclc/37580701","WorldCat Record")</f>
        <v/>
      </c>
      <c r="AW921" t="inlineStr">
        <is>
          <t>836921454:eng</t>
        </is>
      </c>
      <c r="AX921" t="inlineStr">
        <is>
          <t>37580701</t>
        </is>
      </c>
      <c r="AY921" t="inlineStr">
        <is>
          <t>991000597839702656</t>
        </is>
      </c>
      <c r="AZ921" t="inlineStr">
        <is>
          <t>991000597839702656</t>
        </is>
      </c>
      <c r="BA921" t="inlineStr">
        <is>
          <t>2258447090002656</t>
        </is>
      </c>
      <c r="BB921" t="inlineStr">
        <is>
          <t>BOOK</t>
        </is>
      </c>
      <c r="BD921" t="inlineStr">
        <is>
          <t>9780838525944</t>
        </is>
      </c>
      <c r="BE921" t="inlineStr">
        <is>
          <t>30001004015758</t>
        </is>
      </c>
      <c r="BF921" t="inlineStr">
        <is>
          <t>893539528</t>
        </is>
      </c>
    </row>
    <row r="922">
      <c r="A922" t="inlineStr">
        <is>
          <t>No</t>
        </is>
      </c>
      <c r="B922" t="inlineStr">
        <is>
          <t>CUHSL</t>
        </is>
      </c>
      <c r="C922" t="inlineStr">
        <is>
          <t>SHELVES</t>
        </is>
      </c>
      <c r="D922" t="inlineStr">
        <is>
          <t>WY 100 F97984 1995</t>
        </is>
      </c>
      <c r="E922" t="inlineStr">
        <is>
          <t>0                      WY 0100000F  97984       1995</t>
        </is>
      </c>
      <c r="F922" t="inlineStr">
        <is>
          <t>Fundamentals of nursing : concepts, process, and practice / Barbara Kozier ... [et al.].</t>
        </is>
      </c>
      <c r="H922" t="inlineStr">
        <is>
          <t>No</t>
        </is>
      </c>
      <c r="I922" t="inlineStr">
        <is>
          <t>1</t>
        </is>
      </c>
      <c r="J922" t="inlineStr">
        <is>
          <t>No</t>
        </is>
      </c>
      <c r="K922" t="inlineStr">
        <is>
          <t>Yes</t>
        </is>
      </c>
      <c r="L922" t="inlineStr">
        <is>
          <t>0</t>
        </is>
      </c>
      <c r="N922" t="inlineStr">
        <is>
          <t>Redwood City, Calif. : Addison-Westley Nursing, c1995.</t>
        </is>
      </c>
      <c r="O922" t="inlineStr">
        <is>
          <t>1995</t>
        </is>
      </c>
      <c r="P922" t="inlineStr">
        <is>
          <t>5th ed.</t>
        </is>
      </c>
      <c r="Q922" t="inlineStr">
        <is>
          <t>eng</t>
        </is>
      </c>
      <c r="R922" t="inlineStr">
        <is>
          <t>cau</t>
        </is>
      </c>
      <c r="T922" t="inlineStr">
        <is>
          <t xml:space="preserve">WY </t>
        </is>
      </c>
      <c r="U922" t="n">
        <v>93</v>
      </c>
      <c r="V922" t="n">
        <v>93</v>
      </c>
      <c r="W922" t="inlineStr">
        <is>
          <t>1998-07-27</t>
        </is>
      </c>
      <c r="X922" t="inlineStr">
        <is>
          <t>1998-07-27</t>
        </is>
      </c>
      <c r="Y922" t="inlineStr">
        <is>
          <t>1995-02-16</t>
        </is>
      </c>
      <c r="Z922" t="inlineStr">
        <is>
          <t>1995-02-16</t>
        </is>
      </c>
      <c r="AA922" t="n">
        <v>256</v>
      </c>
      <c r="AB922" t="n">
        <v>190</v>
      </c>
      <c r="AC922" t="n">
        <v>838</v>
      </c>
      <c r="AD922" t="n">
        <v>1</v>
      </c>
      <c r="AE922" t="n">
        <v>3</v>
      </c>
      <c r="AF922" t="n">
        <v>2</v>
      </c>
      <c r="AG922" t="n">
        <v>18</v>
      </c>
      <c r="AH922" t="n">
        <v>1</v>
      </c>
      <c r="AI922" t="n">
        <v>6</v>
      </c>
      <c r="AJ922" t="n">
        <v>0</v>
      </c>
      <c r="AK922" t="n">
        <v>3</v>
      </c>
      <c r="AL922" t="n">
        <v>2</v>
      </c>
      <c r="AM922" t="n">
        <v>10</v>
      </c>
      <c r="AN922" t="n">
        <v>0</v>
      </c>
      <c r="AO922" t="n">
        <v>2</v>
      </c>
      <c r="AP922" t="n">
        <v>0</v>
      </c>
      <c r="AQ922" t="n">
        <v>0</v>
      </c>
      <c r="AR922" t="inlineStr">
        <is>
          <t>No</t>
        </is>
      </c>
      <c r="AS922" t="inlineStr">
        <is>
          <t>No</t>
        </is>
      </c>
      <c r="AU922">
        <f>HYPERLINK("https://creighton-primo.hosted.exlibrisgroup.com/primo-explore/search?tab=default_tab&amp;search_scope=EVERYTHING&amp;vid=01CRU&amp;lang=en_US&amp;offset=0&amp;query=any,contains,991000688459702656","Catalog Record")</f>
        <v/>
      </c>
      <c r="AV922">
        <f>HYPERLINK("http://www.worldcat.org/oclc/31075321","WorldCat Record")</f>
        <v/>
      </c>
      <c r="AW922" t="inlineStr">
        <is>
          <t>836974557:eng</t>
        </is>
      </c>
      <c r="AX922" t="inlineStr">
        <is>
          <t>31075321</t>
        </is>
      </c>
      <c r="AY922" t="inlineStr">
        <is>
          <t>991000688459702656</t>
        </is>
      </c>
      <c r="AZ922" t="inlineStr">
        <is>
          <t>991000688459702656</t>
        </is>
      </c>
      <c r="BA922" t="inlineStr">
        <is>
          <t>2269463970002656</t>
        </is>
      </c>
      <c r="BB922" t="inlineStr">
        <is>
          <t>BOOK</t>
        </is>
      </c>
      <c r="BD922" t="inlineStr">
        <is>
          <t>9780805334906</t>
        </is>
      </c>
      <c r="BE922" t="inlineStr">
        <is>
          <t>30001002699702</t>
        </is>
      </c>
      <c r="BF922" t="inlineStr">
        <is>
          <t>893637229</t>
        </is>
      </c>
    </row>
    <row r="923">
      <c r="A923" t="inlineStr">
        <is>
          <t>No</t>
        </is>
      </c>
      <c r="B923" t="inlineStr">
        <is>
          <t>CUHSL</t>
        </is>
      </c>
      <c r="C923" t="inlineStr">
        <is>
          <t>SHELVES</t>
        </is>
      </c>
      <c r="D923" t="inlineStr">
        <is>
          <t>WY 100 F97984 1998</t>
        </is>
      </c>
      <c r="E923" t="inlineStr">
        <is>
          <t>0                      WY 0100000F  97984       1998</t>
        </is>
      </c>
      <c r="F923" t="inlineStr">
        <is>
          <t>Fundamentals of nursing : concepts, process, and practice / Barbara Kozier ... [et al.].</t>
        </is>
      </c>
      <c r="H923" t="inlineStr">
        <is>
          <t>No</t>
        </is>
      </c>
      <c r="I923" t="inlineStr">
        <is>
          <t>1</t>
        </is>
      </c>
      <c r="J923" t="inlineStr">
        <is>
          <t>No</t>
        </is>
      </c>
      <c r="K923" t="inlineStr">
        <is>
          <t>Yes</t>
        </is>
      </c>
      <c r="L923" t="inlineStr">
        <is>
          <t>0</t>
        </is>
      </c>
      <c r="N923" t="inlineStr">
        <is>
          <t>Menlo Park, Calif. : Addison-Wesley, c1998.</t>
        </is>
      </c>
      <c r="O923" t="inlineStr">
        <is>
          <t>1998</t>
        </is>
      </c>
      <c r="P923" t="inlineStr">
        <is>
          <t>Updated 5th ed.</t>
        </is>
      </c>
      <c r="Q923" t="inlineStr">
        <is>
          <t>eng</t>
        </is>
      </c>
      <c r="R923" t="inlineStr">
        <is>
          <t>cau</t>
        </is>
      </c>
      <c r="T923" t="inlineStr">
        <is>
          <t xml:space="preserve">WY </t>
        </is>
      </c>
      <c r="U923" t="n">
        <v>2</v>
      </c>
      <c r="V923" t="n">
        <v>2</v>
      </c>
      <c r="W923" t="inlineStr">
        <is>
          <t>2000-04-14</t>
        </is>
      </c>
      <c r="X923" t="inlineStr">
        <is>
          <t>2000-04-14</t>
        </is>
      </c>
      <c r="Y923" t="inlineStr">
        <is>
          <t>1998-12-10</t>
        </is>
      </c>
      <c r="Z923" t="inlineStr">
        <is>
          <t>1998-12-10</t>
        </is>
      </c>
      <c r="AA923" t="n">
        <v>193</v>
      </c>
      <c r="AB923" t="n">
        <v>152</v>
      </c>
      <c r="AC923" t="n">
        <v>838</v>
      </c>
      <c r="AD923" t="n">
        <v>1</v>
      </c>
      <c r="AE923" t="n">
        <v>3</v>
      </c>
      <c r="AF923" t="n">
        <v>2</v>
      </c>
      <c r="AG923" t="n">
        <v>18</v>
      </c>
      <c r="AH923" t="n">
        <v>1</v>
      </c>
      <c r="AI923" t="n">
        <v>6</v>
      </c>
      <c r="AJ923" t="n">
        <v>0</v>
      </c>
      <c r="AK923" t="n">
        <v>3</v>
      </c>
      <c r="AL923" t="n">
        <v>1</v>
      </c>
      <c r="AM923" t="n">
        <v>10</v>
      </c>
      <c r="AN923" t="n">
        <v>0</v>
      </c>
      <c r="AO923" t="n">
        <v>2</v>
      </c>
      <c r="AP923" t="n">
        <v>0</v>
      </c>
      <c r="AQ923" t="n">
        <v>0</v>
      </c>
      <c r="AR923" t="inlineStr">
        <is>
          <t>No</t>
        </is>
      </c>
      <c r="AS923" t="inlineStr">
        <is>
          <t>No</t>
        </is>
      </c>
      <c r="AU923">
        <f>HYPERLINK("https://creighton-primo.hosted.exlibrisgroup.com/primo-explore/search?tab=default_tab&amp;search_scope=EVERYTHING&amp;vid=01CRU&amp;lang=en_US&amp;offset=0&amp;query=any,contains,991000692229702656","Catalog Record")</f>
        <v/>
      </c>
      <c r="AV923">
        <f>HYPERLINK("http://www.worldcat.org/oclc/37180387","WorldCat Record")</f>
        <v/>
      </c>
      <c r="AW923" t="inlineStr">
        <is>
          <t>836974557:eng</t>
        </is>
      </c>
      <c r="AX923" t="inlineStr">
        <is>
          <t>37180387</t>
        </is>
      </c>
      <c r="AY923" t="inlineStr">
        <is>
          <t>991000692229702656</t>
        </is>
      </c>
      <c r="AZ923" t="inlineStr">
        <is>
          <t>991000692229702656</t>
        </is>
      </c>
      <c r="BA923" t="inlineStr">
        <is>
          <t>2269906350002656</t>
        </is>
      </c>
      <c r="BB923" t="inlineStr">
        <is>
          <t>BOOK</t>
        </is>
      </c>
      <c r="BD923" t="inlineStr">
        <is>
          <t>9780805374728</t>
        </is>
      </c>
      <c r="BE923" t="inlineStr">
        <is>
          <t>30001004036853</t>
        </is>
      </c>
      <c r="BF923" t="inlineStr">
        <is>
          <t>893160890</t>
        </is>
      </c>
    </row>
    <row r="924">
      <c r="A924" t="inlineStr">
        <is>
          <t>No</t>
        </is>
      </c>
      <c r="B924" t="inlineStr">
        <is>
          <t>CUHSL</t>
        </is>
      </c>
      <c r="C924" t="inlineStr">
        <is>
          <t>SHELVES</t>
        </is>
      </c>
      <c r="D924" t="inlineStr">
        <is>
          <t>WY 100 F97984 2004</t>
        </is>
      </c>
      <c r="E924" t="inlineStr">
        <is>
          <t>0                      WY 0100000F  97984       2004</t>
        </is>
      </c>
      <c r="F924" t="inlineStr">
        <is>
          <t>Fundamentals of nursing : concepts, process, and practice / Barbara Kozier ... [et al.].</t>
        </is>
      </c>
      <c r="H924" t="inlineStr">
        <is>
          <t>No</t>
        </is>
      </c>
      <c r="I924" t="inlineStr">
        <is>
          <t>1</t>
        </is>
      </c>
      <c r="J924" t="inlineStr">
        <is>
          <t>No</t>
        </is>
      </c>
      <c r="K924" t="inlineStr">
        <is>
          <t>Yes</t>
        </is>
      </c>
      <c r="L924" t="inlineStr">
        <is>
          <t>0</t>
        </is>
      </c>
      <c r="N924" t="inlineStr">
        <is>
          <t>Upper Saddle River, N.J. : Prentice Hall Health, c2004.</t>
        </is>
      </c>
      <c r="O924" t="inlineStr">
        <is>
          <t>2004</t>
        </is>
      </c>
      <c r="P924" t="inlineStr">
        <is>
          <t>7th ed.</t>
        </is>
      </c>
      <c r="Q924" t="inlineStr">
        <is>
          <t>eng</t>
        </is>
      </c>
      <c r="R924" t="inlineStr">
        <is>
          <t>nju</t>
        </is>
      </c>
      <c r="T924" t="inlineStr">
        <is>
          <t xml:space="preserve">WY </t>
        </is>
      </c>
      <c r="U924" t="n">
        <v>7</v>
      </c>
      <c r="V924" t="n">
        <v>7</v>
      </c>
      <c r="W924" t="inlineStr">
        <is>
          <t>2010-10-27</t>
        </is>
      </c>
      <c r="X924" t="inlineStr">
        <is>
          <t>2010-10-27</t>
        </is>
      </c>
      <c r="Y924" t="inlineStr">
        <is>
          <t>2004-09-08</t>
        </is>
      </c>
      <c r="Z924" t="inlineStr">
        <is>
          <t>2004-09-08</t>
        </is>
      </c>
      <c r="AA924" t="n">
        <v>405</v>
      </c>
      <c r="AB924" t="n">
        <v>316</v>
      </c>
      <c r="AC924" t="n">
        <v>838</v>
      </c>
      <c r="AD924" t="n">
        <v>1</v>
      </c>
      <c r="AE924" t="n">
        <v>3</v>
      </c>
      <c r="AF924" t="n">
        <v>4</v>
      </c>
      <c r="AG924" t="n">
        <v>18</v>
      </c>
      <c r="AH924" t="n">
        <v>1</v>
      </c>
      <c r="AI924" t="n">
        <v>6</v>
      </c>
      <c r="AJ924" t="n">
        <v>0</v>
      </c>
      <c r="AK924" t="n">
        <v>3</v>
      </c>
      <c r="AL924" t="n">
        <v>3</v>
      </c>
      <c r="AM924" t="n">
        <v>10</v>
      </c>
      <c r="AN924" t="n">
        <v>0</v>
      </c>
      <c r="AO924" t="n">
        <v>2</v>
      </c>
      <c r="AP924" t="n">
        <v>0</v>
      </c>
      <c r="AQ924" t="n">
        <v>0</v>
      </c>
      <c r="AR924" t="inlineStr">
        <is>
          <t>No</t>
        </is>
      </c>
      <c r="AS924" t="inlineStr">
        <is>
          <t>Yes</t>
        </is>
      </c>
      <c r="AT924">
        <f>HYPERLINK("http://catalog.hathitrust.org/Record/004338986","HathiTrust Record")</f>
        <v/>
      </c>
      <c r="AU924">
        <f>HYPERLINK("https://creighton-primo.hosted.exlibrisgroup.com/primo-explore/search?tab=default_tab&amp;search_scope=EVERYTHING&amp;vid=01CRU&amp;lang=en_US&amp;offset=0&amp;query=any,contains,991000384949702656","Catalog Record")</f>
        <v/>
      </c>
      <c r="AV924">
        <f>HYPERLINK("http://www.worldcat.org/oclc/51764147","WorldCat Record")</f>
        <v/>
      </c>
      <c r="AW924" t="inlineStr">
        <is>
          <t>836974557:eng</t>
        </is>
      </c>
      <c r="AX924" t="inlineStr">
        <is>
          <t>51764147</t>
        </is>
      </c>
      <c r="AY924" t="inlineStr">
        <is>
          <t>991000384949702656</t>
        </is>
      </c>
      <c r="AZ924" t="inlineStr">
        <is>
          <t>991000384949702656</t>
        </is>
      </c>
      <c r="BA924" t="inlineStr">
        <is>
          <t>2271452970002656</t>
        </is>
      </c>
      <c r="BB924" t="inlineStr">
        <is>
          <t>BOOK</t>
        </is>
      </c>
      <c r="BD924" t="inlineStr">
        <is>
          <t>9780130455291</t>
        </is>
      </c>
      <c r="BE924" t="inlineStr">
        <is>
          <t>30001004506822</t>
        </is>
      </c>
      <c r="BF924" t="inlineStr">
        <is>
          <t>893136786</t>
        </is>
      </c>
    </row>
    <row r="925">
      <c r="A925" t="inlineStr">
        <is>
          <t>No</t>
        </is>
      </c>
      <c r="B925" t="inlineStr">
        <is>
          <t>CUHSL</t>
        </is>
      </c>
      <c r="C925" t="inlineStr">
        <is>
          <t>SHELVES</t>
        </is>
      </c>
      <c r="D925" t="inlineStr">
        <is>
          <t>WY 100 F97986 2000</t>
        </is>
      </c>
      <c r="E925" t="inlineStr">
        <is>
          <t>0                      WY 0100000F  97986       2000</t>
        </is>
      </c>
      <c r="F925" t="inlineStr">
        <is>
          <t>Fundamentals of nursing : caring and clinical judgment / [edited by] Helen Harkreader.</t>
        </is>
      </c>
      <c r="H925" t="inlineStr">
        <is>
          <t>No</t>
        </is>
      </c>
      <c r="I925" t="inlineStr">
        <is>
          <t>1</t>
        </is>
      </c>
      <c r="J925" t="inlineStr">
        <is>
          <t>No</t>
        </is>
      </c>
      <c r="K925" t="inlineStr">
        <is>
          <t>No</t>
        </is>
      </c>
      <c r="L925" t="inlineStr">
        <is>
          <t>0</t>
        </is>
      </c>
      <c r="N925" t="inlineStr">
        <is>
          <t>Philadelphia : W.B. Saunders, c2000.</t>
        </is>
      </c>
      <c r="O925" t="inlineStr">
        <is>
          <t>2000</t>
        </is>
      </c>
      <c r="Q925" t="inlineStr">
        <is>
          <t>eng</t>
        </is>
      </c>
      <c r="R925" t="inlineStr">
        <is>
          <t>pau</t>
        </is>
      </c>
      <c r="T925" t="inlineStr">
        <is>
          <t xml:space="preserve">WY </t>
        </is>
      </c>
      <c r="U925" t="n">
        <v>3</v>
      </c>
      <c r="V925" t="n">
        <v>3</v>
      </c>
      <c r="W925" t="inlineStr">
        <is>
          <t>2007-10-14</t>
        </is>
      </c>
      <c r="X925" t="inlineStr">
        <is>
          <t>2007-10-14</t>
        </is>
      </c>
      <c r="Y925" t="inlineStr">
        <is>
          <t>2000-07-20</t>
        </is>
      </c>
      <c r="Z925" t="inlineStr">
        <is>
          <t>2000-07-20</t>
        </is>
      </c>
      <c r="AA925" t="n">
        <v>170</v>
      </c>
      <c r="AB925" t="n">
        <v>119</v>
      </c>
      <c r="AC925" t="n">
        <v>357</v>
      </c>
      <c r="AD925" t="n">
        <v>1</v>
      </c>
      <c r="AE925" t="n">
        <v>3</v>
      </c>
      <c r="AF925" t="n">
        <v>2</v>
      </c>
      <c r="AG925" t="n">
        <v>12</v>
      </c>
      <c r="AH925" t="n">
        <v>1</v>
      </c>
      <c r="AI925" t="n">
        <v>3</v>
      </c>
      <c r="AJ925" t="n">
        <v>0</v>
      </c>
      <c r="AK925" t="n">
        <v>2</v>
      </c>
      <c r="AL925" t="n">
        <v>1</v>
      </c>
      <c r="AM925" t="n">
        <v>5</v>
      </c>
      <c r="AN925" t="n">
        <v>0</v>
      </c>
      <c r="AO925" t="n">
        <v>2</v>
      </c>
      <c r="AP925" t="n">
        <v>0</v>
      </c>
      <c r="AQ925" t="n">
        <v>0</v>
      </c>
      <c r="AR925" t="inlineStr">
        <is>
          <t>No</t>
        </is>
      </c>
      <c r="AS925" t="inlineStr">
        <is>
          <t>No</t>
        </is>
      </c>
      <c r="AU925">
        <f>HYPERLINK("https://creighton-primo.hosted.exlibrisgroup.com/primo-explore/search?tab=default_tab&amp;search_scope=EVERYTHING&amp;vid=01CRU&amp;lang=en_US&amp;offset=0&amp;query=any,contains,991000277759702656","Catalog Record")</f>
        <v/>
      </c>
      <c r="AV925">
        <f>HYPERLINK("http://www.worldcat.org/oclc/40862057","WorldCat Record")</f>
        <v/>
      </c>
      <c r="AW925" t="inlineStr">
        <is>
          <t>836922519:eng</t>
        </is>
      </c>
      <c r="AX925" t="inlineStr">
        <is>
          <t>40862057</t>
        </is>
      </c>
      <c r="AY925" t="inlineStr">
        <is>
          <t>991000277759702656</t>
        </is>
      </c>
      <c r="AZ925" t="inlineStr">
        <is>
          <t>991000277759702656</t>
        </is>
      </c>
      <c r="BA925" t="inlineStr">
        <is>
          <t>2272125030002656</t>
        </is>
      </c>
      <c r="BB925" t="inlineStr">
        <is>
          <t>BOOK</t>
        </is>
      </c>
      <c r="BD925" t="inlineStr">
        <is>
          <t>9780721686691</t>
        </is>
      </c>
      <c r="BE925" t="inlineStr">
        <is>
          <t>30001003933936</t>
        </is>
      </c>
      <c r="BF925" t="inlineStr">
        <is>
          <t>893370307</t>
        </is>
      </c>
    </row>
    <row r="926">
      <c r="A926" t="inlineStr">
        <is>
          <t>No</t>
        </is>
      </c>
      <c r="B926" t="inlineStr">
        <is>
          <t>CUHSL</t>
        </is>
      </c>
      <c r="C926" t="inlineStr">
        <is>
          <t>SHELVES</t>
        </is>
      </c>
      <c r="D926" t="inlineStr">
        <is>
          <t>WY100 F97988 2003</t>
        </is>
      </c>
      <c r="E926" t="inlineStr">
        <is>
          <t>0                      WY 0100000F  97988       2003</t>
        </is>
      </c>
      <c r="F926" t="inlineStr">
        <is>
          <t>Fundamentals of nursing : human health and function / [edited by] Ruth F. Craven, Constance J. Hirnle.</t>
        </is>
      </c>
      <c r="H926" t="inlineStr">
        <is>
          <t>No</t>
        </is>
      </c>
      <c r="I926" t="inlineStr">
        <is>
          <t>1</t>
        </is>
      </c>
      <c r="J926" t="inlineStr">
        <is>
          <t>No</t>
        </is>
      </c>
      <c r="K926" t="inlineStr">
        <is>
          <t>Yes</t>
        </is>
      </c>
      <c r="L926" t="inlineStr">
        <is>
          <t>0</t>
        </is>
      </c>
      <c r="N926" t="inlineStr">
        <is>
          <t>Philadelphia : Lippincott Williams &amp; Wilkins, c2003.</t>
        </is>
      </c>
      <c r="O926" t="inlineStr">
        <is>
          <t>2003</t>
        </is>
      </c>
      <c r="P926" t="inlineStr">
        <is>
          <t>4th ed.</t>
        </is>
      </c>
      <c r="Q926" t="inlineStr">
        <is>
          <t>eng</t>
        </is>
      </c>
      <c r="R926" t="inlineStr">
        <is>
          <t>pau</t>
        </is>
      </c>
      <c r="T926" t="inlineStr">
        <is>
          <t xml:space="preserve">WY </t>
        </is>
      </c>
      <c r="U926" t="n">
        <v>1</v>
      </c>
      <c r="V926" t="n">
        <v>1</v>
      </c>
      <c r="W926" t="inlineStr">
        <is>
          <t>2004-06-08</t>
        </is>
      </c>
      <c r="X926" t="inlineStr">
        <is>
          <t>2004-06-08</t>
        </is>
      </c>
      <c r="Y926" t="inlineStr">
        <is>
          <t>2002-11-05</t>
        </is>
      </c>
      <c r="Z926" t="inlineStr">
        <is>
          <t>2002-11-05</t>
        </is>
      </c>
      <c r="AA926" t="n">
        <v>329</v>
      </c>
      <c r="AB926" t="n">
        <v>243</v>
      </c>
      <c r="AC926" t="n">
        <v>880</v>
      </c>
      <c r="AD926" t="n">
        <v>1</v>
      </c>
      <c r="AE926" t="n">
        <v>3</v>
      </c>
      <c r="AF926" t="n">
        <v>4</v>
      </c>
      <c r="AG926" t="n">
        <v>16</v>
      </c>
      <c r="AH926" t="n">
        <v>3</v>
      </c>
      <c r="AI926" t="n">
        <v>6</v>
      </c>
      <c r="AJ926" t="n">
        <v>0</v>
      </c>
      <c r="AK926" t="n">
        <v>4</v>
      </c>
      <c r="AL926" t="n">
        <v>1</v>
      </c>
      <c r="AM926" t="n">
        <v>7</v>
      </c>
      <c r="AN926" t="n">
        <v>0</v>
      </c>
      <c r="AO926" t="n">
        <v>1</v>
      </c>
      <c r="AP926" t="n">
        <v>0</v>
      </c>
      <c r="AQ926" t="n">
        <v>0</v>
      </c>
      <c r="AR926" t="inlineStr">
        <is>
          <t>No</t>
        </is>
      </c>
      <c r="AS926" t="inlineStr">
        <is>
          <t>Yes</t>
        </is>
      </c>
      <c r="AT926">
        <f>HYPERLINK("http://catalog.hathitrust.org/Record/003785350","HathiTrust Record")</f>
        <v/>
      </c>
      <c r="AU926">
        <f>HYPERLINK("https://creighton-primo.hosted.exlibrisgroup.com/primo-explore/search?tab=default_tab&amp;search_scope=EVERYTHING&amp;vid=01CRU&amp;lang=en_US&amp;offset=0&amp;query=any,contains,991000331709702656","Catalog Record")</f>
        <v/>
      </c>
      <c r="AV926">
        <f>HYPERLINK("http://www.worldcat.org/oclc/49057645","WorldCat Record")</f>
        <v/>
      </c>
      <c r="AW926" t="inlineStr">
        <is>
          <t>793226265:eng</t>
        </is>
      </c>
      <c r="AX926" t="inlineStr">
        <is>
          <t>49057645</t>
        </is>
      </c>
      <c r="AY926" t="inlineStr">
        <is>
          <t>991000331709702656</t>
        </is>
      </c>
      <c r="AZ926" t="inlineStr">
        <is>
          <t>991000331709702656</t>
        </is>
      </c>
      <c r="BA926" t="inlineStr">
        <is>
          <t>2265729730002656</t>
        </is>
      </c>
      <c r="BB926" t="inlineStr">
        <is>
          <t>BOOK</t>
        </is>
      </c>
      <c r="BD926" t="inlineStr">
        <is>
          <t>9780781735810</t>
        </is>
      </c>
      <c r="BE926" t="inlineStr">
        <is>
          <t>30001004500437</t>
        </is>
      </c>
      <c r="BF926" t="inlineStr">
        <is>
          <t>893537072</t>
        </is>
      </c>
    </row>
    <row r="927">
      <c r="A927" t="inlineStr">
        <is>
          <t>No</t>
        </is>
      </c>
      <c r="B927" t="inlineStr">
        <is>
          <t>CUHSL</t>
        </is>
      </c>
      <c r="C927" t="inlineStr">
        <is>
          <t>SHELVES</t>
        </is>
      </c>
      <c r="D927" t="inlineStr">
        <is>
          <t>WY100 F97988 2006</t>
        </is>
      </c>
      <c r="E927" t="inlineStr">
        <is>
          <t>0                      WY 0100000F  97988       2006</t>
        </is>
      </c>
      <c r="F927" t="inlineStr">
        <is>
          <t>Fundamentals of nursing : human health and function / [edited by] Ruth F. Craven, Constance J. Hirnle ; 49 contributors.</t>
        </is>
      </c>
      <c r="H927" t="inlineStr">
        <is>
          <t>No</t>
        </is>
      </c>
      <c r="I927" t="inlineStr">
        <is>
          <t>1</t>
        </is>
      </c>
      <c r="J927" t="inlineStr">
        <is>
          <t>No</t>
        </is>
      </c>
      <c r="K927" t="inlineStr">
        <is>
          <t>Yes</t>
        </is>
      </c>
      <c r="L927" t="inlineStr">
        <is>
          <t>0</t>
        </is>
      </c>
      <c r="N927" t="inlineStr">
        <is>
          <t>Philadelphia : Lippincott Williams &amp; Wilkins, c2007.</t>
        </is>
      </c>
      <c r="O927" t="inlineStr">
        <is>
          <t>2007</t>
        </is>
      </c>
      <c r="P927" t="inlineStr">
        <is>
          <t>5th ed.</t>
        </is>
      </c>
      <c r="Q927" t="inlineStr">
        <is>
          <t>eng</t>
        </is>
      </c>
      <c r="R927" t="inlineStr">
        <is>
          <t>pau</t>
        </is>
      </c>
      <c r="T927" t="inlineStr">
        <is>
          <t xml:space="preserve">WY </t>
        </is>
      </c>
      <c r="U927" t="n">
        <v>0</v>
      </c>
      <c r="V927" t="n">
        <v>0</v>
      </c>
      <c r="W927" t="inlineStr">
        <is>
          <t>2006-04-05</t>
        </is>
      </c>
      <c r="X927" t="inlineStr">
        <is>
          <t>2006-04-05</t>
        </is>
      </c>
      <c r="Y927" t="inlineStr">
        <is>
          <t>2006-03-30</t>
        </is>
      </c>
      <c r="Z927" t="inlineStr">
        <is>
          <t>2006-03-30</t>
        </is>
      </c>
      <c r="AA927" t="n">
        <v>280</v>
      </c>
      <c r="AB927" t="n">
        <v>212</v>
      </c>
      <c r="AC927" t="n">
        <v>880</v>
      </c>
      <c r="AD927" t="n">
        <v>1</v>
      </c>
      <c r="AE927" t="n">
        <v>3</v>
      </c>
      <c r="AF927" t="n">
        <v>4</v>
      </c>
      <c r="AG927" t="n">
        <v>16</v>
      </c>
      <c r="AH927" t="n">
        <v>2</v>
      </c>
      <c r="AI927" t="n">
        <v>6</v>
      </c>
      <c r="AJ927" t="n">
        <v>1</v>
      </c>
      <c r="AK927" t="n">
        <v>4</v>
      </c>
      <c r="AL927" t="n">
        <v>2</v>
      </c>
      <c r="AM927" t="n">
        <v>7</v>
      </c>
      <c r="AN927" t="n">
        <v>0</v>
      </c>
      <c r="AO927" t="n">
        <v>1</v>
      </c>
      <c r="AP927" t="n">
        <v>0</v>
      </c>
      <c r="AQ927" t="n">
        <v>0</v>
      </c>
      <c r="AR927" t="inlineStr">
        <is>
          <t>No</t>
        </is>
      </c>
      <c r="AS927" t="inlineStr">
        <is>
          <t>No</t>
        </is>
      </c>
      <c r="AU927">
        <f>HYPERLINK("https://creighton-primo.hosted.exlibrisgroup.com/primo-explore/search?tab=default_tab&amp;search_scope=EVERYTHING&amp;vid=01CRU&amp;lang=en_US&amp;offset=0&amp;query=any,contains,991001738179702656","Catalog Record")</f>
        <v/>
      </c>
      <c r="AV927">
        <f>HYPERLINK("http://www.worldcat.org/oclc/62090798","WorldCat Record")</f>
        <v/>
      </c>
      <c r="AW927" t="inlineStr">
        <is>
          <t>793226265:eng</t>
        </is>
      </c>
      <c r="AX927" t="inlineStr">
        <is>
          <t>62090798</t>
        </is>
      </c>
      <c r="AY927" t="inlineStr">
        <is>
          <t>991001738179702656</t>
        </is>
      </c>
      <c r="AZ927" t="inlineStr">
        <is>
          <t>991001738179702656</t>
        </is>
      </c>
      <c r="BA927" t="inlineStr">
        <is>
          <t>2263180340002656</t>
        </is>
      </c>
      <c r="BB927" t="inlineStr">
        <is>
          <t>BOOK</t>
        </is>
      </c>
      <c r="BD927" t="inlineStr">
        <is>
          <t>9780781762182</t>
        </is>
      </c>
      <c r="BE927" t="inlineStr">
        <is>
          <t>30001005126992</t>
        </is>
      </c>
      <c r="BF927" t="inlineStr">
        <is>
          <t>893364515</t>
        </is>
      </c>
    </row>
    <row r="928">
      <c r="A928" t="inlineStr">
        <is>
          <t>No</t>
        </is>
      </c>
      <c r="B928" t="inlineStr">
        <is>
          <t>CUHSL</t>
        </is>
      </c>
      <c r="C928" t="inlineStr">
        <is>
          <t>SHELVES</t>
        </is>
      </c>
      <c r="D928" t="inlineStr">
        <is>
          <t>WY100 F97989 2002</t>
        </is>
      </c>
      <c r="E928" t="inlineStr">
        <is>
          <t>0                      WY 0100000F  97989       2002</t>
        </is>
      </c>
      <c r="F928" t="inlineStr">
        <is>
          <t>Fundamentals of nursing : standards &amp; practice / [edited by] Sue C. DeLaune, Patricia K. Ladner.</t>
        </is>
      </c>
      <c r="H928" t="inlineStr">
        <is>
          <t>No</t>
        </is>
      </c>
      <c r="I928" t="inlineStr">
        <is>
          <t>1</t>
        </is>
      </c>
      <c r="J928" t="inlineStr">
        <is>
          <t>No</t>
        </is>
      </c>
      <c r="K928" t="inlineStr">
        <is>
          <t>Yes</t>
        </is>
      </c>
      <c r="L928" t="inlineStr">
        <is>
          <t>0</t>
        </is>
      </c>
      <c r="N928" t="inlineStr">
        <is>
          <t>Albany, NY : Delmar Thomson Learning, c2002.</t>
        </is>
      </c>
      <c r="O928" t="inlineStr">
        <is>
          <t>2002</t>
        </is>
      </c>
      <c r="P928" t="inlineStr">
        <is>
          <t>2nd ed.</t>
        </is>
      </c>
      <c r="Q928" t="inlineStr">
        <is>
          <t>eng</t>
        </is>
      </c>
      <c r="R928" t="inlineStr">
        <is>
          <t>nyu</t>
        </is>
      </c>
      <c r="T928" t="inlineStr">
        <is>
          <t xml:space="preserve">WY </t>
        </is>
      </c>
      <c r="U928" t="n">
        <v>2</v>
      </c>
      <c r="V928" t="n">
        <v>2</v>
      </c>
      <c r="W928" t="inlineStr">
        <is>
          <t>2005-03-06</t>
        </is>
      </c>
      <c r="X928" t="inlineStr">
        <is>
          <t>2005-03-06</t>
        </is>
      </c>
      <c r="Y928" t="inlineStr">
        <is>
          <t>2002-10-14</t>
        </is>
      </c>
      <c r="Z928" t="inlineStr">
        <is>
          <t>2002-10-14</t>
        </is>
      </c>
      <c r="AA928" t="n">
        <v>226</v>
      </c>
      <c r="AB928" t="n">
        <v>183</v>
      </c>
      <c r="AC928" t="n">
        <v>1570</v>
      </c>
      <c r="AD928" t="n">
        <v>2</v>
      </c>
      <c r="AE928" t="n">
        <v>26</v>
      </c>
      <c r="AF928" t="n">
        <v>3</v>
      </c>
      <c r="AG928" t="n">
        <v>38</v>
      </c>
      <c r="AH928" t="n">
        <v>2</v>
      </c>
      <c r="AI928" t="n">
        <v>11</v>
      </c>
      <c r="AJ928" t="n">
        <v>0</v>
      </c>
      <c r="AK928" t="n">
        <v>9</v>
      </c>
      <c r="AL928" t="n">
        <v>1</v>
      </c>
      <c r="AM928" t="n">
        <v>14</v>
      </c>
      <c r="AN928" t="n">
        <v>0</v>
      </c>
      <c r="AO928" t="n">
        <v>10</v>
      </c>
      <c r="AP928" t="n">
        <v>0</v>
      </c>
      <c r="AQ928" t="n">
        <v>0</v>
      </c>
      <c r="AR928" t="inlineStr">
        <is>
          <t>No</t>
        </is>
      </c>
      <c r="AS928" t="inlineStr">
        <is>
          <t>No</t>
        </is>
      </c>
      <c r="AU928">
        <f>HYPERLINK("https://creighton-primo.hosted.exlibrisgroup.com/primo-explore/search?tab=default_tab&amp;search_scope=EVERYTHING&amp;vid=01CRU&amp;lang=en_US&amp;offset=0&amp;query=any,contains,991000330749702656","Catalog Record")</f>
        <v/>
      </c>
      <c r="AV928">
        <f>HYPERLINK("http://www.worldcat.org/oclc/61861006","WorldCat Record")</f>
        <v/>
      </c>
      <c r="AW928" t="inlineStr">
        <is>
          <t>194935495:eng</t>
        </is>
      </c>
      <c r="AX928" t="inlineStr">
        <is>
          <t>61861006</t>
        </is>
      </c>
      <c r="AY928" t="inlineStr">
        <is>
          <t>991000330749702656</t>
        </is>
      </c>
      <c r="AZ928" t="inlineStr">
        <is>
          <t>991000330749702656</t>
        </is>
      </c>
      <c r="BA928" t="inlineStr">
        <is>
          <t>2258394190002656</t>
        </is>
      </c>
      <c r="BB928" t="inlineStr">
        <is>
          <t>BOOK</t>
        </is>
      </c>
      <c r="BD928" t="inlineStr">
        <is>
          <t>9780766824522</t>
        </is>
      </c>
      <c r="BE928" t="inlineStr">
        <is>
          <t>30001004440279</t>
        </is>
      </c>
      <c r="BF928" t="inlineStr">
        <is>
          <t>893163353</t>
        </is>
      </c>
    </row>
    <row r="929">
      <c r="A929" t="inlineStr">
        <is>
          <t>No</t>
        </is>
      </c>
      <c r="B929" t="inlineStr">
        <is>
          <t>CUHSL</t>
        </is>
      </c>
      <c r="C929" t="inlineStr">
        <is>
          <t>SHELVES</t>
        </is>
      </c>
      <c r="D929" t="inlineStr">
        <is>
          <t>WY100 F97989 2006</t>
        </is>
      </c>
      <c r="E929" t="inlineStr">
        <is>
          <t>0                      WY 0100000F  97989       2006</t>
        </is>
      </c>
      <c r="F929" t="inlineStr">
        <is>
          <t>Fundamentals of nursing : standards &amp; practice / Sue C. DeLaune, Patricia K. Ladner.</t>
        </is>
      </c>
      <c r="H929" t="inlineStr">
        <is>
          <t>No</t>
        </is>
      </c>
      <c r="I929" t="inlineStr">
        <is>
          <t>1</t>
        </is>
      </c>
      <c r="J929" t="inlineStr">
        <is>
          <t>No</t>
        </is>
      </c>
      <c r="K929" t="inlineStr">
        <is>
          <t>Yes</t>
        </is>
      </c>
      <c r="L929" t="inlineStr">
        <is>
          <t>0</t>
        </is>
      </c>
      <c r="M929" t="inlineStr">
        <is>
          <t>DeLaune, Sue C. (Sue Carter)</t>
        </is>
      </c>
      <c r="N929" t="inlineStr">
        <is>
          <t>Clifton Park, NY : Thomson Delmar Learning, c2006.</t>
        </is>
      </c>
      <c r="O929" t="inlineStr">
        <is>
          <t>2006</t>
        </is>
      </c>
      <c r="P929" t="inlineStr">
        <is>
          <t>3rd ed.</t>
        </is>
      </c>
      <c r="Q929" t="inlineStr">
        <is>
          <t>eng</t>
        </is>
      </c>
      <c r="R929" t="inlineStr">
        <is>
          <t>nyu</t>
        </is>
      </c>
      <c r="T929" t="inlineStr">
        <is>
          <t xml:space="preserve">WY </t>
        </is>
      </c>
      <c r="U929" t="n">
        <v>0</v>
      </c>
      <c r="V929" t="n">
        <v>0</v>
      </c>
      <c r="W929" t="inlineStr">
        <is>
          <t>2006-04-13</t>
        </is>
      </c>
      <c r="X929" t="inlineStr">
        <is>
          <t>2006-04-13</t>
        </is>
      </c>
      <c r="Y929" t="inlineStr">
        <is>
          <t>2006-04-06</t>
        </is>
      </c>
      <c r="Z929" t="inlineStr">
        <is>
          <t>2006-04-06</t>
        </is>
      </c>
      <c r="AA929" t="n">
        <v>286</v>
      </c>
      <c r="AB929" t="n">
        <v>219</v>
      </c>
      <c r="AC929" t="n">
        <v>1570</v>
      </c>
      <c r="AD929" t="n">
        <v>2</v>
      </c>
      <c r="AE929" t="n">
        <v>26</v>
      </c>
      <c r="AF929" t="n">
        <v>5</v>
      </c>
      <c r="AG929" t="n">
        <v>38</v>
      </c>
      <c r="AH929" t="n">
        <v>2</v>
      </c>
      <c r="AI929" t="n">
        <v>11</v>
      </c>
      <c r="AJ929" t="n">
        <v>1</v>
      </c>
      <c r="AK929" t="n">
        <v>9</v>
      </c>
      <c r="AL929" t="n">
        <v>1</v>
      </c>
      <c r="AM929" t="n">
        <v>14</v>
      </c>
      <c r="AN929" t="n">
        <v>1</v>
      </c>
      <c r="AO929" t="n">
        <v>10</v>
      </c>
      <c r="AP929" t="n">
        <v>0</v>
      </c>
      <c r="AQ929" t="n">
        <v>0</v>
      </c>
      <c r="AR929" t="inlineStr">
        <is>
          <t>No</t>
        </is>
      </c>
      <c r="AS929" t="inlineStr">
        <is>
          <t>No</t>
        </is>
      </c>
      <c r="AU929">
        <f>HYPERLINK("https://creighton-primo.hosted.exlibrisgroup.com/primo-explore/search?tab=default_tab&amp;search_scope=EVERYTHING&amp;vid=01CRU&amp;lang=en_US&amp;offset=0&amp;query=any,contains,991000472499702656","Catalog Record")</f>
        <v/>
      </c>
      <c r="AV929">
        <f>HYPERLINK("http://www.worldcat.org/oclc/61860821","WorldCat Record")</f>
        <v/>
      </c>
      <c r="AW929" t="inlineStr">
        <is>
          <t>194935495:eng</t>
        </is>
      </c>
      <c r="AX929" t="inlineStr">
        <is>
          <t>61860821</t>
        </is>
      </c>
      <c r="AY929" t="inlineStr">
        <is>
          <t>991000472499702656</t>
        </is>
      </c>
      <c r="AZ929" t="inlineStr">
        <is>
          <t>991000472499702656</t>
        </is>
      </c>
      <c r="BA929" t="inlineStr">
        <is>
          <t>2260738260002656</t>
        </is>
      </c>
      <c r="BB929" t="inlineStr">
        <is>
          <t>BOOK</t>
        </is>
      </c>
      <c r="BD929" t="inlineStr">
        <is>
          <t>9781401859183</t>
        </is>
      </c>
      <c r="BE929" t="inlineStr">
        <is>
          <t>30001005126232</t>
        </is>
      </c>
      <c r="BF929" t="inlineStr">
        <is>
          <t>893728450</t>
        </is>
      </c>
    </row>
    <row r="930">
      <c r="A930" t="inlineStr">
        <is>
          <t>No</t>
        </is>
      </c>
      <c r="B930" t="inlineStr">
        <is>
          <t>CUHSL</t>
        </is>
      </c>
      <c r="C930" t="inlineStr">
        <is>
          <t>SHELVES</t>
        </is>
      </c>
      <c r="D930" t="inlineStr">
        <is>
          <t>WY 100 G196n 1984</t>
        </is>
      </c>
      <c r="E930" t="inlineStr">
        <is>
          <t>0                      WY 0100000G  196n        1984</t>
        </is>
      </c>
      <c r="F930" t="inlineStr">
        <is>
          <t>The nurse's writing handbook / Anita Gandolfo, Judy Romano.</t>
        </is>
      </c>
      <c r="H930" t="inlineStr">
        <is>
          <t>No</t>
        </is>
      </c>
      <c r="I930" t="inlineStr">
        <is>
          <t>1</t>
        </is>
      </c>
      <c r="J930" t="inlineStr">
        <is>
          <t>No</t>
        </is>
      </c>
      <c r="K930" t="inlineStr">
        <is>
          <t>No</t>
        </is>
      </c>
      <c r="L930" t="inlineStr">
        <is>
          <t>0</t>
        </is>
      </c>
      <c r="M930" t="inlineStr">
        <is>
          <t>Gandolfo, Anita.</t>
        </is>
      </c>
      <c r="N930" t="inlineStr">
        <is>
          <t>New York : Appleton-Century-Crofts, c1984.</t>
        </is>
      </c>
      <c r="O930" t="inlineStr">
        <is>
          <t>1984</t>
        </is>
      </c>
      <c r="Q930" t="inlineStr">
        <is>
          <t>eng</t>
        </is>
      </c>
      <c r="R930" t="inlineStr">
        <is>
          <t>xxu</t>
        </is>
      </c>
      <c r="T930" t="inlineStr">
        <is>
          <t xml:space="preserve">WY </t>
        </is>
      </c>
      <c r="U930" t="n">
        <v>4</v>
      </c>
      <c r="V930" t="n">
        <v>4</v>
      </c>
      <c r="W930" t="inlineStr">
        <is>
          <t>1992-03-21</t>
        </is>
      </c>
      <c r="X930" t="inlineStr">
        <is>
          <t>1992-03-21</t>
        </is>
      </c>
      <c r="Y930" t="inlineStr">
        <is>
          <t>1987-12-29</t>
        </is>
      </c>
      <c r="Z930" t="inlineStr">
        <is>
          <t>1987-12-29</t>
        </is>
      </c>
      <c r="AA930" t="n">
        <v>240</v>
      </c>
      <c r="AB930" t="n">
        <v>199</v>
      </c>
      <c r="AC930" t="n">
        <v>206</v>
      </c>
      <c r="AD930" t="n">
        <v>2</v>
      </c>
      <c r="AE930" t="n">
        <v>2</v>
      </c>
      <c r="AF930" t="n">
        <v>7</v>
      </c>
      <c r="AG930" t="n">
        <v>7</v>
      </c>
      <c r="AH930" t="n">
        <v>2</v>
      </c>
      <c r="AI930" t="n">
        <v>2</v>
      </c>
      <c r="AJ930" t="n">
        <v>3</v>
      </c>
      <c r="AK930" t="n">
        <v>3</v>
      </c>
      <c r="AL930" t="n">
        <v>4</v>
      </c>
      <c r="AM930" t="n">
        <v>4</v>
      </c>
      <c r="AN930" t="n">
        <v>0</v>
      </c>
      <c r="AO930" t="n">
        <v>0</v>
      </c>
      <c r="AP930" t="n">
        <v>0</v>
      </c>
      <c r="AQ930" t="n">
        <v>0</v>
      </c>
      <c r="AR930" t="inlineStr">
        <is>
          <t>No</t>
        </is>
      </c>
      <c r="AS930" t="inlineStr">
        <is>
          <t>Yes</t>
        </is>
      </c>
      <c r="AT930">
        <f>HYPERLINK("http://catalog.hathitrust.org/Record/000323924","HathiTrust Record")</f>
        <v/>
      </c>
      <c r="AU930">
        <f>HYPERLINK("https://creighton-primo.hosted.exlibrisgroup.com/primo-explore/search?tab=default_tab&amp;search_scope=EVERYTHING&amp;vid=01CRU&amp;lang=en_US&amp;offset=0&amp;query=any,contains,991001145299702656","Catalog Record")</f>
        <v/>
      </c>
      <c r="AV930">
        <f>HYPERLINK("http://www.worldcat.org/oclc/10098058","WorldCat Record")</f>
        <v/>
      </c>
      <c r="AW930" t="inlineStr">
        <is>
          <t>3487067:eng</t>
        </is>
      </c>
      <c r="AX930" t="inlineStr">
        <is>
          <t>10098058</t>
        </is>
      </c>
      <c r="AY930" t="inlineStr">
        <is>
          <t>991001145299702656</t>
        </is>
      </c>
      <c r="AZ930" t="inlineStr">
        <is>
          <t>991001145299702656</t>
        </is>
      </c>
      <c r="BA930" t="inlineStr">
        <is>
          <t>2264970710002656</t>
        </is>
      </c>
      <c r="BB930" t="inlineStr">
        <is>
          <t>BOOK</t>
        </is>
      </c>
      <c r="BD930" t="inlineStr">
        <is>
          <t>9780838569979</t>
        </is>
      </c>
      <c r="BE930" t="inlineStr">
        <is>
          <t>30001000291791</t>
        </is>
      </c>
      <c r="BF930" t="inlineStr">
        <is>
          <t>893369141</t>
        </is>
      </c>
    </row>
    <row r="931">
      <c r="A931" t="inlineStr">
        <is>
          <t>No</t>
        </is>
      </c>
      <c r="B931" t="inlineStr">
        <is>
          <t>CUHSL</t>
        </is>
      </c>
      <c r="C931" t="inlineStr">
        <is>
          <t>SHELVES</t>
        </is>
      </c>
      <c r="D931" t="inlineStr">
        <is>
          <t>WY 100 G32c 1979</t>
        </is>
      </c>
      <c r="E931" t="inlineStr">
        <is>
          <t>0                      WY 0100000G  32c         1979</t>
        </is>
      </c>
      <c r="F931" t="inlineStr">
        <is>
          <t>Cases in nursing management / Joan M. Ganong and Warren L. Ganong.</t>
        </is>
      </c>
      <c r="H931" t="inlineStr">
        <is>
          <t>No</t>
        </is>
      </c>
      <c r="I931" t="inlineStr">
        <is>
          <t>1</t>
        </is>
      </c>
      <c r="J931" t="inlineStr">
        <is>
          <t>No</t>
        </is>
      </c>
      <c r="K931" t="inlineStr">
        <is>
          <t>No</t>
        </is>
      </c>
      <c r="L931" t="inlineStr">
        <is>
          <t>0</t>
        </is>
      </c>
      <c r="M931" t="inlineStr">
        <is>
          <t>Ganong, Joan M.</t>
        </is>
      </c>
      <c r="N931" t="inlineStr">
        <is>
          <t>Germantown, Md. : Aspen Systems Corporation, c1979.</t>
        </is>
      </c>
      <c r="O931" t="inlineStr">
        <is>
          <t>1979</t>
        </is>
      </c>
      <c r="Q931" t="inlineStr">
        <is>
          <t>eng</t>
        </is>
      </c>
      <c r="R931" t="inlineStr">
        <is>
          <t>mdu</t>
        </is>
      </c>
      <c r="T931" t="inlineStr">
        <is>
          <t xml:space="preserve">WY </t>
        </is>
      </c>
      <c r="U931" t="n">
        <v>2</v>
      </c>
      <c r="V931" t="n">
        <v>2</v>
      </c>
      <c r="W931" t="inlineStr">
        <is>
          <t>1993-07-30</t>
        </is>
      </c>
      <c r="X931" t="inlineStr">
        <is>
          <t>1993-07-30</t>
        </is>
      </c>
      <c r="Y931" t="inlineStr">
        <is>
          <t>1987-10-22</t>
        </is>
      </c>
      <c r="Z931" t="inlineStr">
        <is>
          <t>1987-10-22</t>
        </is>
      </c>
      <c r="AA931" t="n">
        <v>205</v>
      </c>
      <c r="AB931" t="n">
        <v>181</v>
      </c>
      <c r="AC931" t="n">
        <v>188</v>
      </c>
      <c r="AD931" t="n">
        <v>2</v>
      </c>
      <c r="AE931" t="n">
        <v>2</v>
      </c>
      <c r="AF931" t="n">
        <v>7</v>
      </c>
      <c r="AG931" t="n">
        <v>7</v>
      </c>
      <c r="AH931" t="n">
        <v>2</v>
      </c>
      <c r="AI931" t="n">
        <v>2</v>
      </c>
      <c r="AJ931" t="n">
        <v>1</v>
      </c>
      <c r="AK931" t="n">
        <v>1</v>
      </c>
      <c r="AL931" t="n">
        <v>2</v>
      </c>
      <c r="AM931" t="n">
        <v>2</v>
      </c>
      <c r="AN931" t="n">
        <v>1</v>
      </c>
      <c r="AO931" t="n">
        <v>1</v>
      </c>
      <c r="AP931" t="n">
        <v>1</v>
      </c>
      <c r="AQ931" t="n">
        <v>1</v>
      </c>
      <c r="AR931" t="inlineStr">
        <is>
          <t>No</t>
        </is>
      </c>
      <c r="AS931" t="inlineStr">
        <is>
          <t>Yes</t>
        </is>
      </c>
      <c r="AT931">
        <f>HYPERLINK("http://catalog.hathitrust.org/Record/000098722","HathiTrust Record")</f>
        <v/>
      </c>
      <c r="AU931">
        <f>HYPERLINK("https://creighton-primo.hosted.exlibrisgroup.com/primo-explore/search?tab=default_tab&amp;search_scope=EVERYTHING&amp;vid=01CRU&amp;lang=en_US&amp;offset=0&amp;query=any,contains,991000737669702656","Catalog Record")</f>
        <v/>
      </c>
      <c r="AV931">
        <f>HYPERLINK("http://www.worldcat.org/oclc/5171930","WorldCat Record")</f>
        <v/>
      </c>
      <c r="AW931" t="inlineStr">
        <is>
          <t>3698852941:eng</t>
        </is>
      </c>
      <c r="AX931" t="inlineStr">
        <is>
          <t>5171930</t>
        </is>
      </c>
      <c r="AY931" t="inlineStr">
        <is>
          <t>991000737669702656</t>
        </is>
      </c>
      <c r="AZ931" t="inlineStr">
        <is>
          <t>991000737669702656</t>
        </is>
      </c>
      <c r="BA931" t="inlineStr">
        <is>
          <t>2259057540002656</t>
        </is>
      </c>
      <c r="BB931" t="inlineStr">
        <is>
          <t>BOOK</t>
        </is>
      </c>
      <c r="BD931" t="inlineStr">
        <is>
          <t>9780894431524</t>
        </is>
      </c>
      <c r="BE931" t="inlineStr">
        <is>
          <t>30001000042251</t>
        </is>
      </c>
      <c r="BF931" t="inlineStr">
        <is>
          <t>893148138</t>
        </is>
      </c>
    </row>
    <row r="932">
      <c r="A932" t="inlineStr">
        <is>
          <t>No</t>
        </is>
      </c>
      <c r="B932" t="inlineStr">
        <is>
          <t>CUHSL</t>
        </is>
      </c>
      <c r="C932" t="inlineStr">
        <is>
          <t>SHELVES</t>
        </is>
      </c>
      <c r="D932" t="inlineStr">
        <is>
          <t>WY 100 G539 1980</t>
        </is>
      </c>
      <c r="E932" t="inlineStr">
        <is>
          <t>0                      WY 0100000G  539         1980</t>
        </is>
      </c>
      <c r="F932" t="inlineStr">
        <is>
          <t>Giving medications.</t>
        </is>
      </c>
      <c r="H932" t="inlineStr">
        <is>
          <t>No</t>
        </is>
      </c>
      <c r="I932" t="inlineStr">
        <is>
          <t>1</t>
        </is>
      </c>
      <c r="J932" t="inlineStr">
        <is>
          <t>No</t>
        </is>
      </c>
      <c r="K932" t="inlineStr">
        <is>
          <t>No</t>
        </is>
      </c>
      <c r="L932" t="inlineStr">
        <is>
          <t>0</t>
        </is>
      </c>
      <c r="N932" t="inlineStr">
        <is>
          <t>Horsham, Pa. : Intermed Communications, 1980.</t>
        </is>
      </c>
      <c r="O932" t="inlineStr">
        <is>
          <t>1980</t>
        </is>
      </c>
      <c r="Q932" t="inlineStr">
        <is>
          <t>eng</t>
        </is>
      </c>
      <c r="R932" t="inlineStr">
        <is>
          <t>xxu</t>
        </is>
      </c>
      <c r="S932" t="inlineStr">
        <is>
          <t>Nursing photobook</t>
        </is>
      </c>
      <c r="T932" t="inlineStr">
        <is>
          <t xml:space="preserve">WY </t>
        </is>
      </c>
      <c r="U932" t="n">
        <v>1</v>
      </c>
      <c r="V932" t="n">
        <v>1</v>
      </c>
      <c r="W932" t="inlineStr">
        <is>
          <t>1998-08-17</t>
        </is>
      </c>
      <c r="X932" t="inlineStr">
        <is>
          <t>1998-08-17</t>
        </is>
      </c>
      <c r="Y932" t="inlineStr">
        <is>
          <t>1988-02-08</t>
        </is>
      </c>
      <c r="Z932" t="inlineStr">
        <is>
          <t>1988-02-08</t>
        </is>
      </c>
      <c r="AA932" t="n">
        <v>68</v>
      </c>
      <c r="AB932" t="n">
        <v>58</v>
      </c>
      <c r="AC932" t="n">
        <v>60</v>
      </c>
      <c r="AD932" t="n">
        <v>2</v>
      </c>
      <c r="AE932" t="n">
        <v>2</v>
      </c>
      <c r="AF932" t="n">
        <v>0</v>
      </c>
      <c r="AG932" t="n">
        <v>0</v>
      </c>
      <c r="AH932" t="n">
        <v>0</v>
      </c>
      <c r="AI932" t="n">
        <v>0</v>
      </c>
      <c r="AJ932" t="n">
        <v>0</v>
      </c>
      <c r="AK932" t="n">
        <v>0</v>
      </c>
      <c r="AL932" t="n">
        <v>0</v>
      </c>
      <c r="AM932" t="n">
        <v>0</v>
      </c>
      <c r="AN932" t="n">
        <v>0</v>
      </c>
      <c r="AO932" t="n">
        <v>0</v>
      </c>
      <c r="AP932" t="n">
        <v>0</v>
      </c>
      <c r="AQ932" t="n">
        <v>0</v>
      </c>
      <c r="AR932" t="inlineStr">
        <is>
          <t>No</t>
        </is>
      </c>
      <c r="AS932" t="inlineStr">
        <is>
          <t>Yes</t>
        </is>
      </c>
      <c r="AT932">
        <f>HYPERLINK("http://catalog.hathitrust.org/Record/000718837","HathiTrust Record")</f>
        <v/>
      </c>
      <c r="AU932">
        <f>HYPERLINK("https://creighton-primo.hosted.exlibrisgroup.com/primo-explore/search?tab=default_tab&amp;search_scope=EVERYTHING&amp;vid=01CRU&amp;lang=en_US&amp;offset=0&amp;query=any,contains,991000843209702656","Catalog Record")</f>
        <v/>
      </c>
      <c r="AV932">
        <f>HYPERLINK("http://www.worldcat.org/oclc/6249551","WorldCat Record")</f>
        <v/>
      </c>
      <c r="AW932" t="inlineStr">
        <is>
          <t>5617135728:eng</t>
        </is>
      </c>
      <c r="AX932" t="inlineStr">
        <is>
          <t>6249551</t>
        </is>
      </c>
      <c r="AY932" t="inlineStr">
        <is>
          <t>991000843209702656</t>
        </is>
      </c>
      <c r="AZ932" t="inlineStr">
        <is>
          <t>991000843209702656</t>
        </is>
      </c>
      <c r="BA932" t="inlineStr">
        <is>
          <t>2262878900002656</t>
        </is>
      </c>
      <c r="BB932" t="inlineStr">
        <is>
          <t>BOOK</t>
        </is>
      </c>
      <c r="BD932" t="inlineStr">
        <is>
          <t>9780916730222</t>
        </is>
      </c>
      <c r="BE932" t="inlineStr">
        <is>
          <t>30001000785719</t>
        </is>
      </c>
      <c r="BF932" t="inlineStr">
        <is>
          <t>893731454</t>
        </is>
      </c>
    </row>
    <row r="933">
      <c r="A933" t="inlineStr">
        <is>
          <t>No</t>
        </is>
      </c>
      <c r="B933" t="inlineStr">
        <is>
          <t>CUHSL</t>
        </is>
      </c>
      <c r="C933" t="inlineStr">
        <is>
          <t>SHELVES</t>
        </is>
      </c>
      <c r="D933" t="inlineStr">
        <is>
          <t>WY 100 G664n 1982</t>
        </is>
      </c>
      <c r="E933" t="inlineStr">
        <is>
          <t>0                      WY 0100000G  664n        1982</t>
        </is>
      </c>
      <c r="F933" t="inlineStr">
        <is>
          <t>Nursing diagnosis : process and application / Marjory Gordon.</t>
        </is>
      </c>
      <c r="H933" t="inlineStr">
        <is>
          <t>No</t>
        </is>
      </c>
      <c r="I933" t="inlineStr">
        <is>
          <t>1</t>
        </is>
      </c>
      <c r="J933" t="inlineStr">
        <is>
          <t>No</t>
        </is>
      </c>
      <c r="K933" t="inlineStr">
        <is>
          <t>No</t>
        </is>
      </c>
      <c r="L933" t="inlineStr">
        <is>
          <t>0</t>
        </is>
      </c>
      <c r="M933" t="inlineStr">
        <is>
          <t>Gordon, Marjory.</t>
        </is>
      </c>
      <c r="N933" t="inlineStr">
        <is>
          <t>New York : McGraw-Hill, c1982.</t>
        </is>
      </c>
      <c r="O933" t="inlineStr">
        <is>
          <t>1982</t>
        </is>
      </c>
      <c r="Q933" t="inlineStr">
        <is>
          <t>eng</t>
        </is>
      </c>
      <c r="R933" t="inlineStr">
        <is>
          <t>xxu</t>
        </is>
      </c>
      <c r="T933" t="inlineStr">
        <is>
          <t xml:space="preserve">WY </t>
        </is>
      </c>
      <c r="U933" t="n">
        <v>11</v>
      </c>
      <c r="V933" t="n">
        <v>11</v>
      </c>
      <c r="W933" t="inlineStr">
        <is>
          <t>1991-08-02</t>
        </is>
      </c>
      <c r="X933" t="inlineStr">
        <is>
          <t>1991-08-02</t>
        </is>
      </c>
      <c r="Y933" t="inlineStr">
        <is>
          <t>1987-10-22</t>
        </is>
      </c>
      <c r="Z933" t="inlineStr">
        <is>
          <t>1987-10-22</t>
        </is>
      </c>
      <c r="AA933" t="n">
        <v>280</v>
      </c>
      <c r="AB933" t="n">
        <v>236</v>
      </c>
      <c r="AC933" t="n">
        <v>507</v>
      </c>
      <c r="AD933" t="n">
        <v>2</v>
      </c>
      <c r="AE933" t="n">
        <v>4</v>
      </c>
      <c r="AF933" t="n">
        <v>8</v>
      </c>
      <c r="AG933" t="n">
        <v>12</v>
      </c>
      <c r="AH933" t="n">
        <v>3</v>
      </c>
      <c r="AI933" t="n">
        <v>4</v>
      </c>
      <c r="AJ933" t="n">
        <v>0</v>
      </c>
      <c r="AK933" t="n">
        <v>1</v>
      </c>
      <c r="AL933" t="n">
        <v>5</v>
      </c>
      <c r="AM933" t="n">
        <v>9</v>
      </c>
      <c r="AN933" t="n">
        <v>1</v>
      </c>
      <c r="AO933" t="n">
        <v>1</v>
      </c>
      <c r="AP933" t="n">
        <v>0</v>
      </c>
      <c r="AQ933" t="n">
        <v>0</v>
      </c>
      <c r="AR933" t="inlineStr">
        <is>
          <t>No</t>
        </is>
      </c>
      <c r="AS933" t="inlineStr">
        <is>
          <t>Yes</t>
        </is>
      </c>
      <c r="AT933">
        <f>HYPERLINK("http://catalog.hathitrust.org/Record/000762850","HathiTrust Record")</f>
        <v/>
      </c>
      <c r="AU933">
        <f>HYPERLINK("https://creighton-primo.hosted.exlibrisgroup.com/primo-explore/search?tab=default_tab&amp;search_scope=EVERYTHING&amp;vid=01CRU&amp;lang=en_US&amp;offset=0&amp;query=any,contains,991000737629702656","Catalog Record")</f>
        <v/>
      </c>
      <c r="AV933">
        <f>HYPERLINK("http://www.worldcat.org/oclc/7924401","WorldCat Record")</f>
        <v/>
      </c>
      <c r="AW933" t="inlineStr">
        <is>
          <t>3855344871:eng</t>
        </is>
      </c>
      <c r="AX933" t="inlineStr">
        <is>
          <t>7924401</t>
        </is>
      </c>
      <c r="AY933" t="inlineStr">
        <is>
          <t>991000737629702656</t>
        </is>
      </c>
      <c r="AZ933" t="inlineStr">
        <is>
          <t>991000737629702656</t>
        </is>
      </c>
      <c r="BA933" t="inlineStr">
        <is>
          <t>2256520040002656</t>
        </is>
      </c>
      <c r="BB933" t="inlineStr">
        <is>
          <t>BOOK</t>
        </is>
      </c>
      <c r="BD933" t="inlineStr">
        <is>
          <t>9780070238152</t>
        </is>
      </c>
      <c r="BE933" t="inlineStr">
        <is>
          <t>30001000042236</t>
        </is>
      </c>
      <c r="BF933" t="inlineStr">
        <is>
          <t>893540336</t>
        </is>
      </c>
    </row>
    <row r="934">
      <c r="A934" t="inlineStr">
        <is>
          <t>No</t>
        </is>
      </c>
      <c r="B934" t="inlineStr">
        <is>
          <t>CUHSL</t>
        </is>
      </c>
      <c r="C934" t="inlineStr">
        <is>
          <t>SHELVES</t>
        </is>
      </c>
      <c r="D934" t="inlineStr">
        <is>
          <t>WY100 H2359 1996</t>
        </is>
      </c>
      <c r="E934" t="inlineStr">
        <is>
          <t>0                      WY 0100000H  2359        1996</t>
        </is>
      </c>
      <c r="F934" t="inlineStr">
        <is>
          <t>Handbook of nursing case management : health care delivery in a world of managed care / [edited by] Dominick L. Flarey, Suzanne Smith Blancett.</t>
        </is>
      </c>
      <c r="H934" t="inlineStr">
        <is>
          <t>No</t>
        </is>
      </c>
      <c r="I934" t="inlineStr">
        <is>
          <t>1</t>
        </is>
      </c>
      <c r="J934" t="inlineStr">
        <is>
          <t>No</t>
        </is>
      </c>
      <c r="K934" t="inlineStr">
        <is>
          <t>No</t>
        </is>
      </c>
      <c r="L934" t="inlineStr">
        <is>
          <t>0</t>
        </is>
      </c>
      <c r="N934" t="inlineStr">
        <is>
          <t>Gaithersburg, Md. : Aspen Publishers, c1996.</t>
        </is>
      </c>
      <c r="O934" t="inlineStr">
        <is>
          <t>1996</t>
        </is>
      </c>
      <c r="Q934" t="inlineStr">
        <is>
          <t>eng</t>
        </is>
      </c>
      <c r="R934" t="inlineStr">
        <is>
          <t>mdu</t>
        </is>
      </c>
      <c r="T934" t="inlineStr">
        <is>
          <t xml:space="preserve">WY </t>
        </is>
      </c>
      <c r="U934" t="n">
        <v>12</v>
      </c>
      <c r="V934" t="n">
        <v>12</v>
      </c>
      <c r="W934" t="inlineStr">
        <is>
          <t>1996-11-11</t>
        </is>
      </c>
      <c r="X934" t="inlineStr">
        <is>
          <t>1996-11-11</t>
        </is>
      </c>
      <c r="Y934" t="inlineStr">
        <is>
          <t>1996-05-09</t>
        </is>
      </c>
      <c r="Z934" t="inlineStr">
        <is>
          <t>1996-05-09</t>
        </is>
      </c>
      <c r="AA934" t="n">
        <v>281</v>
      </c>
      <c r="AB934" t="n">
        <v>250</v>
      </c>
      <c r="AC934" t="n">
        <v>257</v>
      </c>
      <c r="AD934" t="n">
        <v>3</v>
      </c>
      <c r="AE934" t="n">
        <v>3</v>
      </c>
      <c r="AF934" t="n">
        <v>14</v>
      </c>
      <c r="AG934" t="n">
        <v>14</v>
      </c>
      <c r="AH934" t="n">
        <v>5</v>
      </c>
      <c r="AI934" t="n">
        <v>5</v>
      </c>
      <c r="AJ934" t="n">
        <v>3</v>
      </c>
      <c r="AK934" t="n">
        <v>3</v>
      </c>
      <c r="AL934" t="n">
        <v>7</v>
      </c>
      <c r="AM934" t="n">
        <v>7</v>
      </c>
      <c r="AN934" t="n">
        <v>2</v>
      </c>
      <c r="AO934" t="n">
        <v>2</v>
      </c>
      <c r="AP934" t="n">
        <v>0</v>
      </c>
      <c r="AQ934" t="n">
        <v>0</v>
      </c>
      <c r="AR934" t="inlineStr">
        <is>
          <t>No</t>
        </is>
      </c>
      <c r="AS934" t="inlineStr">
        <is>
          <t>Yes</t>
        </is>
      </c>
      <c r="AT934">
        <f>HYPERLINK("http://catalog.hathitrust.org/Record/003049644","HathiTrust Record")</f>
        <v/>
      </c>
      <c r="AU934">
        <f>HYPERLINK("https://creighton-primo.hosted.exlibrisgroup.com/primo-explore/search?tab=default_tab&amp;search_scope=EVERYTHING&amp;vid=01CRU&amp;lang=en_US&amp;offset=0&amp;query=any,contains,991001488499702656","Catalog Record")</f>
        <v/>
      </c>
      <c r="AV934">
        <f>HYPERLINK("http://www.worldcat.org/oclc/33838218","WorldCat Record")</f>
        <v/>
      </c>
      <c r="AW934" t="inlineStr">
        <is>
          <t>903479958:eng</t>
        </is>
      </c>
      <c r="AX934" t="inlineStr">
        <is>
          <t>33838218</t>
        </is>
      </c>
      <c r="AY934" t="inlineStr">
        <is>
          <t>991001488499702656</t>
        </is>
      </c>
      <c r="AZ934" t="inlineStr">
        <is>
          <t>991001488499702656</t>
        </is>
      </c>
      <c r="BA934" t="inlineStr">
        <is>
          <t>2259395850002656</t>
        </is>
      </c>
      <c r="BB934" t="inlineStr">
        <is>
          <t>BOOK</t>
        </is>
      </c>
      <c r="BD934" t="inlineStr">
        <is>
          <t>9780834207905</t>
        </is>
      </c>
      <c r="BE934" t="inlineStr">
        <is>
          <t>30001003248459</t>
        </is>
      </c>
      <c r="BF934" t="inlineStr">
        <is>
          <t>893364184</t>
        </is>
      </c>
    </row>
    <row r="935">
      <c r="A935" t="inlineStr">
        <is>
          <t>No</t>
        </is>
      </c>
      <c r="B935" t="inlineStr">
        <is>
          <t>CUHSL</t>
        </is>
      </c>
      <c r="C935" t="inlineStr">
        <is>
          <t>SHELVES</t>
        </is>
      </c>
      <c r="D935" t="inlineStr">
        <is>
          <t>WY 100 H4335 1984</t>
        </is>
      </c>
      <c r="E935" t="inlineStr">
        <is>
          <t>0                      WY 0100000H  4335        1984</t>
        </is>
      </c>
      <c r="F935" t="inlineStr">
        <is>
          <t>Health assessment across the life span / [edited by] Dorothy A. Jones, Mary K. Lepley, Bette A. Baker.</t>
        </is>
      </c>
      <c r="H935" t="inlineStr">
        <is>
          <t>No</t>
        </is>
      </c>
      <c r="I935" t="inlineStr">
        <is>
          <t>1</t>
        </is>
      </c>
      <c r="J935" t="inlineStr">
        <is>
          <t>No</t>
        </is>
      </c>
      <c r="K935" t="inlineStr">
        <is>
          <t>No</t>
        </is>
      </c>
      <c r="L935" t="inlineStr">
        <is>
          <t>0</t>
        </is>
      </c>
      <c r="N935" t="inlineStr">
        <is>
          <t>New York : McGraw-Hill, c1984.</t>
        </is>
      </c>
      <c r="O935" t="inlineStr">
        <is>
          <t>1984</t>
        </is>
      </c>
      <c r="Q935" t="inlineStr">
        <is>
          <t>eng</t>
        </is>
      </c>
      <c r="R935" t="inlineStr">
        <is>
          <t>xxu</t>
        </is>
      </c>
      <c r="T935" t="inlineStr">
        <is>
          <t xml:space="preserve">WY </t>
        </is>
      </c>
      <c r="U935" t="n">
        <v>10</v>
      </c>
      <c r="V935" t="n">
        <v>10</v>
      </c>
      <c r="W935" t="inlineStr">
        <is>
          <t>1989-02-09</t>
        </is>
      </c>
      <c r="X935" t="inlineStr">
        <is>
          <t>1989-02-09</t>
        </is>
      </c>
      <c r="Y935" t="inlineStr">
        <is>
          <t>1987-12-29</t>
        </is>
      </c>
      <c r="Z935" t="inlineStr">
        <is>
          <t>1987-12-29</t>
        </is>
      </c>
      <c r="AA935" t="n">
        <v>230</v>
      </c>
      <c r="AB935" t="n">
        <v>183</v>
      </c>
      <c r="AC935" t="n">
        <v>190</v>
      </c>
      <c r="AD935" t="n">
        <v>2</v>
      </c>
      <c r="AE935" t="n">
        <v>2</v>
      </c>
      <c r="AF935" t="n">
        <v>4</v>
      </c>
      <c r="AG935" t="n">
        <v>4</v>
      </c>
      <c r="AH935" t="n">
        <v>2</v>
      </c>
      <c r="AI935" t="n">
        <v>2</v>
      </c>
      <c r="AJ935" t="n">
        <v>0</v>
      </c>
      <c r="AK935" t="n">
        <v>0</v>
      </c>
      <c r="AL935" t="n">
        <v>1</v>
      </c>
      <c r="AM935" t="n">
        <v>1</v>
      </c>
      <c r="AN935" t="n">
        <v>1</v>
      </c>
      <c r="AO935" t="n">
        <v>1</v>
      </c>
      <c r="AP935" t="n">
        <v>0</v>
      </c>
      <c r="AQ935" t="n">
        <v>0</v>
      </c>
      <c r="AR935" t="inlineStr">
        <is>
          <t>No</t>
        </is>
      </c>
      <c r="AS935" t="inlineStr">
        <is>
          <t>Yes</t>
        </is>
      </c>
      <c r="AT935">
        <f>HYPERLINK("http://catalog.hathitrust.org/Record/000163126","HathiTrust Record")</f>
        <v/>
      </c>
      <c r="AU935">
        <f>HYPERLINK("https://creighton-primo.hosted.exlibrisgroup.com/primo-explore/search?tab=default_tab&amp;search_scope=EVERYTHING&amp;vid=01CRU&amp;lang=en_US&amp;offset=0&amp;query=any,contains,991001144249702656","Catalog Record")</f>
        <v/>
      </c>
      <c r="AV935">
        <f>HYPERLINK("http://www.worldcat.org/oclc/9533423","WorldCat Record")</f>
        <v/>
      </c>
      <c r="AW935" t="inlineStr">
        <is>
          <t>405616:eng</t>
        </is>
      </c>
      <c r="AX935" t="inlineStr">
        <is>
          <t>9533423</t>
        </is>
      </c>
      <c r="AY935" t="inlineStr">
        <is>
          <t>991001144249702656</t>
        </is>
      </c>
      <c r="AZ935" t="inlineStr">
        <is>
          <t>991001144249702656</t>
        </is>
      </c>
      <c r="BA935" t="inlineStr">
        <is>
          <t>2259042490002656</t>
        </is>
      </c>
      <c r="BB935" t="inlineStr">
        <is>
          <t>BOOK</t>
        </is>
      </c>
      <c r="BD935" t="inlineStr">
        <is>
          <t>9780070328051</t>
        </is>
      </c>
      <c r="BE935" t="inlineStr">
        <is>
          <t>30001000291403</t>
        </is>
      </c>
      <c r="BF935" t="inlineStr">
        <is>
          <t>893161709</t>
        </is>
      </c>
    </row>
    <row r="936">
      <c r="A936" t="inlineStr">
        <is>
          <t>No</t>
        </is>
      </c>
      <c r="B936" t="inlineStr">
        <is>
          <t>CUHSL</t>
        </is>
      </c>
      <c r="C936" t="inlineStr">
        <is>
          <t>SHELVES</t>
        </is>
      </c>
      <c r="D936" t="inlineStr">
        <is>
          <t>WY 100 H4338 1994</t>
        </is>
      </c>
      <c r="E936" t="inlineStr">
        <is>
          <t>0                      WY 0100000H  4338        1994</t>
        </is>
      </c>
      <c r="F936" t="inlineStr">
        <is>
          <t>Health policy and nursing : crisis and reform in the U.S. health care delivery system / edited by Charlene Harrington, Carroll L. Estes ; Tom Ferentz, photographer.</t>
        </is>
      </c>
      <c r="H936" t="inlineStr">
        <is>
          <t>No</t>
        </is>
      </c>
      <c r="I936" t="inlineStr">
        <is>
          <t>1</t>
        </is>
      </c>
      <c r="J936" t="inlineStr">
        <is>
          <t>No</t>
        </is>
      </c>
      <c r="K936" t="inlineStr">
        <is>
          <t>No</t>
        </is>
      </c>
      <c r="L936" t="inlineStr">
        <is>
          <t>0</t>
        </is>
      </c>
      <c r="N936" t="inlineStr">
        <is>
          <t>Boston : Jones and Bartlett Publishers, c1994.</t>
        </is>
      </c>
      <c r="O936" t="inlineStr">
        <is>
          <t>1994</t>
        </is>
      </c>
      <c r="Q936" t="inlineStr">
        <is>
          <t>eng</t>
        </is>
      </c>
      <c r="R936" t="inlineStr">
        <is>
          <t>mau</t>
        </is>
      </c>
      <c r="T936" t="inlineStr">
        <is>
          <t xml:space="preserve">WY </t>
        </is>
      </c>
      <c r="U936" t="n">
        <v>4</v>
      </c>
      <c r="V936" t="n">
        <v>4</v>
      </c>
      <c r="W936" t="inlineStr">
        <is>
          <t>1996-06-17</t>
        </is>
      </c>
      <c r="X936" t="inlineStr">
        <is>
          <t>1996-06-17</t>
        </is>
      </c>
      <c r="Y936" t="inlineStr">
        <is>
          <t>1994-01-25</t>
        </is>
      </c>
      <c r="Z936" t="inlineStr">
        <is>
          <t>1994-01-25</t>
        </is>
      </c>
      <c r="AA936" t="n">
        <v>213</v>
      </c>
      <c r="AB936" t="n">
        <v>191</v>
      </c>
      <c r="AC936" t="n">
        <v>1082</v>
      </c>
      <c r="AD936" t="n">
        <v>3</v>
      </c>
      <c r="AE936" t="n">
        <v>4</v>
      </c>
      <c r="AF936" t="n">
        <v>12</v>
      </c>
      <c r="AG936" t="n">
        <v>25</v>
      </c>
      <c r="AH936" t="n">
        <v>6</v>
      </c>
      <c r="AI936" t="n">
        <v>15</v>
      </c>
      <c r="AJ936" t="n">
        <v>2</v>
      </c>
      <c r="AK936" t="n">
        <v>5</v>
      </c>
      <c r="AL936" t="n">
        <v>8</v>
      </c>
      <c r="AM936" t="n">
        <v>11</v>
      </c>
      <c r="AN936" t="n">
        <v>2</v>
      </c>
      <c r="AO936" t="n">
        <v>3</v>
      </c>
      <c r="AP936" t="n">
        <v>0</v>
      </c>
      <c r="AQ936" t="n">
        <v>0</v>
      </c>
      <c r="AR936" t="inlineStr">
        <is>
          <t>No</t>
        </is>
      </c>
      <c r="AS936" t="inlineStr">
        <is>
          <t>Yes</t>
        </is>
      </c>
      <c r="AT936">
        <f>HYPERLINK("http://catalog.hathitrust.org/Record/002795320","HathiTrust Record")</f>
        <v/>
      </c>
      <c r="AU936">
        <f>HYPERLINK("https://creighton-primo.hosted.exlibrisgroup.com/primo-explore/search?tab=default_tab&amp;search_scope=EVERYTHING&amp;vid=01CRU&amp;lang=en_US&amp;offset=0&amp;query=any,contains,991000649519702656","Catalog Record")</f>
        <v/>
      </c>
      <c r="AV936">
        <f>HYPERLINK("http://www.worldcat.org/oclc/28294995","WorldCat Record")</f>
        <v/>
      </c>
      <c r="AW936" t="inlineStr">
        <is>
          <t>2487735453:eng</t>
        </is>
      </c>
      <c r="AX936" t="inlineStr">
        <is>
          <t>28294995</t>
        </is>
      </c>
      <c r="AY936" t="inlineStr">
        <is>
          <t>991000649519702656</t>
        </is>
      </c>
      <c r="AZ936" t="inlineStr">
        <is>
          <t>991000649519702656</t>
        </is>
      </c>
      <c r="BA936" t="inlineStr">
        <is>
          <t>2258569570002656</t>
        </is>
      </c>
      <c r="BB936" t="inlineStr">
        <is>
          <t>BOOK</t>
        </is>
      </c>
      <c r="BD936" t="inlineStr">
        <is>
          <t>9780867208139</t>
        </is>
      </c>
      <c r="BE936" t="inlineStr">
        <is>
          <t>30001002690875</t>
        </is>
      </c>
      <c r="BF936" t="inlineStr">
        <is>
          <t>893283287</t>
        </is>
      </c>
    </row>
    <row r="937">
      <c r="A937" t="inlineStr">
        <is>
          <t>No</t>
        </is>
      </c>
      <c r="B937" t="inlineStr">
        <is>
          <t>CUHSL</t>
        </is>
      </c>
      <c r="C937" t="inlineStr">
        <is>
          <t>SHELVES</t>
        </is>
      </c>
      <c r="D937" t="inlineStr">
        <is>
          <t>WY 100 H4343 1990</t>
        </is>
      </c>
      <c r="E937" t="inlineStr">
        <is>
          <t>0                      WY 0100000H  4343        1990</t>
        </is>
      </c>
      <c r="F937" t="inlineStr">
        <is>
          <t>Health promotion throughout the lifespan / [edited by] Carole Lium Edelman, Carol Lynn Mandle.</t>
        </is>
      </c>
      <c r="H937" t="inlineStr">
        <is>
          <t>No</t>
        </is>
      </c>
      <c r="I937" t="inlineStr">
        <is>
          <t>1</t>
        </is>
      </c>
      <c r="J937" t="inlineStr">
        <is>
          <t>No</t>
        </is>
      </c>
      <c r="K937" t="inlineStr">
        <is>
          <t>Yes</t>
        </is>
      </c>
      <c r="L937" t="inlineStr">
        <is>
          <t>0</t>
        </is>
      </c>
      <c r="N937" t="inlineStr">
        <is>
          <t>St. Louis : Mosby, c1990.</t>
        </is>
      </c>
      <c r="O937" t="inlineStr">
        <is>
          <t>1990</t>
        </is>
      </c>
      <c r="P937" t="inlineStr">
        <is>
          <t>2nd ed.</t>
        </is>
      </c>
      <c r="Q937" t="inlineStr">
        <is>
          <t>eng</t>
        </is>
      </c>
      <c r="R937" t="inlineStr">
        <is>
          <t>xxu</t>
        </is>
      </c>
      <c r="T937" t="inlineStr">
        <is>
          <t xml:space="preserve">WY </t>
        </is>
      </c>
      <c r="U937" t="n">
        <v>17</v>
      </c>
      <c r="V937" t="n">
        <v>17</v>
      </c>
      <c r="W937" t="inlineStr">
        <is>
          <t>1999-11-09</t>
        </is>
      </c>
      <c r="X937" t="inlineStr">
        <is>
          <t>1999-11-09</t>
        </is>
      </c>
      <c r="Y937" t="inlineStr">
        <is>
          <t>1990-06-29</t>
        </is>
      </c>
      <c r="Z937" t="inlineStr">
        <is>
          <t>1990-06-29</t>
        </is>
      </c>
      <c r="AA937" t="n">
        <v>328</v>
      </c>
      <c r="AB937" t="n">
        <v>241</v>
      </c>
      <c r="AC937" t="n">
        <v>1136</v>
      </c>
      <c r="AD937" t="n">
        <v>3</v>
      </c>
      <c r="AE937" t="n">
        <v>9</v>
      </c>
      <c r="AF937" t="n">
        <v>7</v>
      </c>
      <c r="AG937" t="n">
        <v>40</v>
      </c>
      <c r="AH937" t="n">
        <v>2</v>
      </c>
      <c r="AI937" t="n">
        <v>17</v>
      </c>
      <c r="AJ937" t="n">
        <v>2</v>
      </c>
      <c r="AK937" t="n">
        <v>7</v>
      </c>
      <c r="AL937" t="n">
        <v>5</v>
      </c>
      <c r="AM937" t="n">
        <v>16</v>
      </c>
      <c r="AN937" t="n">
        <v>1</v>
      </c>
      <c r="AO937" t="n">
        <v>7</v>
      </c>
      <c r="AP937" t="n">
        <v>0</v>
      </c>
      <c r="AQ937" t="n">
        <v>0</v>
      </c>
      <c r="AR937" t="inlineStr">
        <is>
          <t>No</t>
        </is>
      </c>
      <c r="AS937" t="inlineStr">
        <is>
          <t>Yes</t>
        </is>
      </c>
      <c r="AT937">
        <f>HYPERLINK("http://catalog.hathitrust.org/Record/002064164","HathiTrust Record")</f>
        <v/>
      </c>
      <c r="AU937">
        <f>HYPERLINK("https://creighton-primo.hosted.exlibrisgroup.com/primo-explore/search?tab=default_tab&amp;search_scope=EVERYTHING&amp;vid=01CRU&amp;lang=en_US&amp;offset=0&amp;query=any,contains,991001450519702656","Catalog Record")</f>
        <v/>
      </c>
      <c r="AV937">
        <f>HYPERLINK("http://www.worldcat.org/oclc/20594599","WorldCat Record")</f>
        <v/>
      </c>
      <c r="AW937" t="inlineStr">
        <is>
          <t>364695445:eng</t>
        </is>
      </c>
      <c r="AX937" t="inlineStr">
        <is>
          <t>20594599</t>
        </is>
      </c>
      <c r="AY937" t="inlineStr">
        <is>
          <t>991001450519702656</t>
        </is>
      </c>
      <c r="AZ937" t="inlineStr">
        <is>
          <t>991001450519702656</t>
        </is>
      </c>
      <c r="BA937" t="inlineStr">
        <is>
          <t>2268189460002656</t>
        </is>
      </c>
      <c r="BB937" t="inlineStr">
        <is>
          <t>BOOK</t>
        </is>
      </c>
      <c r="BD937" t="inlineStr">
        <is>
          <t>9780801632600</t>
        </is>
      </c>
      <c r="BE937" t="inlineStr">
        <is>
          <t>30001001882788</t>
        </is>
      </c>
      <c r="BF937" t="inlineStr">
        <is>
          <t>893279118</t>
        </is>
      </c>
    </row>
    <row r="938">
      <c r="A938" t="inlineStr">
        <is>
          <t>No</t>
        </is>
      </c>
      <c r="B938" t="inlineStr">
        <is>
          <t>CUHSL</t>
        </is>
      </c>
      <c r="C938" t="inlineStr">
        <is>
          <t>SHELVES</t>
        </is>
      </c>
      <c r="D938" t="inlineStr">
        <is>
          <t>WY 100 H4343 1998</t>
        </is>
      </c>
      <c r="E938" t="inlineStr">
        <is>
          <t>0                      WY 0100000H  4343        1998</t>
        </is>
      </c>
      <c r="F938" t="inlineStr">
        <is>
          <t>Health promotion throughout the lifespan / [edited by] Carole Lium Edelman, Carol Lynn Mandle.</t>
        </is>
      </c>
      <c r="H938" t="inlineStr">
        <is>
          <t>No</t>
        </is>
      </c>
      <c r="I938" t="inlineStr">
        <is>
          <t>1</t>
        </is>
      </c>
      <c r="J938" t="inlineStr">
        <is>
          <t>No</t>
        </is>
      </c>
      <c r="K938" t="inlineStr">
        <is>
          <t>Yes</t>
        </is>
      </c>
      <c r="L938" t="inlineStr">
        <is>
          <t>0</t>
        </is>
      </c>
      <c r="N938" t="inlineStr">
        <is>
          <t>St. Louis : Mosby, c1998.</t>
        </is>
      </c>
      <c r="O938" t="inlineStr">
        <is>
          <t>1998</t>
        </is>
      </c>
      <c r="P938" t="inlineStr">
        <is>
          <t>4th ed.</t>
        </is>
      </c>
      <c r="Q938" t="inlineStr">
        <is>
          <t>eng</t>
        </is>
      </c>
      <c r="R938" t="inlineStr">
        <is>
          <t>mou</t>
        </is>
      </c>
      <c r="T938" t="inlineStr">
        <is>
          <t xml:space="preserve">WY </t>
        </is>
      </c>
      <c r="U938" t="n">
        <v>10</v>
      </c>
      <c r="V938" t="n">
        <v>10</v>
      </c>
      <c r="W938" t="inlineStr">
        <is>
          <t>2001-02-11</t>
        </is>
      </c>
      <c r="X938" t="inlineStr">
        <is>
          <t>2001-02-11</t>
        </is>
      </c>
      <c r="Y938" t="inlineStr">
        <is>
          <t>1998-02-27</t>
        </is>
      </c>
      <c r="Z938" t="inlineStr">
        <is>
          <t>1998-02-27</t>
        </is>
      </c>
      <c r="AA938" t="n">
        <v>365</v>
      </c>
      <c r="AB938" t="n">
        <v>264</v>
      </c>
      <c r="AC938" t="n">
        <v>1136</v>
      </c>
      <c r="AD938" t="n">
        <v>2</v>
      </c>
      <c r="AE938" t="n">
        <v>9</v>
      </c>
      <c r="AF938" t="n">
        <v>9</v>
      </c>
      <c r="AG938" t="n">
        <v>40</v>
      </c>
      <c r="AH938" t="n">
        <v>2</v>
      </c>
      <c r="AI938" t="n">
        <v>17</v>
      </c>
      <c r="AJ938" t="n">
        <v>4</v>
      </c>
      <c r="AK938" t="n">
        <v>7</v>
      </c>
      <c r="AL938" t="n">
        <v>4</v>
      </c>
      <c r="AM938" t="n">
        <v>16</v>
      </c>
      <c r="AN938" t="n">
        <v>1</v>
      </c>
      <c r="AO938" t="n">
        <v>7</v>
      </c>
      <c r="AP938" t="n">
        <v>0</v>
      </c>
      <c r="AQ938" t="n">
        <v>0</v>
      </c>
      <c r="AR938" t="inlineStr">
        <is>
          <t>No</t>
        </is>
      </c>
      <c r="AS938" t="inlineStr">
        <is>
          <t>Yes</t>
        </is>
      </c>
      <c r="AT938">
        <f>HYPERLINK("http://catalog.hathitrust.org/Record/003959837","HathiTrust Record")</f>
        <v/>
      </c>
      <c r="AU938">
        <f>HYPERLINK("https://creighton-primo.hosted.exlibrisgroup.com/primo-explore/search?tab=default_tab&amp;search_scope=EVERYTHING&amp;vid=01CRU&amp;lang=en_US&amp;offset=0&amp;query=any,contains,991001305909702656","Catalog Record")</f>
        <v/>
      </c>
      <c r="AV938">
        <f>HYPERLINK("http://www.worldcat.org/oclc/37615817","WorldCat Record")</f>
        <v/>
      </c>
      <c r="AW938" t="inlineStr">
        <is>
          <t>364695445:eng</t>
        </is>
      </c>
      <c r="AX938" t="inlineStr">
        <is>
          <t>37615817</t>
        </is>
      </c>
      <c r="AY938" t="inlineStr">
        <is>
          <t>991001305909702656</t>
        </is>
      </c>
      <c r="AZ938" t="inlineStr">
        <is>
          <t>991001305909702656</t>
        </is>
      </c>
      <c r="BA938" t="inlineStr">
        <is>
          <t>2259639090002656</t>
        </is>
      </c>
      <c r="BB938" t="inlineStr">
        <is>
          <t>BOOK</t>
        </is>
      </c>
      <c r="BD938" t="inlineStr">
        <is>
          <t>9780815123897</t>
        </is>
      </c>
      <c r="BE938" t="inlineStr">
        <is>
          <t>30001003749811</t>
        </is>
      </c>
      <c r="BF938" t="inlineStr">
        <is>
          <t>893465394</t>
        </is>
      </c>
    </row>
    <row r="939">
      <c r="A939" t="inlineStr">
        <is>
          <t>No</t>
        </is>
      </c>
      <c r="B939" t="inlineStr">
        <is>
          <t>CUHSL</t>
        </is>
      </c>
      <c r="C939" t="inlineStr">
        <is>
          <t>SHELVES</t>
        </is>
      </c>
      <c r="D939" t="inlineStr">
        <is>
          <t>WY100 H4343 2006</t>
        </is>
      </c>
      <c r="E939" t="inlineStr">
        <is>
          <t>0                      WY 0100000H  4343        2006</t>
        </is>
      </c>
      <c r="F939" t="inlineStr">
        <is>
          <t>Health promotion throughout the lifespan / [edited by] Carole Lium Edelman, Carol Lynn Mandle.</t>
        </is>
      </c>
      <c r="H939" t="inlineStr">
        <is>
          <t>No</t>
        </is>
      </c>
      <c r="I939" t="inlineStr">
        <is>
          <t>1</t>
        </is>
      </c>
      <c r="J939" t="inlineStr">
        <is>
          <t>No</t>
        </is>
      </c>
      <c r="K939" t="inlineStr">
        <is>
          <t>Yes</t>
        </is>
      </c>
      <c r="L939" t="inlineStr">
        <is>
          <t>0</t>
        </is>
      </c>
      <c r="N939" t="inlineStr">
        <is>
          <t>St. Louis, Mo. : Mosby Elsevier, c2006.</t>
        </is>
      </c>
      <c r="O939" t="inlineStr">
        <is>
          <t>2006</t>
        </is>
      </c>
      <c r="P939" t="inlineStr">
        <is>
          <t>6th ed.</t>
        </is>
      </c>
      <c r="Q939" t="inlineStr">
        <is>
          <t>eng</t>
        </is>
      </c>
      <c r="R939" t="inlineStr">
        <is>
          <t>mou</t>
        </is>
      </c>
      <c r="T939" t="inlineStr">
        <is>
          <t xml:space="preserve">WY </t>
        </is>
      </c>
      <c r="U939" t="n">
        <v>1</v>
      </c>
      <c r="V939" t="n">
        <v>1</v>
      </c>
      <c r="W939" t="inlineStr">
        <is>
          <t>2010-08-26</t>
        </is>
      </c>
      <c r="X939" t="inlineStr">
        <is>
          <t>2010-08-26</t>
        </is>
      </c>
      <c r="Y939" t="inlineStr">
        <is>
          <t>2006-04-06</t>
        </is>
      </c>
      <c r="Z939" t="inlineStr">
        <is>
          <t>2006-04-06</t>
        </is>
      </c>
      <c r="AA939" t="n">
        <v>474</v>
      </c>
      <c r="AB939" t="n">
        <v>334</v>
      </c>
      <c r="AC939" t="n">
        <v>1136</v>
      </c>
      <c r="AD939" t="n">
        <v>4</v>
      </c>
      <c r="AE939" t="n">
        <v>9</v>
      </c>
      <c r="AF939" t="n">
        <v>14</v>
      </c>
      <c r="AG939" t="n">
        <v>40</v>
      </c>
      <c r="AH939" t="n">
        <v>5</v>
      </c>
      <c r="AI939" t="n">
        <v>17</v>
      </c>
      <c r="AJ939" t="n">
        <v>3</v>
      </c>
      <c r="AK939" t="n">
        <v>7</v>
      </c>
      <c r="AL939" t="n">
        <v>3</v>
      </c>
      <c r="AM939" t="n">
        <v>16</v>
      </c>
      <c r="AN939" t="n">
        <v>3</v>
      </c>
      <c r="AO939" t="n">
        <v>7</v>
      </c>
      <c r="AP939" t="n">
        <v>0</v>
      </c>
      <c r="AQ939" t="n">
        <v>0</v>
      </c>
      <c r="AR939" t="inlineStr">
        <is>
          <t>No</t>
        </is>
      </c>
      <c r="AS939" t="inlineStr">
        <is>
          <t>No</t>
        </is>
      </c>
      <c r="AU939">
        <f>HYPERLINK("https://creighton-primo.hosted.exlibrisgroup.com/primo-explore/search?tab=default_tab&amp;search_scope=EVERYTHING&amp;vid=01CRU&amp;lang=en_US&amp;offset=0&amp;query=any,contains,991001738439702656","Catalog Record")</f>
        <v/>
      </c>
      <c r="AV939">
        <f>HYPERLINK("http://www.worldcat.org/oclc/250173303","WorldCat Record")</f>
        <v/>
      </c>
      <c r="AW939" t="inlineStr">
        <is>
          <t>364695445:eng</t>
        </is>
      </c>
      <c r="AX939" t="inlineStr">
        <is>
          <t>250173303</t>
        </is>
      </c>
      <c r="AY939" t="inlineStr">
        <is>
          <t>991001738439702656</t>
        </is>
      </c>
      <c r="AZ939" t="inlineStr">
        <is>
          <t>991001738439702656</t>
        </is>
      </c>
      <c r="BA939" t="inlineStr">
        <is>
          <t>2271029750002656</t>
        </is>
      </c>
      <c r="BB939" t="inlineStr">
        <is>
          <t>BOOK</t>
        </is>
      </c>
      <c r="BD939" t="inlineStr">
        <is>
          <t>9780323031288</t>
        </is>
      </c>
      <c r="BE939" t="inlineStr">
        <is>
          <t>30001005126125</t>
        </is>
      </c>
      <c r="BF939" t="inlineStr">
        <is>
          <t>893279357</t>
        </is>
      </c>
    </row>
    <row r="940">
      <c r="A940" t="inlineStr">
        <is>
          <t>No</t>
        </is>
      </c>
      <c r="B940" t="inlineStr">
        <is>
          <t>CUHSL</t>
        </is>
      </c>
      <c r="C940" t="inlineStr">
        <is>
          <t>SHELVES</t>
        </is>
      </c>
      <c r="D940" t="inlineStr">
        <is>
          <t>WY 100 H522s 2004</t>
        </is>
      </c>
      <c r="E940" t="inlineStr">
        <is>
          <t>0                      WY 0100000H  522s        2004</t>
        </is>
      </c>
      <c r="F940" t="inlineStr">
        <is>
          <t>The soul of the caring nurse : stories and resources for revitalizing professional passion / by Linda Gambee Henry and James Douglas Henry.</t>
        </is>
      </c>
      <c r="H940" t="inlineStr">
        <is>
          <t>No</t>
        </is>
      </c>
      <c r="I940" t="inlineStr">
        <is>
          <t>1</t>
        </is>
      </c>
      <c r="J940" t="inlineStr">
        <is>
          <t>No</t>
        </is>
      </c>
      <c r="K940" t="inlineStr">
        <is>
          <t>No</t>
        </is>
      </c>
      <c r="L940" t="inlineStr">
        <is>
          <t>0</t>
        </is>
      </c>
      <c r="M940" t="inlineStr">
        <is>
          <t>Henry, Linda Gambee.</t>
        </is>
      </c>
      <c r="N940" t="inlineStr">
        <is>
          <t>Washington, DC : Nursesbooks.org, 2004.</t>
        </is>
      </c>
      <c r="O940" t="inlineStr">
        <is>
          <t>2004</t>
        </is>
      </c>
      <c r="Q940" t="inlineStr">
        <is>
          <t>eng</t>
        </is>
      </c>
      <c r="R940" t="inlineStr">
        <is>
          <t>dcu</t>
        </is>
      </c>
      <c r="T940" t="inlineStr">
        <is>
          <t xml:space="preserve">WY </t>
        </is>
      </c>
      <c r="U940" t="n">
        <v>2</v>
      </c>
      <c r="V940" t="n">
        <v>2</v>
      </c>
      <c r="W940" t="inlineStr">
        <is>
          <t>2005-09-29</t>
        </is>
      </c>
      <c r="X940" t="inlineStr">
        <is>
          <t>2005-09-29</t>
        </is>
      </c>
      <c r="Y940" t="inlineStr">
        <is>
          <t>2004-06-25</t>
        </is>
      </c>
      <c r="Z940" t="inlineStr">
        <is>
          <t>2004-06-25</t>
        </is>
      </c>
      <c r="AA940" t="n">
        <v>216</v>
      </c>
      <c r="AB940" t="n">
        <v>203</v>
      </c>
      <c r="AC940" t="n">
        <v>205</v>
      </c>
      <c r="AD940" t="n">
        <v>3</v>
      </c>
      <c r="AE940" t="n">
        <v>3</v>
      </c>
      <c r="AF940" t="n">
        <v>10</v>
      </c>
      <c r="AG940" t="n">
        <v>10</v>
      </c>
      <c r="AH940" t="n">
        <v>2</v>
      </c>
      <c r="AI940" t="n">
        <v>2</v>
      </c>
      <c r="AJ940" t="n">
        <v>3</v>
      </c>
      <c r="AK940" t="n">
        <v>3</v>
      </c>
      <c r="AL940" t="n">
        <v>4</v>
      </c>
      <c r="AM940" t="n">
        <v>4</v>
      </c>
      <c r="AN940" t="n">
        <v>2</v>
      </c>
      <c r="AO940" t="n">
        <v>2</v>
      </c>
      <c r="AP940" t="n">
        <v>0</v>
      </c>
      <c r="AQ940" t="n">
        <v>0</v>
      </c>
      <c r="AR940" t="inlineStr">
        <is>
          <t>No</t>
        </is>
      </c>
      <c r="AS940" t="inlineStr">
        <is>
          <t>Yes</t>
        </is>
      </c>
      <c r="AT940">
        <f>HYPERLINK("http://catalog.hathitrust.org/Record/004925368","HathiTrust Record")</f>
        <v/>
      </c>
      <c r="AU940">
        <f>HYPERLINK("https://creighton-primo.hosted.exlibrisgroup.com/primo-explore/search?tab=default_tab&amp;search_scope=EVERYTHING&amp;vid=01CRU&amp;lang=en_US&amp;offset=0&amp;query=any,contains,991001728419702656","Catalog Record")</f>
        <v/>
      </c>
      <c r="AV940">
        <f>HYPERLINK("http://www.worldcat.org/oclc/54817184","WorldCat Record")</f>
        <v/>
      </c>
      <c r="AW940" t="inlineStr">
        <is>
          <t>998783:eng</t>
        </is>
      </c>
      <c r="AX940" t="inlineStr">
        <is>
          <t>54817184</t>
        </is>
      </c>
      <c r="AY940" t="inlineStr">
        <is>
          <t>991001728419702656</t>
        </is>
      </c>
      <c r="AZ940" t="inlineStr">
        <is>
          <t>991001728419702656</t>
        </is>
      </c>
      <c r="BA940" t="inlineStr">
        <is>
          <t>2265500620002656</t>
        </is>
      </c>
      <c r="BB940" t="inlineStr">
        <is>
          <t>BOOK</t>
        </is>
      </c>
      <c r="BD940" t="inlineStr">
        <is>
          <t>9781558102194</t>
        </is>
      </c>
      <c r="BE940" t="inlineStr">
        <is>
          <t>30001004218774</t>
        </is>
      </c>
      <c r="BF940" t="inlineStr">
        <is>
          <t>893649400</t>
        </is>
      </c>
    </row>
    <row r="941">
      <c r="A941" t="inlineStr">
        <is>
          <t>No</t>
        </is>
      </c>
      <c r="B941" t="inlineStr">
        <is>
          <t>CUHSL</t>
        </is>
      </c>
      <c r="C941" t="inlineStr">
        <is>
          <t>SHELVES</t>
        </is>
      </c>
      <c r="D941" t="inlineStr">
        <is>
          <t>WY 100 H918 1982</t>
        </is>
      </c>
      <c r="E941" t="inlineStr">
        <is>
          <t>0                      WY 0100000H  918         1982</t>
        </is>
      </c>
      <c r="F941" t="inlineStr">
        <is>
          <t>Human needs 2 and the nursing process / edited by Helen Yura, Mary B. Walsh.</t>
        </is>
      </c>
      <c r="H941" t="inlineStr">
        <is>
          <t>No</t>
        </is>
      </c>
      <c r="I941" t="inlineStr">
        <is>
          <t>1</t>
        </is>
      </c>
      <c r="J941" t="inlineStr">
        <is>
          <t>No</t>
        </is>
      </c>
      <c r="K941" t="inlineStr">
        <is>
          <t>No</t>
        </is>
      </c>
      <c r="L941" t="inlineStr">
        <is>
          <t>0</t>
        </is>
      </c>
      <c r="N941" t="inlineStr">
        <is>
          <t>New York : Appleton-Century-Crofts, c1982.</t>
        </is>
      </c>
      <c r="O941" t="inlineStr">
        <is>
          <t>1982</t>
        </is>
      </c>
      <c r="Q941" t="inlineStr">
        <is>
          <t>eng</t>
        </is>
      </c>
      <c r="R941" t="inlineStr">
        <is>
          <t>xxu</t>
        </is>
      </c>
      <c r="T941" t="inlineStr">
        <is>
          <t xml:space="preserve">WY </t>
        </is>
      </c>
      <c r="U941" t="n">
        <v>3</v>
      </c>
      <c r="V941" t="n">
        <v>3</v>
      </c>
      <c r="W941" t="inlineStr">
        <is>
          <t>1990-10-25</t>
        </is>
      </c>
      <c r="X941" t="inlineStr">
        <is>
          <t>1990-10-25</t>
        </is>
      </c>
      <c r="Y941" t="inlineStr">
        <is>
          <t>1987-12-29</t>
        </is>
      </c>
      <c r="Z941" t="inlineStr">
        <is>
          <t>1987-12-29</t>
        </is>
      </c>
      <c r="AA941" t="n">
        <v>187</v>
      </c>
      <c r="AB941" t="n">
        <v>143</v>
      </c>
      <c r="AC941" t="n">
        <v>143</v>
      </c>
      <c r="AD941" t="n">
        <v>1</v>
      </c>
      <c r="AE941" t="n">
        <v>1</v>
      </c>
      <c r="AF941" t="n">
        <v>4</v>
      </c>
      <c r="AG941" t="n">
        <v>4</v>
      </c>
      <c r="AH941" t="n">
        <v>3</v>
      </c>
      <c r="AI941" t="n">
        <v>3</v>
      </c>
      <c r="AJ941" t="n">
        <v>0</v>
      </c>
      <c r="AK941" t="n">
        <v>0</v>
      </c>
      <c r="AL941" t="n">
        <v>2</v>
      </c>
      <c r="AM941" t="n">
        <v>2</v>
      </c>
      <c r="AN941" t="n">
        <v>0</v>
      </c>
      <c r="AO941" t="n">
        <v>0</v>
      </c>
      <c r="AP941" t="n">
        <v>0</v>
      </c>
      <c r="AQ941" t="n">
        <v>0</v>
      </c>
      <c r="AR941" t="inlineStr">
        <is>
          <t>No</t>
        </is>
      </c>
      <c r="AS941" t="inlineStr">
        <is>
          <t>No</t>
        </is>
      </c>
      <c r="AU941">
        <f>HYPERLINK("https://creighton-primo.hosted.exlibrisgroup.com/primo-explore/search?tab=default_tab&amp;search_scope=EVERYTHING&amp;vid=01CRU&amp;lang=en_US&amp;offset=0&amp;query=any,contains,991001144409702656","Catalog Record")</f>
        <v/>
      </c>
      <c r="AV941">
        <f>HYPERLINK("http://www.worldcat.org/oclc/8283177","WorldCat Record")</f>
        <v/>
      </c>
      <c r="AW941" t="inlineStr">
        <is>
          <t>2869644544:eng</t>
        </is>
      </c>
      <c r="AX941" t="inlineStr">
        <is>
          <t>8283177</t>
        </is>
      </c>
      <c r="AY941" t="inlineStr">
        <is>
          <t>991001144409702656</t>
        </is>
      </c>
      <c r="AZ941" t="inlineStr">
        <is>
          <t>991001144409702656</t>
        </is>
      </c>
      <c r="BA941" t="inlineStr">
        <is>
          <t>2265180020002656</t>
        </is>
      </c>
      <c r="BB941" t="inlineStr">
        <is>
          <t>BOOK</t>
        </is>
      </c>
      <c r="BD941" t="inlineStr">
        <is>
          <t>9780838539422</t>
        </is>
      </c>
      <c r="BE941" t="inlineStr">
        <is>
          <t>30001000291452</t>
        </is>
      </c>
      <c r="BF941" t="inlineStr">
        <is>
          <t>893465230</t>
        </is>
      </c>
    </row>
    <row r="942">
      <c r="A942" t="inlineStr">
        <is>
          <t>No</t>
        </is>
      </c>
      <c r="B942" t="inlineStr">
        <is>
          <t>CUHSL</t>
        </is>
      </c>
      <c r="C942" t="inlineStr">
        <is>
          <t>SHELVES</t>
        </is>
      </c>
      <c r="D942" t="inlineStr">
        <is>
          <t>WY 100 H918 1983</t>
        </is>
      </c>
      <c r="E942" t="inlineStr">
        <is>
          <t>0                      WY 0100000H  918         1983</t>
        </is>
      </c>
      <c r="F942" t="inlineStr">
        <is>
          <t>Human needs 3 and the nursing process / edited by Helen Yura, Mary B. Walsh.</t>
        </is>
      </c>
      <c r="H942" t="inlineStr">
        <is>
          <t>No</t>
        </is>
      </c>
      <c r="I942" t="inlineStr">
        <is>
          <t>1</t>
        </is>
      </c>
      <c r="J942" t="inlineStr">
        <is>
          <t>No</t>
        </is>
      </c>
      <c r="K942" t="inlineStr">
        <is>
          <t>No</t>
        </is>
      </c>
      <c r="L942" t="inlineStr">
        <is>
          <t>0</t>
        </is>
      </c>
      <c r="N942" t="inlineStr">
        <is>
          <t>Norwalk, Conn. : Appleton-Century-Crofts, c1983.</t>
        </is>
      </c>
      <c r="O942" t="inlineStr">
        <is>
          <t>1983</t>
        </is>
      </c>
      <c r="Q942" t="inlineStr">
        <is>
          <t>eng</t>
        </is>
      </c>
      <c r="R942" t="inlineStr">
        <is>
          <t>xxu</t>
        </is>
      </c>
      <c r="T942" t="inlineStr">
        <is>
          <t xml:space="preserve">WY </t>
        </is>
      </c>
      <c r="U942" t="n">
        <v>4</v>
      </c>
      <c r="V942" t="n">
        <v>4</v>
      </c>
      <c r="W942" t="inlineStr">
        <is>
          <t>1991-06-26</t>
        </is>
      </c>
      <c r="X942" t="inlineStr">
        <is>
          <t>1991-06-26</t>
        </is>
      </c>
      <c r="Y942" t="inlineStr">
        <is>
          <t>1987-12-29</t>
        </is>
      </c>
      <c r="Z942" t="inlineStr">
        <is>
          <t>1987-12-29</t>
        </is>
      </c>
      <c r="AA942" t="n">
        <v>197</v>
      </c>
      <c r="AB942" t="n">
        <v>149</v>
      </c>
      <c r="AC942" t="n">
        <v>151</v>
      </c>
      <c r="AD942" t="n">
        <v>1</v>
      </c>
      <c r="AE942" t="n">
        <v>1</v>
      </c>
      <c r="AF942" t="n">
        <v>5</v>
      </c>
      <c r="AG942" t="n">
        <v>5</v>
      </c>
      <c r="AH942" t="n">
        <v>3</v>
      </c>
      <c r="AI942" t="n">
        <v>3</v>
      </c>
      <c r="AJ942" t="n">
        <v>0</v>
      </c>
      <c r="AK942" t="n">
        <v>0</v>
      </c>
      <c r="AL942" t="n">
        <v>3</v>
      </c>
      <c r="AM942" t="n">
        <v>3</v>
      </c>
      <c r="AN942" t="n">
        <v>0</v>
      </c>
      <c r="AO942" t="n">
        <v>0</v>
      </c>
      <c r="AP942" t="n">
        <v>0</v>
      </c>
      <c r="AQ942" t="n">
        <v>0</v>
      </c>
      <c r="AR942" t="inlineStr">
        <is>
          <t>No</t>
        </is>
      </c>
      <c r="AS942" t="inlineStr">
        <is>
          <t>Yes</t>
        </is>
      </c>
      <c r="AT942">
        <f>HYPERLINK("http://catalog.hathitrust.org/Record/000317879","HathiTrust Record")</f>
        <v/>
      </c>
      <c r="AU942">
        <f>HYPERLINK("https://creighton-primo.hosted.exlibrisgroup.com/primo-explore/search?tab=default_tab&amp;search_scope=EVERYTHING&amp;vid=01CRU&amp;lang=en_US&amp;offset=0&amp;query=any,contains,991001144449702656","Catalog Record")</f>
        <v/>
      </c>
      <c r="AV942">
        <f>HYPERLINK("http://www.worldcat.org/oclc/8907657","WorldCat Record")</f>
        <v/>
      </c>
      <c r="AW942" t="inlineStr">
        <is>
          <t>2864694611:eng</t>
        </is>
      </c>
      <c r="AX942" t="inlineStr">
        <is>
          <t>8907657</t>
        </is>
      </c>
      <c r="AY942" t="inlineStr">
        <is>
          <t>991001144449702656</t>
        </is>
      </c>
      <c r="AZ942" t="inlineStr">
        <is>
          <t>991001144449702656</t>
        </is>
      </c>
      <c r="BA942" t="inlineStr">
        <is>
          <t>2260812630002656</t>
        </is>
      </c>
      <c r="BB942" t="inlineStr">
        <is>
          <t>BOOK</t>
        </is>
      </c>
      <c r="BD942" t="inlineStr">
        <is>
          <t>9780838539439</t>
        </is>
      </c>
      <c r="BE942" t="inlineStr">
        <is>
          <t>30001000291460</t>
        </is>
      </c>
      <c r="BF942" t="inlineStr">
        <is>
          <t>893834575</t>
        </is>
      </c>
    </row>
    <row r="943">
      <c r="A943" t="inlineStr">
        <is>
          <t>No</t>
        </is>
      </c>
      <c r="B943" t="inlineStr">
        <is>
          <t>CUHSL</t>
        </is>
      </c>
      <c r="C943" t="inlineStr">
        <is>
          <t>SHELVES</t>
        </is>
      </c>
      <c r="D943" t="inlineStr">
        <is>
          <t>WY100 I29 2002</t>
        </is>
      </c>
      <c r="E943" t="inlineStr">
        <is>
          <t>0                      WY 0100000I  29          2002</t>
        </is>
      </c>
      <c r="F943" t="inlineStr">
        <is>
          <t>Illustrated manual of nursing practice.</t>
        </is>
      </c>
      <c r="H943" t="inlineStr">
        <is>
          <t>No</t>
        </is>
      </c>
      <c r="I943" t="inlineStr">
        <is>
          <t>1</t>
        </is>
      </c>
      <c r="J943" t="inlineStr">
        <is>
          <t>No</t>
        </is>
      </c>
      <c r="K943" t="inlineStr">
        <is>
          <t>No</t>
        </is>
      </c>
      <c r="L943" t="inlineStr">
        <is>
          <t>0</t>
        </is>
      </c>
      <c r="N943" t="inlineStr">
        <is>
          <t>Philadelphia : Lippincott Williams &amp; Wilkins, c2002.</t>
        </is>
      </c>
      <c r="O943" t="inlineStr">
        <is>
          <t>2002</t>
        </is>
      </c>
      <c r="P943" t="inlineStr">
        <is>
          <t>3rd ed.</t>
        </is>
      </c>
      <c r="Q943" t="inlineStr">
        <is>
          <t>eng</t>
        </is>
      </c>
      <c r="R943" t="inlineStr">
        <is>
          <t>pau</t>
        </is>
      </c>
      <c r="T943" t="inlineStr">
        <is>
          <t xml:space="preserve">WY </t>
        </is>
      </c>
      <c r="U943" t="n">
        <v>2</v>
      </c>
      <c r="V943" t="n">
        <v>2</v>
      </c>
      <c r="W943" t="inlineStr">
        <is>
          <t>2003-05-27</t>
        </is>
      </c>
      <c r="X943" t="inlineStr">
        <is>
          <t>2003-05-27</t>
        </is>
      </c>
      <c r="Y943" t="inlineStr">
        <is>
          <t>2002-11-06</t>
        </is>
      </c>
      <c r="Z943" t="inlineStr">
        <is>
          <t>2002-11-06</t>
        </is>
      </c>
      <c r="AA943" t="n">
        <v>306</v>
      </c>
      <c r="AB943" t="n">
        <v>241</v>
      </c>
      <c r="AC943" t="n">
        <v>242</v>
      </c>
      <c r="AD943" t="n">
        <v>2</v>
      </c>
      <c r="AE943" t="n">
        <v>2</v>
      </c>
      <c r="AF943" t="n">
        <v>5</v>
      </c>
      <c r="AG943" t="n">
        <v>5</v>
      </c>
      <c r="AH943" t="n">
        <v>2</v>
      </c>
      <c r="AI943" t="n">
        <v>2</v>
      </c>
      <c r="AJ943" t="n">
        <v>0</v>
      </c>
      <c r="AK943" t="n">
        <v>0</v>
      </c>
      <c r="AL943" t="n">
        <v>3</v>
      </c>
      <c r="AM943" t="n">
        <v>3</v>
      </c>
      <c r="AN943" t="n">
        <v>1</v>
      </c>
      <c r="AO943" t="n">
        <v>1</v>
      </c>
      <c r="AP943" t="n">
        <v>0</v>
      </c>
      <c r="AQ943" t="n">
        <v>0</v>
      </c>
      <c r="AR943" t="inlineStr">
        <is>
          <t>No</t>
        </is>
      </c>
      <c r="AS943" t="inlineStr">
        <is>
          <t>No</t>
        </is>
      </c>
      <c r="AU943">
        <f>HYPERLINK("https://creighton-primo.hosted.exlibrisgroup.com/primo-explore/search?tab=default_tab&amp;search_scope=EVERYTHING&amp;vid=01CRU&amp;lang=en_US&amp;offset=0&amp;query=any,contains,991000332079702656","Catalog Record")</f>
        <v/>
      </c>
      <c r="AV943">
        <f>HYPERLINK("http://www.worldcat.org/oclc/48093202","WorldCat Record")</f>
        <v/>
      </c>
      <c r="AW943" t="inlineStr">
        <is>
          <t>856681:eng</t>
        </is>
      </c>
      <c r="AX943" t="inlineStr">
        <is>
          <t>48093202</t>
        </is>
      </c>
      <c r="AY943" t="inlineStr">
        <is>
          <t>991000332079702656</t>
        </is>
      </c>
      <c r="AZ943" t="inlineStr">
        <is>
          <t>991000332079702656</t>
        </is>
      </c>
      <c r="BA943" t="inlineStr">
        <is>
          <t>2263241750002656</t>
        </is>
      </c>
      <c r="BB943" t="inlineStr">
        <is>
          <t>BOOK</t>
        </is>
      </c>
      <c r="BD943" t="inlineStr">
        <is>
          <t>9781582550824</t>
        </is>
      </c>
      <c r="BE943" t="inlineStr">
        <is>
          <t>30001004500080</t>
        </is>
      </c>
      <c r="BF943" t="inlineStr">
        <is>
          <t>893737232</t>
        </is>
      </c>
    </row>
    <row r="944">
      <c r="A944" t="inlineStr">
        <is>
          <t>No</t>
        </is>
      </c>
      <c r="B944" t="inlineStr">
        <is>
          <t>CUHSL</t>
        </is>
      </c>
      <c r="C944" t="inlineStr">
        <is>
          <t>SHELVES</t>
        </is>
      </c>
      <c r="D944" t="inlineStr">
        <is>
          <t>WY 100 I34 1991</t>
        </is>
      </c>
      <c r="E944" t="inlineStr">
        <is>
          <t>0                      WY 0100000I  34          1991</t>
        </is>
      </c>
      <c r="F944" t="inlineStr">
        <is>
          <t>Implementing nursing diagnosis-based practice : managing the change / edited by Constance D'Argenio.</t>
        </is>
      </c>
      <c r="H944" t="inlineStr">
        <is>
          <t>No</t>
        </is>
      </c>
      <c r="I944" t="inlineStr">
        <is>
          <t>1</t>
        </is>
      </c>
      <c r="J944" t="inlineStr">
        <is>
          <t>No</t>
        </is>
      </c>
      <c r="K944" t="inlineStr">
        <is>
          <t>No</t>
        </is>
      </c>
      <c r="L944" t="inlineStr">
        <is>
          <t>0</t>
        </is>
      </c>
      <c r="N944" t="inlineStr">
        <is>
          <t>Gaithersburg, Md. : Aspen Publishers, c1991.</t>
        </is>
      </c>
      <c r="O944" t="inlineStr">
        <is>
          <t>1991</t>
        </is>
      </c>
      <c r="Q944" t="inlineStr">
        <is>
          <t>eng</t>
        </is>
      </c>
      <c r="R944" t="inlineStr">
        <is>
          <t>xxu</t>
        </is>
      </c>
      <c r="T944" t="inlineStr">
        <is>
          <t xml:space="preserve">WY </t>
        </is>
      </c>
      <c r="U944" t="n">
        <v>2</v>
      </c>
      <c r="V944" t="n">
        <v>2</v>
      </c>
      <c r="W944" t="inlineStr">
        <is>
          <t>1991-10-11</t>
        </is>
      </c>
      <c r="X944" t="inlineStr">
        <is>
          <t>1991-10-11</t>
        </is>
      </c>
      <c r="Y944" t="inlineStr">
        <is>
          <t>1991-10-07</t>
        </is>
      </c>
      <c r="Z944" t="inlineStr">
        <is>
          <t>1991-10-07</t>
        </is>
      </c>
      <c r="AA944" t="n">
        <v>149</v>
      </c>
      <c r="AB944" t="n">
        <v>115</v>
      </c>
      <c r="AC944" t="n">
        <v>123</v>
      </c>
      <c r="AD944" t="n">
        <v>1</v>
      </c>
      <c r="AE944" t="n">
        <v>1</v>
      </c>
      <c r="AF944" t="n">
        <v>7</v>
      </c>
      <c r="AG944" t="n">
        <v>7</v>
      </c>
      <c r="AH944" t="n">
        <v>3</v>
      </c>
      <c r="AI944" t="n">
        <v>3</v>
      </c>
      <c r="AJ944" t="n">
        <v>1</v>
      </c>
      <c r="AK944" t="n">
        <v>1</v>
      </c>
      <c r="AL944" t="n">
        <v>5</v>
      </c>
      <c r="AM944" t="n">
        <v>5</v>
      </c>
      <c r="AN944" t="n">
        <v>0</v>
      </c>
      <c r="AO944" t="n">
        <v>0</v>
      </c>
      <c r="AP944" t="n">
        <v>0</v>
      </c>
      <c r="AQ944" t="n">
        <v>0</v>
      </c>
      <c r="AR944" t="inlineStr">
        <is>
          <t>No</t>
        </is>
      </c>
      <c r="AS944" t="inlineStr">
        <is>
          <t>Yes</t>
        </is>
      </c>
      <c r="AT944">
        <f>HYPERLINK("http://catalog.hathitrust.org/Record/002446717","HathiTrust Record")</f>
        <v/>
      </c>
      <c r="AU944">
        <f>HYPERLINK("https://creighton-primo.hosted.exlibrisgroup.com/primo-explore/search?tab=default_tab&amp;search_scope=EVERYTHING&amp;vid=01CRU&amp;lang=en_US&amp;offset=0&amp;query=any,contains,991001013499702656","Catalog Record")</f>
        <v/>
      </c>
      <c r="AV944">
        <f>HYPERLINK("http://www.worldcat.org/oclc/22813752","WorldCat Record")</f>
        <v/>
      </c>
      <c r="AW944" t="inlineStr">
        <is>
          <t>24212683:eng</t>
        </is>
      </c>
      <c r="AX944" t="inlineStr">
        <is>
          <t>22813752</t>
        </is>
      </c>
      <c r="AY944" t="inlineStr">
        <is>
          <t>991001013499702656</t>
        </is>
      </c>
      <c r="AZ944" t="inlineStr">
        <is>
          <t>991001013499702656</t>
        </is>
      </c>
      <c r="BA944" t="inlineStr">
        <is>
          <t>2265339420002656</t>
        </is>
      </c>
      <c r="BB944" t="inlineStr">
        <is>
          <t>BOOK</t>
        </is>
      </c>
      <c r="BD944" t="inlineStr">
        <is>
          <t>9780834202153</t>
        </is>
      </c>
      <c r="BE944" t="inlineStr">
        <is>
          <t>30001002240226</t>
        </is>
      </c>
      <c r="BF944" t="inlineStr">
        <is>
          <t>893643135</t>
        </is>
      </c>
    </row>
    <row r="945">
      <c r="A945" t="inlineStr">
        <is>
          <t>No</t>
        </is>
      </c>
      <c r="B945" t="inlineStr">
        <is>
          <t>CUHSL</t>
        </is>
      </c>
      <c r="C945" t="inlineStr">
        <is>
          <t>SHELVES</t>
        </is>
      </c>
      <c r="D945" t="inlineStr">
        <is>
          <t>WY 100 I38 1985</t>
        </is>
      </c>
      <c r="E945" t="inlineStr">
        <is>
          <t>0                      WY 0100000I  38          1985</t>
        </is>
      </c>
      <c r="F945" t="inlineStr">
        <is>
          <t>Independent nursing interventions / [edited by] Mariah Snyder.</t>
        </is>
      </c>
      <c r="H945" t="inlineStr">
        <is>
          <t>No</t>
        </is>
      </c>
      <c r="I945" t="inlineStr">
        <is>
          <t>1</t>
        </is>
      </c>
      <c r="J945" t="inlineStr">
        <is>
          <t>No</t>
        </is>
      </c>
      <c r="K945" t="inlineStr">
        <is>
          <t>No</t>
        </is>
      </c>
      <c r="L945" t="inlineStr">
        <is>
          <t>0</t>
        </is>
      </c>
      <c r="N945" t="inlineStr">
        <is>
          <t>New York : Wiley, c1985.</t>
        </is>
      </c>
      <c r="O945" t="inlineStr">
        <is>
          <t>1985</t>
        </is>
      </c>
      <c r="Q945" t="inlineStr">
        <is>
          <t>eng</t>
        </is>
      </c>
      <c r="R945" t="inlineStr">
        <is>
          <t>xxu</t>
        </is>
      </c>
      <c r="S945" t="inlineStr">
        <is>
          <t>A Wiley medical publication</t>
        </is>
      </c>
      <c r="T945" t="inlineStr">
        <is>
          <t xml:space="preserve">WY </t>
        </is>
      </c>
      <c r="U945" t="n">
        <v>8</v>
      </c>
      <c r="V945" t="n">
        <v>8</v>
      </c>
      <c r="W945" t="inlineStr">
        <is>
          <t>1993-10-21</t>
        </is>
      </c>
      <c r="X945" t="inlineStr">
        <is>
          <t>1993-10-21</t>
        </is>
      </c>
      <c r="Y945" t="inlineStr">
        <is>
          <t>1987-12-29</t>
        </is>
      </c>
      <c r="Z945" t="inlineStr">
        <is>
          <t>1987-12-29</t>
        </is>
      </c>
      <c r="AA945" t="n">
        <v>200</v>
      </c>
      <c r="AB945" t="n">
        <v>165</v>
      </c>
      <c r="AC945" t="n">
        <v>229</v>
      </c>
      <c r="AD945" t="n">
        <v>2</v>
      </c>
      <c r="AE945" t="n">
        <v>2</v>
      </c>
      <c r="AF945" t="n">
        <v>6</v>
      </c>
      <c r="AG945" t="n">
        <v>7</v>
      </c>
      <c r="AH945" t="n">
        <v>2</v>
      </c>
      <c r="AI945" t="n">
        <v>2</v>
      </c>
      <c r="AJ945" t="n">
        <v>2</v>
      </c>
      <c r="AK945" t="n">
        <v>2</v>
      </c>
      <c r="AL945" t="n">
        <v>3</v>
      </c>
      <c r="AM945" t="n">
        <v>4</v>
      </c>
      <c r="AN945" t="n">
        <v>0</v>
      </c>
      <c r="AO945" t="n">
        <v>0</v>
      </c>
      <c r="AP945" t="n">
        <v>0</v>
      </c>
      <c r="AQ945" t="n">
        <v>0</v>
      </c>
      <c r="AR945" t="inlineStr">
        <is>
          <t>No</t>
        </is>
      </c>
      <c r="AS945" t="inlineStr">
        <is>
          <t>Yes</t>
        </is>
      </c>
      <c r="AT945">
        <f>HYPERLINK("http://catalog.hathitrust.org/Record/000350722","HathiTrust Record")</f>
        <v/>
      </c>
      <c r="AU945">
        <f>HYPERLINK("https://creighton-primo.hosted.exlibrisgroup.com/primo-explore/search?tab=default_tab&amp;search_scope=EVERYTHING&amp;vid=01CRU&amp;lang=en_US&amp;offset=0&amp;query=any,contains,991001144489702656","Catalog Record")</f>
        <v/>
      </c>
      <c r="AV945">
        <f>HYPERLINK("http://www.worldcat.org/oclc/12162688","WorldCat Record")</f>
        <v/>
      </c>
      <c r="AW945" t="inlineStr">
        <is>
          <t>54721199:eng</t>
        </is>
      </c>
      <c r="AX945" t="inlineStr">
        <is>
          <t>12162688</t>
        </is>
      </c>
      <c r="AY945" t="inlineStr">
        <is>
          <t>991001144489702656</t>
        </is>
      </c>
      <c r="AZ945" t="inlineStr">
        <is>
          <t>991001144489702656</t>
        </is>
      </c>
      <c r="BA945" t="inlineStr">
        <is>
          <t>2264517790002656</t>
        </is>
      </c>
      <c r="BB945" t="inlineStr">
        <is>
          <t>BOOK</t>
        </is>
      </c>
      <c r="BD945" t="inlineStr">
        <is>
          <t>9780471884460</t>
        </is>
      </c>
      <c r="BE945" t="inlineStr">
        <is>
          <t>30001000291478</t>
        </is>
      </c>
      <c r="BF945" t="inlineStr">
        <is>
          <t>893284456</t>
        </is>
      </c>
    </row>
    <row r="946">
      <c r="A946" t="inlineStr">
        <is>
          <t>No</t>
        </is>
      </c>
      <c r="B946" t="inlineStr">
        <is>
          <t>CUHSL</t>
        </is>
      </c>
      <c r="C946" t="inlineStr">
        <is>
          <t>SHELVES</t>
        </is>
      </c>
      <c r="D946" t="inlineStr">
        <is>
          <t>WY 100 I43 1988</t>
        </is>
      </c>
      <c r="E946" t="inlineStr">
        <is>
          <t>0                      WY 0100000I  43          1988</t>
        </is>
      </c>
      <c r="F946" t="inlineStr">
        <is>
          <t>Information sources for nursing : a guide / Judith S. Shockley, editor.</t>
        </is>
      </c>
      <c r="H946" t="inlineStr">
        <is>
          <t>No</t>
        </is>
      </c>
      <c r="I946" t="inlineStr">
        <is>
          <t>1</t>
        </is>
      </c>
      <c r="J946" t="inlineStr">
        <is>
          <t>No</t>
        </is>
      </c>
      <c r="K946" t="inlineStr">
        <is>
          <t>No</t>
        </is>
      </c>
      <c r="L946" t="inlineStr">
        <is>
          <t>0</t>
        </is>
      </c>
      <c r="N946" t="inlineStr">
        <is>
          <t>New York : National Leag[u]e for Nursing, c1988.</t>
        </is>
      </c>
      <c r="O946" t="inlineStr">
        <is>
          <t>1988</t>
        </is>
      </c>
      <c r="Q946" t="inlineStr">
        <is>
          <t>eng</t>
        </is>
      </c>
      <c r="R946" t="inlineStr">
        <is>
          <t>nyu</t>
        </is>
      </c>
      <c r="S946" t="inlineStr">
        <is>
          <t>NLN pub. no. 41-2200</t>
        </is>
      </c>
      <c r="T946" t="inlineStr">
        <is>
          <t xml:space="preserve">WY </t>
        </is>
      </c>
      <c r="U946" t="n">
        <v>8</v>
      </c>
      <c r="V946" t="n">
        <v>8</v>
      </c>
      <c r="W946" t="inlineStr">
        <is>
          <t>1992-12-11</t>
        </is>
      </c>
      <c r="X946" t="inlineStr">
        <is>
          <t>1992-12-11</t>
        </is>
      </c>
      <c r="Y946" t="inlineStr">
        <is>
          <t>1988-02-26</t>
        </is>
      </c>
      <c r="Z946" t="inlineStr">
        <is>
          <t>1988-02-26</t>
        </is>
      </c>
      <c r="AA946" t="n">
        <v>175</v>
      </c>
      <c r="AB946" t="n">
        <v>146</v>
      </c>
      <c r="AC946" t="n">
        <v>148</v>
      </c>
      <c r="AD946" t="n">
        <v>2</v>
      </c>
      <c r="AE946" t="n">
        <v>2</v>
      </c>
      <c r="AF946" t="n">
        <v>6</v>
      </c>
      <c r="AG946" t="n">
        <v>6</v>
      </c>
      <c r="AH946" t="n">
        <v>2</v>
      </c>
      <c r="AI946" t="n">
        <v>2</v>
      </c>
      <c r="AJ946" t="n">
        <v>2</v>
      </c>
      <c r="AK946" t="n">
        <v>2</v>
      </c>
      <c r="AL946" t="n">
        <v>3</v>
      </c>
      <c r="AM946" t="n">
        <v>3</v>
      </c>
      <c r="AN946" t="n">
        <v>0</v>
      </c>
      <c r="AO946" t="n">
        <v>0</v>
      </c>
      <c r="AP946" t="n">
        <v>0</v>
      </c>
      <c r="AQ946" t="n">
        <v>0</v>
      </c>
      <c r="AR946" t="inlineStr">
        <is>
          <t>No</t>
        </is>
      </c>
      <c r="AS946" t="inlineStr">
        <is>
          <t>Yes</t>
        </is>
      </c>
      <c r="AT946">
        <f>HYPERLINK("http://catalog.hathitrust.org/Record/002506697","HathiTrust Record")</f>
        <v/>
      </c>
      <c r="AU946">
        <f>HYPERLINK("https://creighton-primo.hosted.exlibrisgroup.com/primo-explore/search?tab=default_tab&amp;search_scope=EVERYTHING&amp;vid=01CRU&amp;lang=en_US&amp;offset=0&amp;query=any,contains,991001174109702656","Catalog Record")</f>
        <v/>
      </c>
      <c r="AV946">
        <f>HYPERLINK("http://www.worldcat.org/oclc/15788359","WorldCat Record")</f>
        <v/>
      </c>
      <c r="AW946" t="inlineStr">
        <is>
          <t>422980283:eng</t>
        </is>
      </c>
      <c r="AX946" t="inlineStr">
        <is>
          <t>15788359</t>
        </is>
      </c>
      <c r="AY946" t="inlineStr">
        <is>
          <t>991001174109702656</t>
        </is>
      </c>
      <c r="AZ946" t="inlineStr">
        <is>
          <t>991001174109702656</t>
        </is>
      </c>
      <c r="BA946" t="inlineStr">
        <is>
          <t>2260878880002656</t>
        </is>
      </c>
      <c r="BB946" t="inlineStr">
        <is>
          <t>BOOK</t>
        </is>
      </c>
      <c r="BD946" t="inlineStr">
        <is>
          <t>9780887373862</t>
        </is>
      </c>
      <c r="BE946" t="inlineStr">
        <is>
          <t>30001000975641</t>
        </is>
      </c>
      <c r="BF946" t="inlineStr">
        <is>
          <t>893821021</t>
        </is>
      </c>
    </row>
    <row r="947">
      <c r="A947" t="inlineStr">
        <is>
          <t>No</t>
        </is>
      </c>
      <c r="B947" t="inlineStr">
        <is>
          <t>CUHSL</t>
        </is>
      </c>
      <c r="C947" t="inlineStr">
        <is>
          <t>SHELVES</t>
        </is>
      </c>
      <c r="D947" t="inlineStr">
        <is>
          <t>WY 100 I575 1986</t>
        </is>
      </c>
      <c r="E947" t="inlineStr">
        <is>
          <t>0                      WY 0100000I  575         1986</t>
        </is>
      </c>
      <c r="F947" t="inlineStr">
        <is>
          <t>Innovations in nursing service.</t>
        </is>
      </c>
      <c r="H947" t="inlineStr">
        <is>
          <t>No</t>
        </is>
      </c>
      <c r="I947" t="inlineStr">
        <is>
          <t>1</t>
        </is>
      </c>
      <c r="J947" t="inlineStr">
        <is>
          <t>No</t>
        </is>
      </c>
      <c r="K947" t="inlineStr">
        <is>
          <t>No</t>
        </is>
      </c>
      <c r="L947" t="inlineStr">
        <is>
          <t>0</t>
        </is>
      </c>
      <c r="N947" t="inlineStr">
        <is>
          <t>New York : National League for Nursing, c1986.</t>
        </is>
      </c>
      <c r="O947" t="inlineStr">
        <is>
          <t>1986</t>
        </is>
      </c>
      <c r="Q947" t="inlineStr">
        <is>
          <t>eng</t>
        </is>
      </c>
      <c r="R947" t="inlineStr">
        <is>
          <t>xxu</t>
        </is>
      </c>
      <c r="S947" t="inlineStr">
        <is>
          <t>NLN pub. no. 20-2171</t>
        </is>
      </c>
      <c r="T947" t="inlineStr">
        <is>
          <t xml:space="preserve">WY </t>
        </is>
      </c>
      <c r="U947" t="n">
        <v>2</v>
      </c>
      <c r="V947" t="n">
        <v>2</v>
      </c>
      <c r="W947" t="inlineStr">
        <is>
          <t>1990-06-12</t>
        </is>
      </c>
      <c r="X947" t="inlineStr">
        <is>
          <t>1990-06-12</t>
        </is>
      </c>
      <c r="Y947" t="inlineStr">
        <is>
          <t>1987-11-04</t>
        </is>
      </c>
      <c r="Z947" t="inlineStr">
        <is>
          <t>1987-11-04</t>
        </is>
      </c>
      <c r="AA947" t="n">
        <v>137</v>
      </c>
      <c r="AB947" t="n">
        <v>120</v>
      </c>
      <c r="AC947" t="n">
        <v>122</v>
      </c>
      <c r="AD947" t="n">
        <v>2</v>
      </c>
      <c r="AE947" t="n">
        <v>2</v>
      </c>
      <c r="AF947" t="n">
        <v>5</v>
      </c>
      <c r="AG947" t="n">
        <v>5</v>
      </c>
      <c r="AH947" t="n">
        <v>2</v>
      </c>
      <c r="AI947" t="n">
        <v>2</v>
      </c>
      <c r="AJ947" t="n">
        <v>1</v>
      </c>
      <c r="AK947" t="n">
        <v>1</v>
      </c>
      <c r="AL947" t="n">
        <v>2</v>
      </c>
      <c r="AM947" t="n">
        <v>2</v>
      </c>
      <c r="AN947" t="n">
        <v>0</v>
      </c>
      <c r="AO947" t="n">
        <v>0</v>
      </c>
      <c r="AP947" t="n">
        <v>0</v>
      </c>
      <c r="AQ947" t="n">
        <v>0</v>
      </c>
      <c r="AR947" t="inlineStr">
        <is>
          <t>No</t>
        </is>
      </c>
      <c r="AS947" t="inlineStr">
        <is>
          <t>Yes</t>
        </is>
      </c>
      <c r="AT947">
        <f>HYPERLINK("http://catalog.hathitrust.org/Record/004407496","HathiTrust Record")</f>
        <v/>
      </c>
      <c r="AU947">
        <f>HYPERLINK("https://creighton-primo.hosted.exlibrisgroup.com/primo-explore/search?tab=default_tab&amp;search_scope=EVERYTHING&amp;vid=01CRU&amp;lang=en_US&amp;offset=0&amp;query=any,contains,991001386019702656","Catalog Record")</f>
        <v/>
      </c>
      <c r="AV947">
        <f>HYPERLINK("http://www.worldcat.org/oclc/14918823","WorldCat Record")</f>
        <v/>
      </c>
      <c r="AW947" t="inlineStr">
        <is>
          <t>982765:eng</t>
        </is>
      </c>
      <c r="AX947" t="inlineStr">
        <is>
          <t>14918823</t>
        </is>
      </c>
      <c r="AY947" t="inlineStr">
        <is>
          <t>991001386019702656</t>
        </is>
      </c>
      <c r="AZ947" t="inlineStr">
        <is>
          <t>991001386019702656</t>
        </is>
      </c>
      <c r="BA947" t="inlineStr">
        <is>
          <t>2269652360002656</t>
        </is>
      </c>
      <c r="BB947" t="inlineStr">
        <is>
          <t>BOOK</t>
        </is>
      </c>
      <c r="BD947" t="inlineStr">
        <is>
          <t>9780887373411</t>
        </is>
      </c>
      <c r="BE947" t="inlineStr">
        <is>
          <t>30001000463739</t>
        </is>
      </c>
      <c r="BF947" t="inlineStr">
        <is>
          <t>893121450</t>
        </is>
      </c>
    </row>
    <row r="948">
      <c r="A948" t="inlineStr">
        <is>
          <t>No</t>
        </is>
      </c>
      <c r="B948" t="inlineStr">
        <is>
          <t>CUHSL</t>
        </is>
      </c>
      <c r="C948" t="inlineStr">
        <is>
          <t>SHELVES</t>
        </is>
      </c>
      <c r="D948" t="inlineStr">
        <is>
          <t>WY 100 I61 1976</t>
        </is>
      </c>
      <c r="E948" t="inlineStr">
        <is>
          <t>0                      WY 0100000I  61          1976</t>
        </is>
      </c>
      <c r="F948" t="inlineStr">
        <is>
          <t>Introduction to nursing : an adaptation model / edited by Callista Roy.</t>
        </is>
      </c>
      <c r="H948" t="inlineStr">
        <is>
          <t>No</t>
        </is>
      </c>
      <c r="I948" t="inlineStr">
        <is>
          <t>1</t>
        </is>
      </c>
      <c r="J948" t="inlineStr">
        <is>
          <t>No</t>
        </is>
      </c>
      <c r="K948" t="inlineStr">
        <is>
          <t>No</t>
        </is>
      </c>
      <c r="L948" t="inlineStr">
        <is>
          <t>0</t>
        </is>
      </c>
      <c r="N948" t="inlineStr">
        <is>
          <t>Englewood Cliffs, N.J. : Prentice-Hall, c1976.</t>
        </is>
      </c>
      <c r="O948" t="inlineStr">
        <is>
          <t>1976</t>
        </is>
      </c>
      <c r="Q948" t="inlineStr">
        <is>
          <t>eng</t>
        </is>
      </c>
      <c r="R948" t="inlineStr">
        <is>
          <t>nju</t>
        </is>
      </c>
      <c r="T948" t="inlineStr">
        <is>
          <t xml:space="preserve">WY </t>
        </is>
      </c>
      <c r="U948" t="n">
        <v>10</v>
      </c>
      <c r="V948" t="n">
        <v>10</v>
      </c>
      <c r="W948" t="inlineStr">
        <is>
          <t>2006-07-15</t>
        </is>
      </c>
      <c r="X948" t="inlineStr">
        <is>
          <t>2006-07-15</t>
        </is>
      </c>
      <c r="Y948" t="inlineStr">
        <is>
          <t>1988-01-09</t>
        </is>
      </c>
      <c r="Z948" t="inlineStr">
        <is>
          <t>1988-01-09</t>
        </is>
      </c>
      <c r="AA948" t="n">
        <v>377</v>
      </c>
      <c r="AB948" t="n">
        <v>310</v>
      </c>
      <c r="AC948" t="n">
        <v>504</v>
      </c>
      <c r="AD948" t="n">
        <v>6</v>
      </c>
      <c r="AE948" t="n">
        <v>8</v>
      </c>
      <c r="AF948" t="n">
        <v>19</v>
      </c>
      <c r="AG948" t="n">
        <v>25</v>
      </c>
      <c r="AH948" t="n">
        <v>7</v>
      </c>
      <c r="AI948" t="n">
        <v>10</v>
      </c>
      <c r="AJ948" t="n">
        <v>5</v>
      </c>
      <c r="AK948" t="n">
        <v>5</v>
      </c>
      <c r="AL948" t="n">
        <v>6</v>
      </c>
      <c r="AM948" t="n">
        <v>9</v>
      </c>
      <c r="AN948" t="n">
        <v>4</v>
      </c>
      <c r="AO948" t="n">
        <v>6</v>
      </c>
      <c r="AP948" t="n">
        <v>0</v>
      </c>
      <c r="AQ948" t="n">
        <v>0</v>
      </c>
      <c r="AR948" t="inlineStr">
        <is>
          <t>No</t>
        </is>
      </c>
      <c r="AS948" t="inlineStr">
        <is>
          <t>Yes</t>
        </is>
      </c>
      <c r="AT948">
        <f>HYPERLINK("http://catalog.hathitrust.org/Record/000716319","HathiTrust Record")</f>
        <v/>
      </c>
      <c r="AU948">
        <f>HYPERLINK("https://creighton-primo.hosted.exlibrisgroup.com/primo-explore/search?tab=default_tab&amp;search_scope=EVERYTHING&amp;vid=01CRU&amp;lang=en_US&amp;offset=0&amp;query=any,contains,991001144569702656","Catalog Record")</f>
        <v/>
      </c>
      <c r="AV948">
        <f>HYPERLINK("http://www.worldcat.org/oclc/1974219","WorldCat Record")</f>
        <v/>
      </c>
      <c r="AW948" t="inlineStr">
        <is>
          <t>688429918:eng</t>
        </is>
      </c>
      <c r="AX948" t="inlineStr">
        <is>
          <t>1974219</t>
        </is>
      </c>
      <c r="AY948" t="inlineStr">
        <is>
          <t>991001144569702656</t>
        </is>
      </c>
      <c r="AZ948" t="inlineStr">
        <is>
          <t>991001144569702656</t>
        </is>
      </c>
      <c r="BA948" t="inlineStr">
        <is>
          <t>2262953020002656</t>
        </is>
      </c>
      <c r="BB948" t="inlineStr">
        <is>
          <t>BOOK</t>
        </is>
      </c>
      <c r="BD948" t="inlineStr">
        <is>
          <t>9780134912905</t>
        </is>
      </c>
      <c r="BE948" t="inlineStr">
        <is>
          <t>30001000291486</t>
        </is>
      </c>
      <c r="BF948" t="inlineStr">
        <is>
          <t>893148900</t>
        </is>
      </c>
    </row>
    <row r="949">
      <c r="A949" t="inlineStr">
        <is>
          <t>No</t>
        </is>
      </c>
      <c r="B949" t="inlineStr">
        <is>
          <t>CUHSL</t>
        </is>
      </c>
      <c r="C949" t="inlineStr">
        <is>
          <t>SHELVES</t>
        </is>
      </c>
      <c r="D949" t="inlineStr">
        <is>
          <t>WY 100 I615c 1987</t>
        </is>
      </c>
      <c r="E949" t="inlineStr">
        <is>
          <t>0                      WY 0100000I  615c        1987</t>
        </is>
      </c>
      <c r="F949" t="inlineStr">
        <is>
          <t>Clinical judgement and decision making : the future with nursing diagnosis : proceedings of the International Nursing Conference, May 27-29, 1987, Calgary, Alberta, Canada / edited by Kathryn J. Hannah ... [et al.].</t>
        </is>
      </c>
      <c r="H949" t="inlineStr">
        <is>
          <t>No</t>
        </is>
      </c>
      <c r="I949" t="inlineStr">
        <is>
          <t>1</t>
        </is>
      </c>
      <c r="J949" t="inlineStr">
        <is>
          <t>No</t>
        </is>
      </c>
      <c r="K949" t="inlineStr">
        <is>
          <t>No</t>
        </is>
      </c>
      <c r="L949" t="inlineStr">
        <is>
          <t>0</t>
        </is>
      </c>
      <c r="M949" t="inlineStr">
        <is>
          <t>International Nursing Conference (1987 : Calgary, Alta.)</t>
        </is>
      </c>
      <c r="N949" t="inlineStr">
        <is>
          <t>New York : Wiley, c1987.</t>
        </is>
      </c>
      <c r="O949" t="inlineStr">
        <is>
          <t>1987</t>
        </is>
      </c>
      <c r="Q949" t="inlineStr">
        <is>
          <t>eng</t>
        </is>
      </c>
      <c r="R949" t="inlineStr">
        <is>
          <t>xxu</t>
        </is>
      </c>
      <c r="S949" t="inlineStr">
        <is>
          <t>A Wiley medical publication.</t>
        </is>
      </c>
      <c r="T949" t="inlineStr">
        <is>
          <t xml:space="preserve">WY </t>
        </is>
      </c>
      <c r="U949" t="n">
        <v>14</v>
      </c>
      <c r="V949" t="n">
        <v>14</v>
      </c>
      <c r="W949" t="inlineStr">
        <is>
          <t>1994-05-31</t>
        </is>
      </c>
      <c r="X949" t="inlineStr">
        <is>
          <t>1994-05-31</t>
        </is>
      </c>
      <c r="Y949" t="inlineStr">
        <is>
          <t>1988-04-30</t>
        </is>
      </c>
      <c r="Z949" t="inlineStr">
        <is>
          <t>1988-04-30</t>
        </is>
      </c>
      <c r="AA949" t="n">
        <v>177</v>
      </c>
      <c r="AB949" t="n">
        <v>133</v>
      </c>
      <c r="AC949" t="n">
        <v>142</v>
      </c>
      <c r="AD949" t="n">
        <v>2</v>
      </c>
      <c r="AE949" t="n">
        <v>2</v>
      </c>
      <c r="AF949" t="n">
        <v>7</v>
      </c>
      <c r="AG949" t="n">
        <v>7</v>
      </c>
      <c r="AH949" t="n">
        <v>4</v>
      </c>
      <c r="AI949" t="n">
        <v>4</v>
      </c>
      <c r="AJ949" t="n">
        <v>1</v>
      </c>
      <c r="AK949" t="n">
        <v>1</v>
      </c>
      <c r="AL949" t="n">
        <v>3</v>
      </c>
      <c r="AM949" t="n">
        <v>3</v>
      </c>
      <c r="AN949" t="n">
        <v>0</v>
      </c>
      <c r="AO949" t="n">
        <v>0</v>
      </c>
      <c r="AP949" t="n">
        <v>0</v>
      </c>
      <c r="AQ949" t="n">
        <v>0</v>
      </c>
      <c r="AR949" t="inlineStr">
        <is>
          <t>No</t>
        </is>
      </c>
      <c r="AS949" t="inlineStr">
        <is>
          <t>Yes</t>
        </is>
      </c>
      <c r="AT949">
        <f>HYPERLINK("http://catalog.hathitrust.org/Record/000876151","HathiTrust Record")</f>
        <v/>
      </c>
      <c r="AU949">
        <f>HYPERLINK("https://creighton-primo.hosted.exlibrisgroup.com/primo-explore/search?tab=default_tab&amp;search_scope=EVERYTHING&amp;vid=01CRU&amp;lang=en_US&amp;offset=0&amp;query=any,contains,991001186949702656","Catalog Record")</f>
        <v/>
      </c>
      <c r="AV949">
        <f>HYPERLINK("http://www.worldcat.org/oclc/16683881","WorldCat Record")</f>
        <v/>
      </c>
      <c r="AW949" t="inlineStr">
        <is>
          <t>499921486:eng</t>
        </is>
      </c>
      <c r="AX949" t="inlineStr">
        <is>
          <t>16683881</t>
        </is>
      </c>
      <c r="AY949" t="inlineStr">
        <is>
          <t>991001186949702656</t>
        </is>
      </c>
      <c r="AZ949" t="inlineStr">
        <is>
          <t>991001186949702656</t>
        </is>
      </c>
      <c r="BA949" t="inlineStr">
        <is>
          <t>2259653850002656</t>
        </is>
      </c>
      <c r="BB949" t="inlineStr">
        <is>
          <t>BOOK</t>
        </is>
      </c>
      <c r="BD949" t="inlineStr">
        <is>
          <t>9780471627470</t>
        </is>
      </c>
      <c r="BE949" t="inlineStr">
        <is>
          <t>30001000978322</t>
        </is>
      </c>
      <c r="BF949" t="inlineStr">
        <is>
          <t>893358311</t>
        </is>
      </c>
    </row>
    <row r="950">
      <c r="A950" t="inlineStr">
        <is>
          <t>No</t>
        </is>
      </c>
      <c r="B950" t="inlineStr">
        <is>
          <t>CUHSL</t>
        </is>
      </c>
      <c r="C950" t="inlineStr">
        <is>
          <t>SHELVES</t>
        </is>
      </c>
      <c r="D950" t="inlineStr">
        <is>
          <t>WY 100 I856 1991</t>
        </is>
      </c>
      <c r="E950" t="inlineStr">
        <is>
          <t>0                      WY 0100000I  856         1991</t>
        </is>
      </c>
      <c r="F950" t="inlineStr">
        <is>
          <t>Issues and strategies for nursing care quality / edited by Patricia Schroeder.</t>
        </is>
      </c>
      <c r="G950" t="inlineStr">
        <is>
          <t>V. 1</t>
        </is>
      </c>
      <c r="H950" t="inlineStr">
        <is>
          <t>No</t>
        </is>
      </c>
      <c r="I950" t="inlineStr">
        <is>
          <t>1</t>
        </is>
      </c>
      <c r="J950" t="inlineStr">
        <is>
          <t>No</t>
        </is>
      </c>
      <c r="K950" t="inlineStr">
        <is>
          <t>No</t>
        </is>
      </c>
      <c r="L950" t="inlineStr">
        <is>
          <t>0</t>
        </is>
      </c>
      <c r="N950" t="inlineStr">
        <is>
          <t>Gaithersburg, Md. : Aspen Publishers, c1991.</t>
        </is>
      </c>
      <c r="O950" t="inlineStr">
        <is>
          <t>1991</t>
        </is>
      </c>
      <c r="Q950" t="inlineStr">
        <is>
          <t>eng</t>
        </is>
      </c>
      <c r="R950" t="inlineStr">
        <is>
          <t>mdu</t>
        </is>
      </c>
      <c r="S950" t="inlineStr">
        <is>
          <t>The Encyclopedia of nursing care quality ; v. 1.</t>
        </is>
      </c>
      <c r="T950" t="inlineStr">
        <is>
          <t xml:space="preserve">WY </t>
        </is>
      </c>
      <c r="U950" t="n">
        <v>2</v>
      </c>
      <c r="V950" t="n">
        <v>2</v>
      </c>
      <c r="W950" t="inlineStr">
        <is>
          <t>1993-04-02</t>
        </is>
      </c>
      <c r="X950" t="inlineStr">
        <is>
          <t>1993-04-02</t>
        </is>
      </c>
      <c r="Y950" t="inlineStr">
        <is>
          <t>1993-03-26</t>
        </is>
      </c>
      <c r="Z950" t="inlineStr">
        <is>
          <t>1993-03-26</t>
        </is>
      </c>
      <c r="AA950" t="n">
        <v>252</v>
      </c>
      <c r="AB950" t="n">
        <v>193</v>
      </c>
      <c r="AC950" t="n">
        <v>195</v>
      </c>
      <c r="AD950" t="n">
        <v>1</v>
      </c>
      <c r="AE950" t="n">
        <v>1</v>
      </c>
      <c r="AF950" t="n">
        <v>10</v>
      </c>
      <c r="AG950" t="n">
        <v>10</v>
      </c>
      <c r="AH950" t="n">
        <v>5</v>
      </c>
      <c r="AI950" t="n">
        <v>5</v>
      </c>
      <c r="AJ950" t="n">
        <v>2</v>
      </c>
      <c r="AK950" t="n">
        <v>2</v>
      </c>
      <c r="AL950" t="n">
        <v>8</v>
      </c>
      <c r="AM950" t="n">
        <v>8</v>
      </c>
      <c r="AN950" t="n">
        <v>0</v>
      </c>
      <c r="AO950" t="n">
        <v>0</v>
      </c>
      <c r="AP950" t="n">
        <v>0</v>
      </c>
      <c r="AQ950" t="n">
        <v>0</v>
      </c>
      <c r="AR950" t="inlineStr">
        <is>
          <t>No</t>
        </is>
      </c>
      <c r="AS950" t="inlineStr">
        <is>
          <t>Yes</t>
        </is>
      </c>
      <c r="AT950">
        <f>HYPERLINK("http://catalog.hathitrust.org/Record/002465176","HathiTrust Record")</f>
        <v/>
      </c>
      <c r="AU950">
        <f>HYPERLINK("https://creighton-primo.hosted.exlibrisgroup.com/primo-explore/search?tab=default_tab&amp;search_scope=EVERYTHING&amp;vid=01CRU&amp;lang=en_US&amp;offset=0&amp;query=any,contains,991001471929702656","Catalog Record")</f>
        <v/>
      </c>
      <c r="AV950">
        <f>HYPERLINK("http://www.worldcat.org/oclc/22956381","WorldCat Record")</f>
        <v/>
      </c>
      <c r="AW950" t="inlineStr">
        <is>
          <t>24043258:eng</t>
        </is>
      </c>
      <c r="AX950" t="inlineStr">
        <is>
          <t>22956381</t>
        </is>
      </c>
      <c r="AY950" t="inlineStr">
        <is>
          <t>991001471929702656</t>
        </is>
      </c>
      <c r="AZ950" t="inlineStr">
        <is>
          <t>991001471929702656</t>
        </is>
      </c>
      <c r="BA950" t="inlineStr">
        <is>
          <t>2260528160002656</t>
        </is>
      </c>
      <c r="BB950" t="inlineStr">
        <is>
          <t>BOOK</t>
        </is>
      </c>
      <c r="BD950" t="inlineStr">
        <is>
          <t>9780834202139</t>
        </is>
      </c>
      <c r="BE950" t="inlineStr">
        <is>
          <t>30001002563130</t>
        </is>
      </c>
      <c r="BF950" t="inlineStr">
        <is>
          <t>893552538</t>
        </is>
      </c>
    </row>
    <row r="951">
      <c r="A951" t="inlineStr">
        <is>
          <t>No</t>
        </is>
      </c>
      <c r="B951" t="inlineStr">
        <is>
          <t>CUHSL</t>
        </is>
      </c>
      <c r="C951" t="inlineStr">
        <is>
          <t>SHELVES</t>
        </is>
      </c>
      <c r="D951" t="inlineStr">
        <is>
          <t>WY 100 K195m 1997</t>
        </is>
      </c>
      <c r="E951" t="inlineStr">
        <is>
          <t>0                      WY 0100000K  195m        1997</t>
        </is>
      </c>
      <c r="F951" t="inlineStr">
        <is>
          <t>Managing quality : a guide to system-wide performance management in health care / Jacqueline M. Katz, Eleanor Green.</t>
        </is>
      </c>
      <c r="H951" t="inlineStr">
        <is>
          <t>No</t>
        </is>
      </c>
      <c r="I951" t="inlineStr">
        <is>
          <t>1</t>
        </is>
      </c>
      <c r="J951" t="inlineStr">
        <is>
          <t>No</t>
        </is>
      </c>
      <c r="K951" t="inlineStr">
        <is>
          <t>No</t>
        </is>
      </c>
      <c r="L951" t="inlineStr">
        <is>
          <t>0</t>
        </is>
      </c>
      <c r="M951" t="inlineStr">
        <is>
          <t>Katz, Jacqueline.</t>
        </is>
      </c>
      <c r="N951" t="inlineStr">
        <is>
          <t>St. Louis : Mosby, c1997.</t>
        </is>
      </c>
      <c r="O951" t="inlineStr">
        <is>
          <t>1997</t>
        </is>
      </c>
      <c r="P951" t="inlineStr">
        <is>
          <t>2nd ed.</t>
        </is>
      </c>
      <c r="Q951" t="inlineStr">
        <is>
          <t>eng</t>
        </is>
      </c>
      <c r="R951" t="inlineStr">
        <is>
          <t>mou</t>
        </is>
      </c>
      <c r="T951" t="inlineStr">
        <is>
          <t xml:space="preserve">WY </t>
        </is>
      </c>
      <c r="U951" t="n">
        <v>6</v>
      </c>
      <c r="V951" t="n">
        <v>6</v>
      </c>
      <c r="W951" t="inlineStr">
        <is>
          <t>2002-03-03</t>
        </is>
      </c>
      <c r="X951" t="inlineStr">
        <is>
          <t>2002-03-03</t>
        </is>
      </c>
      <c r="Y951" t="inlineStr">
        <is>
          <t>1997-02-18</t>
        </is>
      </c>
      <c r="Z951" t="inlineStr">
        <is>
          <t>1997-02-18</t>
        </is>
      </c>
      <c r="AA951" t="n">
        <v>328</v>
      </c>
      <c r="AB951" t="n">
        <v>246</v>
      </c>
      <c r="AC951" t="n">
        <v>254</v>
      </c>
      <c r="AD951" t="n">
        <v>1</v>
      </c>
      <c r="AE951" t="n">
        <v>1</v>
      </c>
      <c r="AF951" t="n">
        <v>9</v>
      </c>
      <c r="AG951" t="n">
        <v>9</v>
      </c>
      <c r="AH951" t="n">
        <v>3</v>
      </c>
      <c r="AI951" t="n">
        <v>3</v>
      </c>
      <c r="AJ951" t="n">
        <v>3</v>
      </c>
      <c r="AK951" t="n">
        <v>3</v>
      </c>
      <c r="AL951" t="n">
        <v>7</v>
      </c>
      <c r="AM951" t="n">
        <v>7</v>
      </c>
      <c r="AN951" t="n">
        <v>0</v>
      </c>
      <c r="AO951" t="n">
        <v>0</v>
      </c>
      <c r="AP951" t="n">
        <v>0</v>
      </c>
      <c r="AQ951" t="n">
        <v>0</v>
      </c>
      <c r="AR951" t="inlineStr">
        <is>
          <t>No</t>
        </is>
      </c>
      <c r="AS951" t="inlineStr">
        <is>
          <t>Yes</t>
        </is>
      </c>
      <c r="AT951">
        <f>HYPERLINK("http://catalog.hathitrust.org/Record/003077967","HathiTrust Record")</f>
        <v/>
      </c>
      <c r="AU951">
        <f>HYPERLINK("https://creighton-primo.hosted.exlibrisgroup.com/primo-explore/search?tab=default_tab&amp;search_scope=EVERYTHING&amp;vid=01CRU&amp;lang=en_US&amp;offset=0&amp;query=any,contains,991000836289702656","Catalog Record")</f>
        <v/>
      </c>
      <c r="AV951">
        <f>HYPERLINK("http://www.worldcat.org/oclc/34514502","WorldCat Record")</f>
        <v/>
      </c>
      <c r="AW951" t="inlineStr">
        <is>
          <t>39502072:eng</t>
        </is>
      </c>
      <c r="AX951" t="inlineStr">
        <is>
          <t>34514502</t>
        </is>
      </c>
      <c r="AY951" t="inlineStr">
        <is>
          <t>991000836289702656</t>
        </is>
      </c>
      <c r="AZ951" t="inlineStr">
        <is>
          <t>991000836289702656</t>
        </is>
      </c>
      <c r="BA951" t="inlineStr">
        <is>
          <t>2256181510002656</t>
        </is>
      </c>
      <c r="BB951" t="inlineStr">
        <is>
          <t>BOOK</t>
        </is>
      </c>
      <c r="BD951" t="inlineStr">
        <is>
          <t>9780815149736</t>
        </is>
      </c>
      <c r="BE951" t="inlineStr">
        <is>
          <t>30001003441898</t>
        </is>
      </c>
      <c r="BF951" t="inlineStr">
        <is>
          <t>893148436</t>
        </is>
      </c>
    </row>
    <row r="952">
      <c r="A952" t="inlineStr">
        <is>
          <t>No</t>
        </is>
      </c>
      <c r="B952" t="inlineStr">
        <is>
          <t>CUHSL</t>
        </is>
      </c>
      <c r="C952" t="inlineStr">
        <is>
          <t>SHELVES</t>
        </is>
      </c>
      <c r="D952" t="inlineStr">
        <is>
          <t>WY 100 K293n 1985</t>
        </is>
      </c>
      <c r="E952" t="inlineStr">
        <is>
          <t>0                      WY 0100000K  293n        1985</t>
        </is>
      </c>
      <c r="F952" t="inlineStr">
        <is>
          <t>Nursing diagnosis source book : guidelines for clinical application / Mary Ann Kelly.</t>
        </is>
      </c>
      <c r="H952" t="inlineStr">
        <is>
          <t>No</t>
        </is>
      </c>
      <c r="I952" t="inlineStr">
        <is>
          <t>1</t>
        </is>
      </c>
      <c r="J952" t="inlineStr">
        <is>
          <t>No</t>
        </is>
      </c>
      <c r="K952" t="inlineStr">
        <is>
          <t>No</t>
        </is>
      </c>
      <c r="L952" t="inlineStr">
        <is>
          <t>0</t>
        </is>
      </c>
      <c r="M952" t="inlineStr">
        <is>
          <t>Kelly, Mary Ann, R.N., Ed. D.</t>
        </is>
      </c>
      <c r="N952" t="inlineStr">
        <is>
          <t>Norwalk, Conn. : Appleton-Century-Crofts, c1985.</t>
        </is>
      </c>
      <c r="O952" t="inlineStr">
        <is>
          <t>1985</t>
        </is>
      </c>
      <c r="Q952" t="inlineStr">
        <is>
          <t>eng</t>
        </is>
      </c>
      <c r="R952" t="inlineStr">
        <is>
          <t>xxu</t>
        </is>
      </c>
      <c r="T952" t="inlineStr">
        <is>
          <t xml:space="preserve">WY </t>
        </is>
      </c>
      <c r="U952" t="n">
        <v>36</v>
      </c>
      <c r="V952" t="n">
        <v>36</v>
      </c>
      <c r="W952" t="inlineStr">
        <is>
          <t>1991-02-18</t>
        </is>
      </c>
      <c r="X952" t="inlineStr">
        <is>
          <t>1991-02-18</t>
        </is>
      </c>
      <c r="Y952" t="inlineStr">
        <is>
          <t>1988-03-16</t>
        </is>
      </c>
      <c r="Z952" t="inlineStr">
        <is>
          <t>1988-03-16</t>
        </is>
      </c>
      <c r="AA952" t="n">
        <v>180</v>
      </c>
      <c r="AB952" t="n">
        <v>147</v>
      </c>
      <c r="AC952" t="n">
        <v>149</v>
      </c>
      <c r="AD952" t="n">
        <v>1</v>
      </c>
      <c r="AE952" t="n">
        <v>1</v>
      </c>
      <c r="AF952" t="n">
        <v>3</v>
      </c>
      <c r="AG952" t="n">
        <v>3</v>
      </c>
      <c r="AH952" t="n">
        <v>1</v>
      </c>
      <c r="AI952" t="n">
        <v>1</v>
      </c>
      <c r="AJ952" t="n">
        <v>1</v>
      </c>
      <c r="AK952" t="n">
        <v>1</v>
      </c>
      <c r="AL952" t="n">
        <v>1</v>
      </c>
      <c r="AM952" t="n">
        <v>1</v>
      </c>
      <c r="AN952" t="n">
        <v>0</v>
      </c>
      <c r="AO952" t="n">
        <v>0</v>
      </c>
      <c r="AP952" t="n">
        <v>0</v>
      </c>
      <c r="AQ952" t="n">
        <v>0</v>
      </c>
      <c r="AR952" t="inlineStr">
        <is>
          <t>No</t>
        </is>
      </c>
      <c r="AS952" t="inlineStr">
        <is>
          <t>Yes</t>
        </is>
      </c>
      <c r="AT952">
        <f>HYPERLINK("http://catalog.hathitrust.org/Record/000462863","HathiTrust Record")</f>
        <v/>
      </c>
      <c r="AU952">
        <f>HYPERLINK("https://creighton-primo.hosted.exlibrisgroup.com/primo-explore/search?tab=default_tab&amp;search_scope=EVERYTHING&amp;vid=01CRU&amp;lang=en_US&amp;offset=0&amp;query=any,contains,991000737549702656","Catalog Record")</f>
        <v/>
      </c>
      <c r="AV952">
        <f>HYPERLINK("http://www.worldcat.org/oclc/11399335","WorldCat Record")</f>
        <v/>
      </c>
      <c r="AW952" t="inlineStr">
        <is>
          <t>4235421:eng</t>
        </is>
      </c>
      <c r="AX952" t="inlineStr">
        <is>
          <t>11399335</t>
        </is>
      </c>
      <c r="AY952" t="inlineStr">
        <is>
          <t>991000737549702656</t>
        </is>
      </c>
      <c r="AZ952" t="inlineStr">
        <is>
          <t>991000737549702656</t>
        </is>
      </c>
      <c r="BA952" t="inlineStr">
        <is>
          <t>2272501620002656</t>
        </is>
      </c>
      <c r="BB952" t="inlineStr">
        <is>
          <t>BOOK</t>
        </is>
      </c>
      <c r="BD952" t="inlineStr">
        <is>
          <t>9780838570340</t>
        </is>
      </c>
      <c r="BE952" t="inlineStr">
        <is>
          <t>30001000042202</t>
        </is>
      </c>
      <c r="BF952" t="inlineStr">
        <is>
          <t>893551399</t>
        </is>
      </c>
    </row>
    <row r="953">
      <c r="A953" t="inlineStr">
        <is>
          <t>No</t>
        </is>
      </c>
      <c r="B953" t="inlineStr">
        <is>
          <t>CUHSL</t>
        </is>
      </c>
      <c r="C953" t="inlineStr">
        <is>
          <t>SHELVES</t>
        </is>
      </c>
      <c r="D953" t="inlineStr">
        <is>
          <t>WY 100 K44 1989</t>
        </is>
      </c>
      <c r="E953" t="inlineStr">
        <is>
          <t>0                      WY 0100000K  44          1989</t>
        </is>
      </c>
      <c r="F953" t="inlineStr">
        <is>
          <t>Key aspects of comfort : management of pain, fatigue, and nausea / Sandra G. Funk ... [et al.], editors.</t>
        </is>
      </c>
      <c r="H953" t="inlineStr">
        <is>
          <t>No</t>
        </is>
      </c>
      <c r="I953" t="inlineStr">
        <is>
          <t>1</t>
        </is>
      </c>
      <c r="J953" t="inlineStr">
        <is>
          <t>No</t>
        </is>
      </c>
      <c r="K953" t="inlineStr">
        <is>
          <t>No</t>
        </is>
      </c>
      <c r="L953" t="inlineStr">
        <is>
          <t>0</t>
        </is>
      </c>
      <c r="N953" t="inlineStr">
        <is>
          <t>New York : Springer Pub. Co., c1989.</t>
        </is>
      </c>
      <c r="O953" t="inlineStr">
        <is>
          <t>1989</t>
        </is>
      </c>
      <c r="Q953" t="inlineStr">
        <is>
          <t>eng</t>
        </is>
      </c>
      <c r="R953" t="inlineStr">
        <is>
          <t>nyu</t>
        </is>
      </c>
      <c r="S953" t="inlineStr">
        <is>
          <t>Disseminating nursing research</t>
        </is>
      </c>
      <c r="T953" t="inlineStr">
        <is>
          <t xml:space="preserve">WY </t>
        </is>
      </c>
      <c r="U953" t="n">
        <v>6</v>
      </c>
      <c r="V953" t="n">
        <v>6</v>
      </c>
      <c r="W953" t="inlineStr">
        <is>
          <t>1997-05-01</t>
        </is>
      </c>
      <c r="X953" t="inlineStr">
        <is>
          <t>1997-05-01</t>
        </is>
      </c>
      <c r="Y953" t="inlineStr">
        <is>
          <t>1991-03-27</t>
        </is>
      </c>
      <c r="Z953" t="inlineStr">
        <is>
          <t>1991-03-27</t>
        </is>
      </c>
      <c r="AA953" t="n">
        <v>269</v>
      </c>
      <c r="AB953" t="n">
        <v>229</v>
      </c>
      <c r="AC953" t="n">
        <v>231</v>
      </c>
      <c r="AD953" t="n">
        <v>2</v>
      </c>
      <c r="AE953" t="n">
        <v>2</v>
      </c>
      <c r="AF953" t="n">
        <v>10</v>
      </c>
      <c r="AG953" t="n">
        <v>10</v>
      </c>
      <c r="AH953" t="n">
        <v>3</v>
      </c>
      <c r="AI953" t="n">
        <v>3</v>
      </c>
      <c r="AJ953" t="n">
        <v>2</v>
      </c>
      <c r="AK953" t="n">
        <v>2</v>
      </c>
      <c r="AL953" t="n">
        <v>5</v>
      </c>
      <c r="AM953" t="n">
        <v>5</v>
      </c>
      <c r="AN953" t="n">
        <v>1</v>
      </c>
      <c r="AO953" t="n">
        <v>1</v>
      </c>
      <c r="AP953" t="n">
        <v>0</v>
      </c>
      <c r="AQ953" t="n">
        <v>0</v>
      </c>
      <c r="AR953" t="inlineStr">
        <is>
          <t>No</t>
        </is>
      </c>
      <c r="AS953" t="inlineStr">
        <is>
          <t>Yes</t>
        </is>
      </c>
      <c r="AT953">
        <f>HYPERLINK("http://catalog.hathitrust.org/Record/001818315","HathiTrust Record")</f>
        <v/>
      </c>
      <c r="AU953">
        <f>HYPERLINK("https://creighton-primo.hosted.exlibrisgroup.com/primo-explore/search?tab=default_tab&amp;search_scope=EVERYTHING&amp;vid=01CRU&amp;lang=en_US&amp;offset=0&amp;query=any,contains,991000826999702656","Catalog Record")</f>
        <v/>
      </c>
      <c r="AV953">
        <f>HYPERLINK("http://www.worldcat.org/oclc/19222166","WorldCat Record")</f>
        <v/>
      </c>
      <c r="AW953" t="inlineStr">
        <is>
          <t>967693:eng</t>
        </is>
      </c>
      <c r="AX953" t="inlineStr">
        <is>
          <t>19222166</t>
        </is>
      </c>
      <c r="AY953" t="inlineStr">
        <is>
          <t>991000826999702656</t>
        </is>
      </c>
      <c r="AZ953" t="inlineStr">
        <is>
          <t>991000826999702656</t>
        </is>
      </c>
      <c r="BA953" t="inlineStr">
        <is>
          <t>2259322340002656</t>
        </is>
      </c>
      <c r="BB953" t="inlineStr">
        <is>
          <t>BOOK</t>
        </is>
      </c>
      <c r="BD953" t="inlineStr">
        <is>
          <t>9780826167606</t>
        </is>
      </c>
      <c r="BE953" t="inlineStr">
        <is>
          <t>30001002089193</t>
        </is>
      </c>
      <c r="BF953" t="inlineStr">
        <is>
          <t>893540662</t>
        </is>
      </c>
    </row>
    <row r="954">
      <c r="A954" t="inlineStr">
        <is>
          <t>No</t>
        </is>
      </c>
      <c r="B954" t="inlineStr">
        <is>
          <t>CUHSL</t>
        </is>
      </c>
      <c r="C954" t="inlineStr">
        <is>
          <t>SHELVES</t>
        </is>
      </c>
      <c r="D954" t="inlineStr">
        <is>
          <t>WY 100 K88fa 1991</t>
        </is>
      </c>
      <c r="E954" t="inlineStr">
        <is>
          <t>0                      WY 0100000K  88fa        1991</t>
        </is>
      </c>
      <c r="F954" t="inlineStr">
        <is>
          <t>Fundamentals of nursing : concepts, process, and practice / Barbara Kozier, Glenora Erb, Rita Olivieri.</t>
        </is>
      </c>
      <c r="H954" t="inlineStr">
        <is>
          <t>No</t>
        </is>
      </c>
      <c r="I954" t="inlineStr">
        <is>
          <t>1</t>
        </is>
      </c>
      <c r="J954" t="inlineStr">
        <is>
          <t>No</t>
        </is>
      </c>
      <c r="K954" t="inlineStr">
        <is>
          <t>Yes</t>
        </is>
      </c>
      <c r="L954" t="inlineStr">
        <is>
          <t>0</t>
        </is>
      </c>
      <c r="M954" t="inlineStr">
        <is>
          <t>Kozier, Barbara.</t>
        </is>
      </c>
      <c r="N954" t="inlineStr">
        <is>
          <t>Redwood City, Calif. : Addison-Wesley Nursing, c1991.</t>
        </is>
      </c>
      <c r="O954" t="inlineStr">
        <is>
          <t>1991</t>
        </is>
      </c>
      <c r="P954" t="inlineStr">
        <is>
          <t>4th ed.</t>
        </is>
      </c>
      <c r="Q954" t="inlineStr">
        <is>
          <t>eng</t>
        </is>
      </c>
      <c r="R954" t="inlineStr">
        <is>
          <t>cau</t>
        </is>
      </c>
      <c r="T954" t="inlineStr">
        <is>
          <t xml:space="preserve">WY </t>
        </is>
      </c>
      <c r="U954" t="n">
        <v>48</v>
      </c>
      <c r="V954" t="n">
        <v>48</v>
      </c>
      <c r="W954" t="inlineStr">
        <is>
          <t>1997-05-30</t>
        </is>
      </c>
      <c r="X954" t="inlineStr">
        <is>
          <t>1997-05-30</t>
        </is>
      </c>
      <c r="Y954" t="inlineStr">
        <is>
          <t>1991-05-17</t>
        </is>
      </c>
      <c r="Z954" t="inlineStr">
        <is>
          <t>1991-05-17</t>
        </is>
      </c>
      <c r="AA954" t="n">
        <v>340</v>
      </c>
      <c r="AB954" t="n">
        <v>260</v>
      </c>
      <c r="AC954" t="n">
        <v>838</v>
      </c>
      <c r="AD954" t="n">
        <v>2</v>
      </c>
      <c r="AE954" t="n">
        <v>3</v>
      </c>
      <c r="AF954" t="n">
        <v>7</v>
      </c>
      <c r="AG954" t="n">
        <v>18</v>
      </c>
      <c r="AH954" t="n">
        <v>2</v>
      </c>
      <c r="AI954" t="n">
        <v>6</v>
      </c>
      <c r="AJ954" t="n">
        <v>2</v>
      </c>
      <c r="AK954" t="n">
        <v>3</v>
      </c>
      <c r="AL954" t="n">
        <v>4</v>
      </c>
      <c r="AM954" t="n">
        <v>10</v>
      </c>
      <c r="AN954" t="n">
        <v>1</v>
      </c>
      <c r="AO954" t="n">
        <v>2</v>
      </c>
      <c r="AP954" t="n">
        <v>0</v>
      </c>
      <c r="AQ954" t="n">
        <v>0</v>
      </c>
      <c r="AR954" t="inlineStr">
        <is>
          <t>No</t>
        </is>
      </c>
      <c r="AS954" t="inlineStr">
        <is>
          <t>No</t>
        </is>
      </c>
      <c r="AU954">
        <f>HYPERLINK("https://creighton-primo.hosted.exlibrisgroup.com/primo-explore/search?tab=default_tab&amp;search_scope=EVERYTHING&amp;vid=01CRU&amp;lang=en_US&amp;offset=0&amp;query=any,contains,991000936939702656","Catalog Record")</f>
        <v/>
      </c>
      <c r="AV954">
        <f>HYPERLINK("http://www.worldcat.org/oclc/22665340","WorldCat Record")</f>
        <v/>
      </c>
      <c r="AW954" t="inlineStr">
        <is>
          <t>836974557:eng</t>
        </is>
      </c>
      <c r="AX954" t="inlineStr">
        <is>
          <t>22665340</t>
        </is>
      </c>
      <c r="AY954" t="inlineStr">
        <is>
          <t>991000936939702656</t>
        </is>
      </c>
      <c r="AZ954" t="inlineStr">
        <is>
          <t>991000936939702656</t>
        </is>
      </c>
      <c r="BA954" t="inlineStr">
        <is>
          <t>2257335770002656</t>
        </is>
      </c>
      <c r="BB954" t="inlineStr">
        <is>
          <t>BOOK</t>
        </is>
      </c>
      <c r="BD954" t="inlineStr">
        <is>
          <t>9780201092028</t>
        </is>
      </c>
      <c r="BE954" t="inlineStr">
        <is>
          <t>30001002191312</t>
        </is>
      </c>
      <c r="BF954" t="inlineStr">
        <is>
          <t>893450625</t>
        </is>
      </c>
    </row>
    <row r="955">
      <c r="A955" t="inlineStr">
        <is>
          <t>No</t>
        </is>
      </c>
      <c r="B955" t="inlineStr">
        <is>
          <t>CUHSL</t>
        </is>
      </c>
      <c r="C955" t="inlineStr">
        <is>
          <t>SHELVES</t>
        </is>
      </c>
      <c r="D955" t="inlineStr">
        <is>
          <t>WY 100 K88i 1989</t>
        </is>
      </c>
      <c r="E955" t="inlineStr">
        <is>
          <t>0                      WY 0100000K  88i         1989</t>
        </is>
      </c>
      <c r="F955" t="inlineStr">
        <is>
          <t>Introduction to nursing / Barbara Kozier, Glenora Erb, Patricia McKay Bufalino.</t>
        </is>
      </c>
      <c r="H955" t="inlineStr">
        <is>
          <t>No</t>
        </is>
      </c>
      <c r="I955" t="inlineStr">
        <is>
          <t>1</t>
        </is>
      </c>
      <c r="J955" t="inlineStr">
        <is>
          <t>No</t>
        </is>
      </c>
      <c r="K955" t="inlineStr">
        <is>
          <t>No</t>
        </is>
      </c>
      <c r="L955" t="inlineStr">
        <is>
          <t>0</t>
        </is>
      </c>
      <c r="M955" t="inlineStr">
        <is>
          <t>Kozier, Barbara.</t>
        </is>
      </c>
      <c r="N955" t="inlineStr">
        <is>
          <t>Redwood City, Calif. : Addison-Wesley Pub. Co., Health Sciences, c1989.</t>
        </is>
      </c>
      <c r="O955" t="inlineStr">
        <is>
          <t>1989</t>
        </is>
      </c>
      <c r="Q955" t="inlineStr">
        <is>
          <t>eng</t>
        </is>
      </c>
      <c r="R955" t="inlineStr">
        <is>
          <t>xxu</t>
        </is>
      </c>
      <c r="T955" t="inlineStr">
        <is>
          <t xml:space="preserve">WY </t>
        </is>
      </c>
      <c r="U955" t="n">
        <v>53</v>
      </c>
      <c r="V955" t="n">
        <v>53</v>
      </c>
      <c r="W955" t="inlineStr">
        <is>
          <t>1997-03-03</t>
        </is>
      </c>
      <c r="X955" t="inlineStr">
        <is>
          <t>1997-03-03</t>
        </is>
      </c>
      <c r="Y955" t="inlineStr">
        <is>
          <t>1989-06-13</t>
        </is>
      </c>
      <c r="Z955" t="inlineStr">
        <is>
          <t>1989-06-13</t>
        </is>
      </c>
      <c r="AA955" t="n">
        <v>205</v>
      </c>
      <c r="AB955" t="n">
        <v>153</v>
      </c>
      <c r="AC955" t="n">
        <v>155</v>
      </c>
      <c r="AD955" t="n">
        <v>2</v>
      </c>
      <c r="AE955" t="n">
        <v>2</v>
      </c>
      <c r="AF955" t="n">
        <v>4</v>
      </c>
      <c r="AG955" t="n">
        <v>4</v>
      </c>
      <c r="AH955" t="n">
        <v>1</v>
      </c>
      <c r="AI955" t="n">
        <v>1</v>
      </c>
      <c r="AJ955" t="n">
        <v>1</v>
      </c>
      <c r="AK955" t="n">
        <v>1</v>
      </c>
      <c r="AL955" t="n">
        <v>3</v>
      </c>
      <c r="AM955" t="n">
        <v>3</v>
      </c>
      <c r="AN955" t="n">
        <v>0</v>
      </c>
      <c r="AO955" t="n">
        <v>0</v>
      </c>
      <c r="AP955" t="n">
        <v>0</v>
      </c>
      <c r="AQ955" t="n">
        <v>0</v>
      </c>
      <c r="AR955" t="inlineStr">
        <is>
          <t>No</t>
        </is>
      </c>
      <c r="AS955" t="inlineStr">
        <is>
          <t>Yes</t>
        </is>
      </c>
      <c r="AT955">
        <f>HYPERLINK("http://catalog.hathitrust.org/Record/001094203","HathiTrust Record")</f>
        <v/>
      </c>
      <c r="AU955">
        <f>HYPERLINK("https://creighton-primo.hosted.exlibrisgroup.com/primo-explore/search?tab=default_tab&amp;search_scope=EVERYTHING&amp;vid=01CRU&amp;lang=en_US&amp;offset=0&amp;query=any,contains,991001251789702656","Catalog Record")</f>
        <v/>
      </c>
      <c r="AV955">
        <f>HYPERLINK("http://www.worldcat.org/oclc/18464260","WorldCat Record")</f>
        <v/>
      </c>
      <c r="AW955" t="inlineStr">
        <is>
          <t>3768742753:eng</t>
        </is>
      </c>
      <c r="AX955" t="inlineStr">
        <is>
          <t>18464260</t>
        </is>
      </c>
      <c r="AY955" t="inlineStr">
        <is>
          <t>991001251789702656</t>
        </is>
      </c>
      <c r="AZ955" t="inlineStr">
        <is>
          <t>991001251789702656</t>
        </is>
      </c>
      <c r="BA955" t="inlineStr">
        <is>
          <t>2269185970002656</t>
        </is>
      </c>
      <c r="BB955" t="inlineStr">
        <is>
          <t>BOOK</t>
        </is>
      </c>
      <c r="BD955" t="inlineStr">
        <is>
          <t>9780201122404</t>
        </is>
      </c>
      <c r="BE955" t="inlineStr">
        <is>
          <t>30001001679119</t>
        </is>
      </c>
      <c r="BF955" t="inlineStr">
        <is>
          <t>893460391</t>
        </is>
      </c>
    </row>
    <row r="956">
      <c r="A956" t="inlineStr">
        <is>
          <t>No</t>
        </is>
      </c>
      <c r="B956" t="inlineStr">
        <is>
          <t>CUHSL</t>
        </is>
      </c>
      <c r="C956" t="inlineStr">
        <is>
          <t>SHELVES</t>
        </is>
      </c>
      <c r="D956" t="inlineStr">
        <is>
          <t>WY 100 K88t 2004</t>
        </is>
      </c>
      <c r="E956" t="inlineStr">
        <is>
          <t>0                      WY 0100000K  88t         2004</t>
        </is>
      </c>
      <c r="F956" t="inlineStr">
        <is>
          <t>Kozier &amp; Erb's techniques in clinical nursing : basic to intermediate skills / Barbara Kozier ... [et al.].</t>
        </is>
      </c>
      <c r="H956" t="inlineStr">
        <is>
          <t>No</t>
        </is>
      </c>
      <c r="I956" t="inlineStr">
        <is>
          <t>1</t>
        </is>
      </c>
      <c r="J956" t="inlineStr">
        <is>
          <t>No</t>
        </is>
      </c>
      <c r="K956" t="inlineStr">
        <is>
          <t>No</t>
        </is>
      </c>
      <c r="L956" t="inlineStr">
        <is>
          <t>0</t>
        </is>
      </c>
      <c r="N956" t="inlineStr">
        <is>
          <t>Upper Saddle River, N.J. : Pearson/Prentice Hall, c2004.</t>
        </is>
      </c>
      <c r="O956" t="inlineStr">
        <is>
          <t>2004</t>
        </is>
      </c>
      <c r="P956" t="inlineStr">
        <is>
          <t>5th ed.</t>
        </is>
      </c>
      <c r="Q956" t="inlineStr">
        <is>
          <t>eng</t>
        </is>
      </c>
      <c r="R956" t="inlineStr">
        <is>
          <t>nju</t>
        </is>
      </c>
      <c r="T956" t="inlineStr">
        <is>
          <t xml:space="preserve">WY </t>
        </is>
      </c>
      <c r="U956" t="n">
        <v>0</v>
      </c>
      <c r="V956" t="n">
        <v>0</v>
      </c>
      <c r="W956" t="inlineStr">
        <is>
          <t>2006-09-03</t>
        </is>
      </c>
      <c r="X956" t="inlineStr">
        <is>
          <t>2006-09-03</t>
        </is>
      </c>
      <c r="Y956" t="inlineStr">
        <is>
          <t>2006-08-25</t>
        </is>
      </c>
      <c r="Z956" t="inlineStr">
        <is>
          <t>2006-08-25</t>
        </is>
      </c>
      <c r="AA956" t="n">
        <v>138</v>
      </c>
      <c r="AB956" t="n">
        <v>99</v>
      </c>
      <c r="AC956" t="n">
        <v>238</v>
      </c>
      <c r="AD956" t="n">
        <v>1</v>
      </c>
      <c r="AE956" t="n">
        <v>1</v>
      </c>
      <c r="AF956" t="n">
        <v>1</v>
      </c>
      <c r="AG956" t="n">
        <v>5</v>
      </c>
      <c r="AH956" t="n">
        <v>1</v>
      </c>
      <c r="AI956" t="n">
        <v>4</v>
      </c>
      <c r="AJ956" t="n">
        <v>0</v>
      </c>
      <c r="AK956" t="n">
        <v>0</v>
      </c>
      <c r="AL956" t="n">
        <v>0</v>
      </c>
      <c r="AM956" t="n">
        <v>1</v>
      </c>
      <c r="AN956" t="n">
        <v>0</v>
      </c>
      <c r="AO956" t="n">
        <v>0</v>
      </c>
      <c r="AP956" t="n">
        <v>0</v>
      </c>
      <c r="AQ956" t="n">
        <v>0</v>
      </c>
      <c r="AR956" t="inlineStr">
        <is>
          <t>No</t>
        </is>
      </c>
      <c r="AS956" t="inlineStr">
        <is>
          <t>Yes</t>
        </is>
      </c>
      <c r="AT956">
        <f>HYPERLINK("http://catalog.hathitrust.org/Record/004339012","HathiTrust Record")</f>
        <v/>
      </c>
      <c r="AU956">
        <f>HYPERLINK("https://creighton-primo.hosted.exlibrisgroup.com/primo-explore/search?tab=default_tab&amp;search_scope=EVERYTHING&amp;vid=01CRU&amp;lang=en_US&amp;offset=0&amp;query=any,contains,991001743959702656","Catalog Record")</f>
        <v/>
      </c>
      <c r="AV956">
        <f>HYPERLINK("http://www.worldcat.org/oclc/53055829","WorldCat Record")</f>
        <v/>
      </c>
      <c r="AW956" t="inlineStr">
        <is>
          <t>3373718467:eng</t>
        </is>
      </c>
      <c r="AX956" t="inlineStr">
        <is>
          <t>53055829</t>
        </is>
      </c>
      <c r="AY956" t="inlineStr">
        <is>
          <t>991001743959702656</t>
        </is>
      </c>
      <c r="AZ956" t="inlineStr">
        <is>
          <t>991001743959702656</t>
        </is>
      </c>
      <c r="BA956" t="inlineStr">
        <is>
          <t>2266752730002656</t>
        </is>
      </c>
      <c r="BB956" t="inlineStr">
        <is>
          <t>BOOK</t>
        </is>
      </c>
      <c r="BD956" t="inlineStr">
        <is>
          <t>9780131142299</t>
        </is>
      </c>
      <c r="BE956" t="inlineStr">
        <is>
          <t>30001005120649</t>
        </is>
      </c>
      <c r="BF956" t="inlineStr">
        <is>
          <t>893460957</t>
        </is>
      </c>
    </row>
    <row r="957">
      <c r="A957" t="inlineStr">
        <is>
          <t>No</t>
        </is>
      </c>
      <c r="B957" t="inlineStr">
        <is>
          <t>CUHSL</t>
        </is>
      </c>
      <c r="C957" t="inlineStr">
        <is>
          <t>SHELVES</t>
        </is>
      </c>
      <c r="D957" t="inlineStr">
        <is>
          <t>WY 100 L222p 1985</t>
        </is>
      </c>
      <c r="E957" t="inlineStr">
        <is>
          <t>0                      WY 0100000L  222p        1985</t>
        </is>
      </c>
      <c r="F957" t="inlineStr">
        <is>
          <t>Psychosocial care of the physically ill : what every nurse should know / Vickie A. Lambert, Clinton E. Lambert, Jr.</t>
        </is>
      </c>
      <c r="H957" t="inlineStr">
        <is>
          <t>No</t>
        </is>
      </c>
      <c r="I957" t="inlineStr">
        <is>
          <t>1</t>
        </is>
      </c>
      <c r="J957" t="inlineStr">
        <is>
          <t>No</t>
        </is>
      </c>
      <c r="K957" t="inlineStr">
        <is>
          <t>No</t>
        </is>
      </c>
      <c r="L957" t="inlineStr">
        <is>
          <t>0</t>
        </is>
      </c>
      <c r="M957" t="inlineStr">
        <is>
          <t>Lambert, Vickie A.</t>
        </is>
      </c>
      <c r="N957" t="inlineStr">
        <is>
          <t>Englewood Cliffs, N.J. : Prentice-Hall, c1985.</t>
        </is>
      </c>
      <c r="O957" t="inlineStr">
        <is>
          <t>1985</t>
        </is>
      </c>
      <c r="Q957" t="inlineStr">
        <is>
          <t>eng</t>
        </is>
      </c>
      <c r="R957" t="inlineStr">
        <is>
          <t>xxu</t>
        </is>
      </c>
      <c r="T957" t="inlineStr">
        <is>
          <t xml:space="preserve">WY </t>
        </is>
      </c>
      <c r="U957" t="n">
        <v>3</v>
      </c>
      <c r="V957" t="n">
        <v>3</v>
      </c>
      <c r="W957" t="inlineStr">
        <is>
          <t>1999-01-18</t>
        </is>
      </c>
      <c r="X957" t="inlineStr">
        <is>
          <t>1999-01-18</t>
        </is>
      </c>
      <c r="Y957" t="inlineStr">
        <is>
          <t>1987-12-29</t>
        </is>
      </c>
      <c r="Z957" t="inlineStr">
        <is>
          <t>1987-12-29</t>
        </is>
      </c>
      <c r="AA957" t="n">
        <v>273</v>
      </c>
      <c r="AB957" t="n">
        <v>220</v>
      </c>
      <c r="AC957" t="n">
        <v>223</v>
      </c>
      <c r="AD957" t="n">
        <v>2</v>
      </c>
      <c r="AE957" t="n">
        <v>2</v>
      </c>
      <c r="AF957" t="n">
        <v>7</v>
      </c>
      <c r="AG957" t="n">
        <v>8</v>
      </c>
      <c r="AH957" t="n">
        <v>1</v>
      </c>
      <c r="AI957" t="n">
        <v>2</v>
      </c>
      <c r="AJ957" t="n">
        <v>1</v>
      </c>
      <c r="AK957" t="n">
        <v>1</v>
      </c>
      <c r="AL957" t="n">
        <v>5</v>
      </c>
      <c r="AM957" t="n">
        <v>6</v>
      </c>
      <c r="AN957" t="n">
        <v>1</v>
      </c>
      <c r="AO957" t="n">
        <v>1</v>
      </c>
      <c r="AP957" t="n">
        <v>0</v>
      </c>
      <c r="AQ957" t="n">
        <v>0</v>
      </c>
      <c r="AR957" t="inlineStr">
        <is>
          <t>No</t>
        </is>
      </c>
      <c r="AS957" t="inlineStr">
        <is>
          <t>Yes</t>
        </is>
      </c>
      <c r="AT957">
        <f>HYPERLINK("http://catalog.hathitrust.org/Record/000347081","HathiTrust Record")</f>
        <v/>
      </c>
      <c r="AU957">
        <f>HYPERLINK("https://creighton-primo.hosted.exlibrisgroup.com/primo-explore/search?tab=default_tab&amp;search_scope=EVERYTHING&amp;vid=01CRU&amp;lang=en_US&amp;offset=0&amp;query=any,contains,991001144709702656","Catalog Record")</f>
        <v/>
      </c>
      <c r="AV957">
        <f>HYPERLINK("http://www.worldcat.org/oclc/11029977","WorldCat Record")</f>
        <v/>
      </c>
      <c r="AW957" t="inlineStr">
        <is>
          <t>3868308:eng</t>
        </is>
      </c>
      <c r="AX957" t="inlineStr">
        <is>
          <t>11029977</t>
        </is>
      </c>
      <c r="AY957" t="inlineStr">
        <is>
          <t>991001144709702656</t>
        </is>
      </c>
      <c r="AZ957" t="inlineStr">
        <is>
          <t>991001144709702656</t>
        </is>
      </c>
      <c r="BA957" t="inlineStr">
        <is>
          <t>2254845250002656</t>
        </is>
      </c>
      <c r="BB957" t="inlineStr">
        <is>
          <t>BOOK</t>
        </is>
      </c>
      <c r="BD957" t="inlineStr">
        <is>
          <t>9780137368693</t>
        </is>
      </c>
      <c r="BE957" t="inlineStr">
        <is>
          <t>30001000291536</t>
        </is>
      </c>
      <c r="BF957" t="inlineStr">
        <is>
          <t>893557645</t>
        </is>
      </c>
    </row>
    <row r="958">
      <c r="A958" t="inlineStr">
        <is>
          <t>No</t>
        </is>
      </c>
      <c r="B958" t="inlineStr">
        <is>
          <t>CUHSL</t>
        </is>
      </c>
      <c r="C958" t="inlineStr">
        <is>
          <t>SHELVES</t>
        </is>
      </c>
      <c r="D958" t="inlineStr">
        <is>
          <t>WY 100 L449b 1973</t>
        </is>
      </c>
      <c r="E958" t="inlineStr">
        <is>
          <t>0                      WY 0100000L  449b        1973</t>
        </is>
      </c>
      <c r="F958" t="inlineStr">
        <is>
          <t>Behavior modification : a significant method in nursing practice.</t>
        </is>
      </c>
      <c r="H958" t="inlineStr">
        <is>
          <t>No</t>
        </is>
      </c>
      <c r="I958" t="inlineStr">
        <is>
          <t>1</t>
        </is>
      </c>
      <c r="J958" t="inlineStr">
        <is>
          <t>No</t>
        </is>
      </c>
      <c r="K958" t="inlineStr">
        <is>
          <t>No</t>
        </is>
      </c>
      <c r="L958" t="inlineStr">
        <is>
          <t>0</t>
        </is>
      </c>
      <c r="M958" t="inlineStr">
        <is>
          <t>LeBow, Michael D.</t>
        </is>
      </c>
      <c r="N958" t="inlineStr">
        <is>
          <t>Englewood Cliffs, N.J. : Prentice-Hall, 1973</t>
        </is>
      </c>
      <c r="O958" t="inlineStr">
        <is>
          <t>1973</t>
        </is>
      </c>
      <c r="Q958" t="inlineStr">
        <is>
          <t>eng</t>
        </is>
      </c>
      <c r="R958" t="inlineStr">
        <is>
          <t>nju</t>
        </is>
      </c>
      <c r="S958" t="inlineStr">
        <is>
          <t>Scientific foundations of nursing practice series</t>
        </is>
      </c>
      <c r="T958" t="inlineStr">
        <is>
          <t xml:space="preserve">WY </t>
        </is>
      </c>
      <c r="U958" t="n">
        <v>3</v>
      </c>
      <c r="V958" t="n">
        <v>3</v>
      </c>
      <c r="W958" t="inlineStr">
        <is>
          <t>1992-06-27</t>
        </is>
      </c>
      <c r="X958" t="inlineStr">
        <is>
          <t>1992-06-27</t>
        </is>
      </c>
      <c r="Y958" t="inlineStr">
        <is>
          <t>1988-01-05</t>
        </is>
      </c>
      <c r="Z958" t="inlineStr">
        <is>
          <t>1988-01-05</t>
        </is>
      </c>
      <c r="AA958" t="n">
        <v>244</v>
      </c>
      <c r="AB958" t="n">
        <v>196</v>
      </c>
      <c r="AC958" t="n">
        <v>198</v>
      </c>
      <c r="AD958" t="n">
        <v>3</v>
      </c>
      <c r="AE958" t="n">
        <v>3</v>
      </c>
      <c r="AF958" t="n">
        <v>9</v>
      </c>
      <c r="AG958" t="n">
        <v>9</v>
      </c>
      <c r="AH958" t="n">
        <v>2</v>
      </c>
      <c r="AI958" t="n">
        <v>2</v>
      </c>
      <c r="AJ958" t="n">
        <v>2</v>
      </c>
      <c r="AK958" t="n">
        <v>2</v>
      </c>
      <c r="AL958" t="n">
        <v>5</v>
      </c>
      <c r="AM958" t="n">
        <v>5</v>
      </c>
      <c r="AN958" t="n">
        <v>1</v>
      </c>
      <c r="AO958" t="n">
        <v>1</v>
      </c>
      <c r="AP958" t="n">
        <v>0</v>
      </c>
      <c r="AQ958" t="n">
        <v>0</v>
      </c>
      <c r="AR958" t="inlineStr">
        <is>
          <t>No</t>
        </is>
      </c>
      <c r="AS958" t="inlineStr">
        <is>
          <t>Yes</t>
        </is>
      </c>
      <c r="AT958">
        <f>HYPERLINK("http://catalog.hathitrust.org/Record/001579433","HathiTrust Record")</f>
        <v/>
      </c>
      <c r="AU958">
        <f>HYPERLINK("https://creighton-primo.hosted.exlibrisgroup.com/primo-explore/search?tab=default_tab&amp;search_scope=EVERYTHING&amp;vid=01CRU&amp;lang=en_US&amp;offset=0&amp;query=any,contains,991001144839702656","Catalog Record")</f>
        <v/>
      </c>
      <c r="AV958">
        <f>HYPERLINK("http://www.worldcat.org/oclc/482466","WorldCat Record")</f>
        <v/>
      </c>
      <c r="AW958" t="inlineStr">
        <is>
          <t>307988378:eng</t>
        </is>
      </c>
      <c r="AX958" t="inlineStr">
        <is>
          <t>482466</t>
        </is>
      </c>
      <c r="AY958" t="inlineStr">
        <is>
          <t>991001144839702656</t>
        </is>
      </c>
      <c r="AZ958" t="inlineStr">
        <is>
          <t>991001144839702656</t>
        </is>
      </c>
      <c r="BA958" t="inlineStr">
        <is>
          <t>2258766600002656</t>
        </is>
      </c>
      <c r="BB958" t="inlineStr">
        <is>
          <t>BOOK</t>
        </is>
      </c>
      <c r="BD958" t="inlineStr">
        <is>
          <t>9780130741790</t>
        </is>
      </c>
      <c r="BE958" t="inlineStr">
        <is>
          <t>30001000291577</t>
        </is>
      </c>
      <c r="BF958" t="inlineStr">
        <is>
          <t>893374287</t>
        </is>
      </c>
    </row>
    <row r="959">
      <c r="A959" t="inlineStr">
        <is>
          <t>No</t>
        </is>
      </c>
      <c r="B959" t="inlineStr">
        <is>
          <t>CUHSL</t>
        </is>
      </c>
      <c r="C959" t="inlineStr">
        <is>
          <t>SHELVES</t>
        </is>
      </c>
      <c r="D959" t="inlineStr">
        <is>
          <t>WY 100 L665 1991</t>
        </is>
      </c>
      <c r="E959" t="inlineStr">
        <is>
          <t>0                      WY 0100000L  665         1991</t>
        </is>
      </c>
      <c r="F959" t="inlineStr">
        <is>
          <t>Levine's conservation model : a framework for nursing practice / edited by Karen Moore Schaefer and Jane Benson Pond ; with special contributions by Myra E. Levine and Jacqueline Fawcett.</t>
        </is>
      </c>
      <c r="H959" t="inlineStr">
        <is>
          <t>No</t>
        </is>
      </c>
      <c r="I959" t="inlineStr">
        <is>
          <t>1</t>
        </is>
      </c>
      <c r="J959" t="inlineStr">
        <is>
          <t>No</t>
        </is>
      </c>
      <c r="K959" t="inlineStr">
        <is>
          <t>No</t>
        </is>
      </c>
      <c r="L959" t="inlineStr">
        <is>
          <t>0</t>
        </is>
      </c>
      <c r="N959" t="inlineStr">
        <is>
          <t>Philadelphia : F.A. Davis Co., c1991.</t>
        </is>
      </c>
      <c r="O959" t="inlineStr">
        <is>
          <t>1991</t>
        </is>
      </c>
      <c r="Q959" t="inlineStr">
        <is>
          <t>eng</t>
        </is>
      </c>
      <c r="R959" t="inlineStr">
        <is>
          <t>pau</t>
        </is>
      </c>
      <c r="T959" t="inlineStr">
        <is>
          <t xml:space="preserve">WY </t>
        </is>
      </c>
      <c r="U959" t="n">
        <v>20</v>
      </c>
      <c r="V959" t="n">
        <v>20</v>
      </c>
      <c r="W959" t="inlineStr">
        <is>
          <t>2000-10-13</t>
        </is>
      </c>
      <c r="X959" t="inlineStr">
        <is>
          <t>2000-10-13</t>
        </is>
      </c>
      <c r="Y959" t="inlineStr">
        <is>
          <t>1994-10-17</t>
        </is>
      </c>
      <c r="Z959" t="inlineStr">
        <is>
          <t>1994-10-17</t>
        </is>
      </c>
      <c r="AA959" t="n">
        <v>284</v>
      </c>
      <c r="AB959" t="n">
        <v>227</v>
      </c>
      <c r="AC959" t="n">
        <v>229</v>
      </c>
      <c r="AD959" t="n">
        <v>2</v>
      </c>
      <c r="AE959" t="n">
        <v>2</v>
      </c>
      <c r="AF959" t="n">
        <v>20</v>
      </c>
      <c r="AG959" t="n">
        <v>20</v>
      </c>
      <c r="AH959" t="n">
        <v>7</v>
      </c>
      <c r="AI959" t="n">
        <v>7</v>
      </c>
      <c r="AJ959" t="n">
        <v>5</v>
      </c>
      <c r="AK959" t="n">
        <v>5</v>
      </c>
      <c r="AL959" t="n">
        <v>12</v>
      </c>
      <c r="AM959" t="n">
        <v>12</v>
      </c>
      <c r="AN959" t="n">
        <v>1</v>
      </c>
      <c r="AO959" t="n">
        <v>1</v>
      </c>
      <c r="AP959" t="n">
        <v>0</v>
      </c>
      <c r="AQ959" t="n">
        <v>0</v>
      </c>
      <c r="AR959" t="inlineStr">
        <is>
          <t>No</t>
        </is>
      </c>
      <c r="AS959" t="inlineStr">
        <is>
          <t>Yes</t>
        </is>
      </c>
      <c r="AT959">
        <f>HYPERLINK("http://catalog.hathitrust.org/Record/002450476","HathiTrust Record")</f>
        <v/>
      </c>
      <c r="AU959">
        <f>HYPERLINK("https://creighton-primo.hosted.exlibrisgroup.com/primo-explore/search?tab=default_tab&amp;search_scope=EVERYTHING&amp;vid=01CRU&amp;lang=en_US&amp;offset=0&amp;query=any,contains,991001336149702656","Catalog Record")</f>
        <v/>
      </c>
      <c r="AV959">
        <f>HYPERLINK("http://www.worldcat.org/oclc/23213410","WorldCat Record")</f>
        <v/>
      </c>
      <c r="AW959" t="inlineStr">
        <is>
          <t>836839238:eng</t>
        </is>
      </c>
      <c r="AX959" t="inlineStr">
        <is>
          <t>23213410</t>
        </is>
      </c>
      <c r="AY959" t="inlineStr">
        <is>
          <t>991001336149702656</t>
        </is>
      </c>
      <c r="AZ959" t="inlineStr">
        <is>
          <t>991001336149702656</t>
        </is>
      </c>
      <c r="BA959" t="inlineStr">
        <is>
          <t>2263954860002656</t>
        </is>
      </c>
      <c r="BB959" t="inlineStr">
        <is>
          <t>BOOK</t>
        </is>
      </c>
      <c r="BD959" t="inlineStr">
        <is>
          <t>9780803677470</t>
        </is>
      </c>
      <c r="BE959" t="inlineStr">
        <is>
          <t>30001003111137</t>
        </is>
      </c>
      <c r="BF959" t="inlineStr">
        <is>
          <t>893358486</t>
        </is>
      </c>
    </row>
    <row r="960">
      <c r="A960" t="inlineStr">
        <is>
          <t>No</t>
        </is>
      </c>
      <c r="B960" t="inlineStr">
        <is>
          <t>CUHSL</t>
        </is>
      </c>
      <c r="C960" t="inlineStr">
        <is>
          <t>SHELVES</t>
        </is>
      </c>
      <c r="D960" t="inlineStr">
        <is>
          <t>WY 100 L676m 1983</t>
        </is>
      </c>
      <c r="E960" t="inlineStr">
        <is>
          <t>0                      WY 0100000L  676m        1983</t>
        </is>
      </c>
      <c r="F960" t="inlineStr">
        <is>
          <t>Medical-surgical nursing : assessment and management of clinical problems / Sharon Mantik Lewis, Idolia Cox Collier.</t>
        </is>
      </c>
      <c r="H960" t="inlineStr">
        <is>
          <t>No</t>
        </is>
      </c>
      <c r="I960" t="inlineStr">
        <is>
          <t>1</t>
        </is>
      </c>
      <c r="J960" t="inlineStr">
        <is>
          <t>No</t>
        </is>
      </c>
      <c r="K960" t="inlineStr">
        <is>
          <t>No</t>
        </is>
      </c>
      <c r="L960" t="inlineStr">
        <is>
          <t>0</t>
        </is>
      </c>
      <c r="M960" t="inlineStr">
        <is>
          <t>Lewis, Sharon Mantik.</t>
        </is>
      </c>
      <c r="N960" t="inlineStr">
        <is>
          <t>New York : McGraw-Hill, c1983.</t>
        </is>
      </c>
      <c r="O960" t="inlineStr">
        <is>
          <t>1983</t>
        </is>
      </c>
      <c r="Q960" t="inlineStr">
        <is>
          <t>eng</t>
        </is>
      </c>
      <c r="R960" t="inlineStr">
        <is>
          <t>xxu</t>
        </is>
      </c>
      <c r="T960" t="inlineStr">
        <is>
          <t xml:space="preserve">WY </t>
        </is>
      </c>
      <c r="U960" t="n">
        <v>4</v>
      </c>
      <c r="V960" t="n">
        <v>4</v>
      </c>
      <c r="W960" t="inlineStr">
        <is>
          <t>1993-08-30</t>
        </is>
      </c>
      <c r="X960" t="inlineStr">
        <is>
          <t>1993-08-30</t>
        </is>
      </c>
      <c r="Y960" t="inlineStr">
        <is>
          <t>1987-12-29</t>
        </is>
      </c>
      <c r="Z960" t="inlineStr">
        <is>
          <t>1987-12-29</t>
        </is>
      </c>
      <c r="AA960" t="n">
        <v>153</v>
      </c>
      <c r="AB960" t="n">
        <v>122</v>
      </c>
      <c r="AC960" t="n">
        <v>263</v>
      </c>
      <c r="AD960" t="n">
        <v>2</v>
      </c>
      <c r="AE960" t="n">
        <v>3</v>
      </c>
      <c r="AF960" t="n">
        <v>3</v>
      </c>
      <c r="AG960" t="n">
        <v>6</v>
      </c>
      <c r="AH960" t="n">
        <v>1</v>
      </c>
      <c r="AI960" t="n">
        <v>2</v>
      </c>
      <c r="AJ960" t="n">
        <v>0</v>
      </c>
      <c r="AK960" t="n">
        <v>0</v>
      </c>
      <c r="AL960" t="n">
        <v>2</v>
      </c>
      <c r="AM960" t="n">
        <v>4</v>
      </c>
      <c r="AN960" t="n">
        <v>0</v>
      </c>
      <c r="AO960" t="n">
        <v>1</v>
      </c>
      <c r="AP960" t="n">
        <v>0</v>
      </c>
      <c r="AQ960" t="n">
        <v>0</v>
      </c>
      <c r="AR960" t="inlineStr">
        <is>
          <t>No</t>
        </is>
      </c>
      <c r="AS960" t="inlineStr">
        <is>
          <t>No</t>
        </is>
      </c>
      <c r="AU960">
        <f>HYPERLINK("https://creighton-primo.hosted.exlibrisgroup.com/primo-explore/search?tab=default_tab&amp;search_scope=EVERYTHING&amp;vid=01CRU&amp;lang=en_US&amp;offset=0&amp;query=any,contains,991001086449702656","Catalog Record")</f>
        <v/>
      </c>
      <c r="AV960">
        <f>HYPERLINK("http://www.worldcat.org/oclc/8866361","WorldCat Record")</f>
        <v/>
      </c>
      <c r="AW960" t="inlineStr">
        <is>
          <t>5454242037:eng</t>
        </is>
      </c>
      <c r="AX960" t="inlineStr">
        <is>
          <t>8866361</t>
        </is>
      </c>
      <c r="AY960" t="inlineStr">
        <is>
          <t>991001086449702656</t>
        </is>
      </c>
      <c r="AZ960" t="inlineStr">
        <is>
          <t>991001086449702656</t>
        </is>
      </c>
      <c r="BA960" t="inlineStr">
        <is>
          <t>2265205230002656</t>
        </is>
      </c>
      <c r="BB960" t="inlineStr">
        <is>
          <t>BOOK</t>
        </is>
      </c>
      <c r="BD960" t="inlineStr">
        <is>
          <t>9780700375615</t>
        </is>
      </c>
      <c r="BE960" t="inlineStr">
        <is>
          <t>30001000259608</t>
        </is>
      </c>
      <c r="BF960" t="inlineStr">
        <is>
          <t>893161667</t>
        </is>
      </c>
    </row>
    <row r="961">
      <c r="A961" t="inlineStr">
        <is>
          <t>No</t>
        </is>
      </c>
      <c r="B961" t="inlineStr">
        <is>
          <t>CUHSL</t>
        </is>
      </c>
      <c r="C961" t="inlineStr">
        <is>
          <t>SHELVES</t>
        </is>
      </c>
      <c r="D961" t="inlineStr">
        <is>
          <t>WY 100 L941s 1997</t>
        </is>
      </c>
      <c r="E961" t="inlineStr">
        <is>
          <t>0                      WY 0100000L  941s        1997</t>
        </is>
      </c>
      <c r="F961" t="inlineStr">
        <is>
          <t>Saunders manual of nursing care / editor, Joan Luckmann ; medical illustrations by Kate Sweeney.</t>
        </is>
      </c>
      <c r="H961" t="inlineStr">
        <is>
          <t>No</t>
        </is>
      </c>
      <c r="I961" t="inlineStr">
        <is>
          <t>1</t>
        </is>
      </c>
      <c r="J961" t="inlineStr">
        <is>
          <t>No</t>
        </is>
      </c>
      <c r="K961" t="inlineStr">
        <is>
          <t>No</t>
        </is>
      </c>
      <c r="L961" t="inlineStr">
        <is>
          <t>0</t>
        </is>
      </c>
      <c r="M961" t="inlineStr">
        <is>
          <t>Luckmann, Joan.</t>
        </is>
      </c>
      <c r="N961" t="inlineStr">
        <is>
          <t>Philadelphia : W.B. Saunders, c1997.</t>
        </is>
      </c>
      <c r="O961" t="inlineStr">
        <is>
          <t>1997</t>
        </is>
      </c>
      <c r="Q961" t="inlineStr">
        <is>
          <t>eng</t>
        </is>
      </c>
      <c r="R961" t="inlineStr">
        <is>
          <t>pau</t>
        </is>
      </c>
      <c r="T961" t="inlineStr">
        <is>
          <t xml:space="preserve">WY </t>
        </is>
      </c>
      <c r="U961" t="n">
        <v>18</v>
      </c>
      <c r="V961" t="n">
        <v>18</v>
      </c>
      <c r="W961" t="inlineStr">
        <is>
          <t>2006-07-21</t>
        </is>
      </c>
      <c r="X961" t="inlineStr">
        <is>
          <t>2006-07-21</t>
        </is>
      </c>
      <c r="Y961" t="inlineStr">
        <is>
          <t>1997-04-14</t>
        </is>
      </c>
      <c r="Z961" t="inlineStr">
        <is>
          <t>1997-04-14</t>
        </is>
      </c>
      <c r="AA961" t="n">
        <v>351</v>
      </c>
      <c r="AB961" t="n">
        <v>292</v>
      </c>
      <c r="AC961" t="n">
        <v>293</v>
      </c>
      <c r="AD961" t="n">
        <v>2</v>
      </c>
      <c r="AE961" t="n">
        <v>2</v>
      </c>
      <c r="AF961" t="n">
        <v>7</v>
      </c>
      <c r="AG961" t="n">
        <v>7</v>
      </c>
      <c r="AH961" t="n">
        <v>3</v>
      </c>
      <c r="AI961" t="n">
        <v>3</v>
      </c>
      <c r="AJ961" t="n">
        <v>0</v>
      </c>
      <c r="AK961" t="n">
        <v>0</v>
      </c>
      <c r="AL961" t="n">
        <v>5</v>
      </c>
      <c r="AM961" t="n">
        <v>5</v>
      </c>
      <c r="AN961" t="n">
        <v>0</v>
      </c>
      <c r="AO961" t="n">
        <v>0</v>
      </c>
      <c r="AP961" t="n">
        <v>0</v>
      </c>
      <c r="AQ961" t="n">
        <v>0</v>
      </c>
      <c r="AR961" t="inlineStr">
        <is>
          <t>No</t>
        </is>
      </c>
      <c r="AS961" t="inlineStr">
        <is>
          <t>No</t>
        </is>
      </c>
      <c r="AU961">
        <f>HYPERLINK("https://creighton-primo.hosted.exlibrisgroup.com/primo-explore/search?tab=default_tab&amp;search_scope=EVERYTHING&amp;vid=01CRU&amp;lang=en_US&amp;offset=0&amp;query=any,contains,991001551599702656","Catalog Record")</f>
        <v/>
      </c>
      <c r="AV961">
        <f>HYPERLINK("http://www.worldcat.org/oclc/33817905","WorldCat Record")</f>
        <v/>
      </c>
      <c r="AW961" t="inlineStr">
        <is>
          <t>2865192247:eng</t>
        </is>
      </c>
      <c r="AX961" t="inlineStr">
        <is>
          <t>33817905</t>
        </is>
      </c>
      <c r="AY961" t="inlineStr">
        <is>
          <t>991001551599702656</t>
        </is>
      </c>
      <c r="AZ961" t="inlineStr">
        <is>
          <t>991001551599702656</t>
        </is>
      </c>
      <c r="BA961" t="inlineStr">
        <is>
          <t>2270128130002656</t>
        </is>
      </c>
      <c r="BB961" t="inlineStr">
        <is>
          <t>BOOK</t>
        </is>
      </c>
      <c r="BD961" t="inlineStr">
        <is>
          <t>9780721650173</t>
        </is>
      </c>
      <c r="BE961" t="inlineStr">
        <is>
          <t>30001003443480</t>
        </is>
      </c>
      <c r="BF961" t="inlineStr">
        <is>
          <t>893546812</t>
        </is>
      </c>
    </row>
    <row r="962">
      <c r="A962" t="inlineStr">
        <is>
          <t>No</t>
        </is>
      </c>
      <c r="B962" t="inlineStr">
        <is>
          <t>CUHSL</t>
        </is>
      </c>
      <c r="C962" t="inlineStr">
        <is>
          <t>SHELVES</t>
        </is>
      </c>
      <c r="D962" t="inlineStr">
        <is>
          <t>WY 100 M266 1993</t>
        </is>
      </c>
      <c r="E962" t="inlineStr">
        <is>
          <t>0                      WY 0100000M  266         1993</t>
        </is>
      </c>
      <c r="F962" t="inlineStr">
        <is>
          <t>Managing nursing care : promise and pitfalls / editor, Kathleen Kelly ; chair of the board, Meridean Maas.</t>
        </is>
      </c>
      <c r="H962" t="inlineStr">
        <is>
          <t>No</t>
        </is>
      </c>
      <c r="I962" t="inlineStr">
        <is>
          <t>1</t>
        </is>
      </c>
      <c r="J962" t="inlineStr">
        <is>
          <t>No</t>
        </is>
      </c>
      <c r="K962" t="inlineStr">
        <is>
          <t>No</t>
        </is>
      </c>
      <c r="L962" t="inlineStr">
        <is>
          <t>0</t>
        </is>
      </c>
      <c r="N962" t="inlineStr">
        <is>
          <t>St. Louis : Mosby, c1993.</t>
        </is>
      </c>
      <c r="O962" t="inlineStr">
        <is>
          <t>1993</t>
        </is>
      </c>
      <c r="Q962" t="inlineStr">
        <is>
          <t>eng</t>
        </is>
      </c>
      <c r="R962" t="inlineStr">
        <is>
          <t>mou</t>
        </is>
      </c>
      <c r="S962" t="inlineStr">
        <is>
          <t>Series on nursing administration ; v. 5</t>
        </is>
      </c>
      <c r="T962" t="inlineStr">
        <is>
          <t xml:space="preserve">WY </t>
        </is>
      </c>
      <c r="U962" t="n">
        <v>5</v>
      </c>
      <c r="V962" t="n">
        <v>5</v>
      </c>
      <c r="W962" t="inlineStr">
        <is>
          <t>1995-06-12</t>
        </is>
      </c>
      <c r="X962" t="inlineStr">
        <is>
          <t>1995-06-12</t>
        </is>
      </c>
      <c r="Y962" t="inlineStr">
        <is>
          <t>1993-08-23</t>
        </is>
      </c>
      <c r="Z962" t="inlineStr">
        <is>
          <t>1993-08-23</t>
        </is>
      </c>
      <c r="AA962" t="n">
        <v>153</v>
      </c>
      <c r="AB962" t="n">
        <v>121</v>
      </c>
      <c r="AC962" t="n">
        <v>121</v>
      </c>
      <c r="AD962" t="n">
        <v>2</v>
      </c>
      <c r="AE962" t="n">
        <v>2</v>
      </c>
      <c r="AF962" t="n">
        <v>9</v>
      </c>
      <c r="AG962" t="n">
        <v>9</v>
      </c>
      <c r="AH962" t="n">
        <v>3</v>
      </c>
      <c r="AI962" t="n">
        <v>3</v>
      </c>
      <c r="AJ962" t="n">
        <v>2</v>
      </c>
      <c r="AK962" t="n">
        <v>2</v>
      </c>
      <c r="AL962" t="n">
        <v>6</v>
      </c>
      <c r="AM962" t="n">
        <v>6</v>
      </c>
      <c r="AN962" t="n">
        <v>0</v>
      </c>
      <c r="AO962" t="n">
        <v>0</v>
      </c>
      <c r="AP962" t="n">
        <v>0</v>
      </c>
      <c r="AQ962" t="n">
        <v>0</v>
      </c>
      <c r="AR962" t="inlineStr">
        <is>
          <t>No</t>
        </is>
      </c>
      <c r="AS962" t="inlineStr">
        <is>
          <t>No</t>
        </is>
      </c>
      <c r="AU962">
        <f>HYPERLINK("https://creighton-primo.hosted.exlibrisgroup.com/primo-explore/search?tab=default_tab&amp;search_scope=EVERYTHING&amp;vid=01CRU&amp;lang=en_US&amp;offset=0&amp;query=any,contains,991001502679702656","Catalog Record")</f>
        <v/>
      </c>
      <c r="AV962">
        <f>HYPERLINK("http://www.worldcat.org/oclc/27072226","WorldCat Record")</f>
        <v/>
      </c>
      <c r="AW962" t="inlineStr">
        <is>
          <t>29559084:eng</t>
        </is>
      </c>
      <c r="AX962" t="inlineStr">
        <is>
          <t>27072226</t>
        </is>
      </c>
      <c r="AY962" t="inlineStr">
        <is>
          <t>991001502679702656</t>
        </is>
      </c>
      <c r="AZ962" t="inlineStr">
        <is>
          <t>991001502679702656</t>
        </is>
      </c>
      <c r="BA962" t="inlineStr">
        <is>
          <t>2272337450002656</t>
        </is>
      </c>
      <c r="BB962" t="inlineStr">
        <is>
          <t>BOOK</t>
        </is>
      </c>
      <c r="BD962" t="inlineStr">
        <is>
          <t>9780801665479</t>
        </is>
      </c>
      <c r="BE962" t="inlineStr">
        <is>
          <t>30001002594994</t>
        </is>
      </c>
      <c r="BF962" t="inlineStr">
        <is>
          <t>893287449</t>
        </is>
      </c>
    </row>
    <row r="963">
      <c r="A963" t="inlineStr">
        <is>
          <t>No</t>
        </is>
      </c>
      <c r="B963" t="inlineStr">
        <is>
          <t>CUHSL</t>
        </is>
      </c>
      <c r="C963" t="inlineStr">
        <is>
          <t>SHELVES</t>
        </is>
      </c>
      <c r="D963" t="inlineStr">
        <is>
          <t>WY 100 M423 1990</t>
        </is>
      </c>
      <c r="E963" t="inlineStr">
        <is>
          <t>0                      WY 0100000M  423         1990</t>
        </is>
      </c>
      <c r="F963" t="inlineStr">
        <is>
          <t>Mastering the nursing process : a case method approach / Jean D'Meza Leuner ... [et al.].</t>
        </is>
      </c>
      <c r="H963" t="inlineStr">
        <is>
          <t>No</t>
        </is>
      </c>
      <c r="I963" t="inlineStr">
        <is>
          <t>1</t>
        </is>
      </c>
      <c r="J963" t="inlineStr">
        <is>
          <t>No</t>
        </is>
      </c>
      <c r="K963" t="inlineStr">
        <is>
          <t>No</t>
        </is>
      </c>
      <c r="L963" t="inlineStr">
        <is>
          <t>0</t>
        </is>
      </c>
      <c r="N963" t="inlineStr">
        <is>
          <t>Philadelphia : F.A. Davis Co., c1990.</t>
        </is>
      </c>
      <c r="O963" t="inlineStr">
        <is>
          <t>1990</t>
        </is>
      </c>
      <c r="Q963" t="inlineStr">
        <is>
          <t>eng</t>
        </is>
      </c>
      <c r="R963" t="inlineStr">
        <is>
          <t>xxu</t>
        </is>
      </c>
      <c r="T963" t="inlineStr">
        <is>
          <t xml:space="preserve">WY </t>
        </is>
      </c>
      <c r="U963" t="n">
        <v>9</v>
      </c>
      <c r="V963" t="n">
        <v>9</v>
      </c>
      <c r="W963" t="inlineStr">
        <is>
          <t>1998-03-24</t>
        </is>
      </c>
      <c r="X963" t="inlineStr">
        <is>
          <t>1998-03-24</t>
        </is>
      </c>
      <c r="Y963" t="inlineStr">
        <is>
          <t>1990-07-10</t>
        </is>
      </c>
      <c r="Z963" t="inlineStr">
        <is>
          <t>1990-07-10</t>
        </is>
      </c>
      <c r="AA963" t="n">
        <v>192</v>
      </c>
      <c r="AB963" t="n">
        <v>141</v>
      </c>
      <c r="AC963" t="n">
        <v>148</v>
      </c>
      <c r="AD963" t="n">
        <v>2</v>
      </c>
      <c r="AE963" t="n">
        <v>2</v>
      </c>
      <c r="AF963" t="n">
        <v>4</v>
      </c>
      <c r="AG963" t="n">
        <v>4</v>
      </c>
      <c r="AH963" t="n">
        <v>1</v>
      </c>
      <c r="AI963" t="n">
        <v>1</v>
      </c>
      <c r="AJ963" t="n">
        <v>0</v>
      </c>
      <c r="AK963" t="n">
        <v>0</v>
      </c>
      <c r="AL963" t="n">
        <v>4</v>
      </c>
      <c r="AM963" t="n">
        <v>4</v>
      </c>
      <c r="AN963" t="n">
        <v>0</v>
      </c>
      <c r="AO963" t="n">
        <v>0</v>
      </c>
      <c r="AP963" t="n">
        <v>0</v>
      </c>
      <c r="AQ963" t="n">
        <v>0</v>
      </c>
      <c r="AR963" t="inlineStr">
        <is>
          <t>No</t>
        </is>
      </c>
      <c r="AS963" t="inlineStr">
        <is>
          <t>Yes</t>
        </is>
      </c>
      <c r="AT963">
        <f>HYPERLINK("http://catalog.hathitrust.org/Record/001952897","HathiTrust Record")</f>
        <v/>
      </c>
      <c r="AU963">
        <f>HYPERLINK("https://creighton-primo.hosted.exlibrisgroup.com/primo-explore/search?tab=default_tab&amp;search_scope=EVERYTHING&amp;vid=01CRU&amp;lang=en_US&amp;offset=0&amp;query=any,contains,991001451609702656","Catalog Record")</f>
        <v/>
      </c>
      <c r="AV963">
        <f>HYPERLINK("http://www.worldcat.org/oclc/20932909","WorldCat Record")</f>
        <v/>
      </c>
      <c r="AW963" t="inlineStr">
        <is>
          <t>894493770:eng</t>
        </is>
      </c>
      <c r="AX963" t="inlineStr">
        <is>
          <t>20932909</t>
        </is>
      </c>
      <c r="AY963" t="inlineStr">
        <is>
          <t>991001451609702656</t>
        </is>
      </c>
      <c r="AZ963" t="inlineStr">
        <is>
          <t>991001451609702656</t>
        </is>
      </c>
      <c r="BA963" t="inlineStr">
        <is>
          <t>2266361210002656</t>
        </is>
      </c>
      <c r="BB963" t="inlineStr">
        <is>
          <t>BOOK</t>
        </is>
      </c>
      <c r="BD963" t="inlineStr">
        <is>
          <t>9780803655881</t>
        </is>
      </c>
      <c r="BE963" t="inlineStr">
        <is>
          <t>30001001883216</t>
        </is>
      </c>
      <c r="BF963" t="inlineStr">
        <is>
          <t>893821229</t>
        </is>
      </c>
    </row>
    <row r="964">
      <c r="A964" t="inlineStr">
        <is>
          <t>No</t>
        </is>
      </c>
      <c r="B964" t="inlineStr">
        <is>
          <t>CUHSL</t>
        </is>
      </c>
      <c r="C964" t="inlineStr">
        <is>
          <t>SHELVES</t>
        </is>
      </c>
      <c r="D964" t="inlineStr">
        <is>
          <t>WY 100 M468s 1983</t>
        </is>
      </c>
      <c r="E964" t="inlineStr">
        <is>
          <t>0                      WY 0100000M  468s        1983</t>
        </is>
      </c>
      <c r="F964" t="inlineStr">
        <is>
          <t>A systematic approach to the nursing care plan / Marlene G. Mayers.</t>
        </is>
      </c>
      <c r="H964" t="inlineStr">
        <is>
          <t>No</t>
        </is>
      </c>
      <c r="I964" t="inlineStr">
        <is>
          <t>1</t>
        </is>
      </c>
      <c r="J964" t="inlineStr">
        <is>
          <t>No</t>
        </is>
      </c>
      <c r="K964" t="inlineStr">
        <is>
          <t>No</t>
        </is>
      </c>
      <c r="L964" t="inlineStr">
        <is>
          <t>0</t>
        </is>
      </c>
      <c r="M964" t="inlineStr">
        <is>
          <t>Mayers, Marlene G. (Marlene Glover)</t>
        </is>
      </c>
      <c r="N964" t="inlineStr">
        <is>
          <t>Norwalk, Conn. : Appleton-Century-Crofts, c1983.</t>
        </is>
      </c>
      <c r="O964" t="inlineStr">
        <is>
          <t>1983</t>
        </is>
      </c>
      <c r="P964" t="inlineStr">
        <is>
          <t>3rd ed.</t>
        </is>
      </c>
      <c r="Q964" t="inlineStr">
        <is>
          <t>eng</t>
        </is>
      </c>
      <c r="R964" t="inlineStr">
        <is>
          <t>xxu</t>
        </is>
      </c>
      <c r="T964" t="inlineStr">
        <is>
          <t xml:space="preserve">WY </t>
        </is>
      </c>
      <c r="U964" t="n">
        <v>9</v>
      </c>
      <c r="V964" t="n">
        <v>9</v>
      </c>
      <c r="W964" t="inlineStr">
        <is>
          <t>1991-04-08</t>
        </is>
      </c>
      <c r="X964" t="inlineStr">
        <is>
          <t>1991-04-08</t>
        </is>
      </c>
      <c r="Y964" t="inlineStr">
        <is>
          <t>1987-12-29</t>
        </is>
      </c>
      <c r="Z964" t="inlineStr">
        <is>
          <t>1987-12-29</t>
        </is>
      </c>
      <c r="AA964" t="n">
        <v>232</v>
      </c>
      <c r="AB964" t="n">
        <v>183</v>
      </c>
      <c r="AC964" t="n">
        <v>346</v>
      </c>
      <c r="AD964" t="n">
        <v>1</v>
      </c>
      <c r="AE964" t="n">
        <v>3</v>
      </c>
      <c r="AF964" t="n">
        <v>4</v>
      </c>
      <c r="AG964" t="n">
        <v>13</v>
      </c>
      <c r="AH964" t="n">
        <v>3</v>
      </c>
      <c r="AI964" t="n">
        <v>4</v>
      </c>
      <c r="AJ964" t="n">
        <v>0</v>
      </c>
      <c r="AK964" t="n">
        <v>3</v>
      </c>
      <c r="AL964" t="n">
        <v>2</v>
      </c>
      <c r="AM964" t="n">
        <v>6</v>
      </c>
      <c r="AN964" t="n">
        <v>0</v>
      </c>
      <c r="AO964" t="n">
        <v>2</v>
      </c>
      <c r="AP964" t="n">
        <v>0</v>
      </c>
      <c r="AQ964" t="n">
        <v>0</v>
      </c>
      <c r="AR964" t="inlineStr">
        <is>
          <t>No</t>
        </is>
      </c>
      <c r="AS964" t="inlineStr">
        <is>
          <t>Yes</t>
        </is>
      </c>
      <c r="AT964">
        <f>HYPERLINK("http://catalog.hathitrust.org/Record/000155704","HathiTrust Record")</f>
        <v/>
      </c>
      <c r="AU964">
        <f>HYPERLINK("https://creighton-primo.hosted.exlibrisgroup.com/primo-explore/search?tab=default_tab&amp;search_scope=EVERYTHING&amp;vid=01CRU&amp;lang=en_US&amp;offset=0&amp;query=any,contains,991001086529702656","Catalog Record")</f>
        <v/>
      </c>
      <c r="AV964">
        <f>HYPERLINK("http://www.worldcat.org/oclc/9133072","WorldCat Record")</f>
        <v/>
      </c>
      <c r="AW964" t="inlineStr">
        <is>
          <t>1150989906:eng</t>
        </is>
      </c>
      <c r="AX964" t="inlineStr">
        <is>
          <t>9133072</t>
        </is>
      </c>
      <c r="AY964" t="inlineStr">
        <is>
          <t>991001086529702656</t>
        </is>
      </c>
      <c r="AZ964" t="inlineStr">
        <is>
          <t>991001086529702656</t>
        </is>
      </c>
      <c r="BA964" t="inlineStr">
        <is>
          <t>2255520510002656</t>
        </is>
      </c>
      <c r="BB964" t="inlineStr">
        <is>
          <t>BOOK</t>
        </is>
      </c>
      <c r="BD964" t="inlineStr">
        <is>
          <t>9780838587881</t>
        </is>
      </c>
      <c r="BE964" t="inlineStr">
        <is>
          <t>30001000259681</t>
        </is>
      </c>
      <c r="BF964" t="inlineStr">
        <is>
          <t>893134234</t>
        </is>
      </c>
    </row>
    <row r="965">
      <c r="A965" t="inlineStr">
        <is>
          <t>No</t>
        </is>
      </c>
      <c r="B965" t="inlineStr">
        <is>
          <t>CUHSL</t>
        </is>
      </c>
      <c r="C965" t="inlineStr">
        <is>
          <t>SHELVES</t>
        </is>
      </c>
      <c r="D965" t="inlineStr">
        <is>
          <t>WY 100 M488 1988</t>
        </is>
      </c>
      <c r="E965" t="inlineStr">
        <is>
          <t>0                      WY 0100000M  488         1988</t>
        </is>
      </c>
      <c r="F965" t="inlineStr">
        <is>
          <t>Medical/surgical care plans / [edited by] Nancy M. Holloway.</t>
        </is>
      </c>
      <c r="H965" t="inlineStr">
        <is>
          <t>No</t>
        </is>
      </c>
      <c r="I965" t="inlineStr">
        <is>
          <t>1</t>
        </is>
      </c>
      <c r="J965" t="inlineStr">
        <is>
          <t>No</t>
        </is>
      </c>
      <c r="K965" t="inlineStr">
        <is>
          <t>No</t>
        </is>
      </c>
      <c r="L965" t="inlineStr">
        <is>
          <t>0</t>
        </is>
      </c>
      <c r="N965" t="inlineStr">
        <is>
          <t>Springhouse, Pa. : Springhouse Corp., c1988.</t>
        </is>
      </c>
      <c r="O965" t="inlineStr">
        <is>
          <t>1988</t>
        </is>
      </c>
      <c r="Q965" t="inlineStr">
        <is>
          <t>eng</t>
        </is>
      </c>
      <c r="R965" t="inlineStr">
        <is>
          <t>xxu</t>
        </is>
      </c>
      <c r="T965" t="inlineStr">
        <is>
          <t xml:space="preserve">WY </t>
        </is>
      </c>
      <c r="U965" t="n">
        <v>27</v>
      </c>
      <c r="V965" t="n">
        <v>27</v>
      </c>
      <c r="W965" t="inlineStr">
        <is>
          <t>1997-12-08</t>
        </is>
      </c>
      <c r="X965" t="inlineStr">
        <is>
          <t>1997-12-08</t>
        </is>
      </c>
      <c r="Y965" t="inlineStr">
        <is>
          <t>1989-06-14</t>
        </is>
      </c>
      <c r="Z965" t="inlineStr">
        <is>
          <t>1989-06-14</t>
        </is>
      </c>
      <c r="AA965" t="n">
        <v>151</v>
      </c>
      <c r="AB965" t="n">
        <v>129</v>
      </c>
      <c r="AC965" t="n">
        <v>137</v>
      </c>
      <c r="AD965" t="n">
        <v>1</v>
      </c>
      <c r="AE965" t="n">
        <v>1</v>
      </c>
      <c r="AF965" t="n">
        <v>4</v>
      </c>
      <c r="AG965" t="n">
        <v>4</v>
      </c>
      <c r="AH965" t="n">
        <v>2</v>
      </c>
      <c r="AI965" t="n">
        <v>2</v>
      </c>
      <c r="AJ965" t="n">
        <v>1</v>
      </c>
      <c r="AK965" t="n">
        <v>1</v>
      </c>
      <c r="AL965" t="n">
        <v>3</v>
      </c>
      <c r="AM965" t="n">
        <v>3</v>
      </c>
      <c r="AN965" t="n">
        <v>0</v>
      </c>
      <c r="AO965" t="n">
        <v>0</v>
      </c>
      <c r="AP965" t="n">
        <v>0</v>
      </c>
      <c r="AQ965" t="n">
        <v>0</v>
      </c>
      <c r="AR965" t="inlineStr">
        <is>
          <t>No</t>
        </is>
      </c>
      <c r="AS965" t="inlineStr">
        <is>
          <t>No</t>
        </is>
      </c>
      <c r="AU965">
        <f>HYPERLINK("https://creighton-primo.hosted.exlibrisgroup.com/primo-explore/search?tab=default_tab&amp;search_scope=EVERYTHING&amp;vid=01CRU&amp;lang=en_US&amp;offset=0&amp;query=any,contains,991001308959702656","Catalog Record")</f>
        <v/>
      </c>
      <c r="AV965">
        <f>HYPERLINK("http://www.worldcat.org/oclc/17384929","WorldCat Record")</f>
        <v/>
      </c>
      <c r="AW965" t="inlineStr">
        <is>
          <t>26330661:eng</t>
        </is>
      </c>
      <c r="AX965" t="inlineStr">
        <is>
          <t>17384929</t>
        </is>
      </c>
      <c r="AY965" t="inlineStr">
        <is>
          <t>991001308959702656</t>
        </is>
      </c>
      <c r="AZ965" t="inlineStr">
        <is>
          <t>991001308959702656</t>
        </is>
      </c>
      <c r="BA965" t="inlineStr">
        <is>
          <t>2267722370002656</t>
        </is>
      </c>
      <c r="BB965" t="inlineStr">
        <is>
          <t>BOOK</t>
        </is>
      </c>
      <c r="BD965" t="inlineStr">
        <is>
          <t>9780874341287</t>
        </is>
      </c>
      <c r="BE965" t="inlineStr">
        <is>
          <t>30001001750225</t>
        </is>
      </c>
      <c r="BF965" t="inlineStr">
        <is>
          <t>893632936</t>
        </is>
      </c>
    </row>
    <row r="966">
      <c r="A966" t="inlineStr">
        <is>
          <t>No</t>
        </is>
      </c>
      <c r="B966" t="inlineStr">
        <is>
          <t>CUHSL</t>
        </is>
      </c>
      <c r="C966" t="inlineStr">
        <is>
          <t>SHELVES</t>
        </is>
      </c>
      <c r="D966" t="inlineStr">
        <is>
          <t>WY 100 M489 1992</t>
        </is>
      </c>
      <c r="E966" t="inlineStr">
        <is>
          <t>0                      WY 0100000M  489         1992</t>
        </is>
      </c>
      <c r="F966" t="inlineStr">
        <is>
          <t>Medical-surgical nursing : assessment and management of clinical problems / [edited by] Sharon Mantik Lewis, Idolia Cox Collier.</t>
        </is>
      </c>
      <c r="H966" t="inlineStr">
        <is>
          <t>No</t>
        </is>
      </c>
      <c r="I966" t="inlineStr">
        <is>
          <t>1</t>
        </is>
      </c>
      <c r="J966" t="inlineStr">
        <is>
          <t>No</t>
        </is>
      </c>
      <c r="K966" t="inlineStr">
        <is>
          <t>Yes</t>
        </is>
      </c>
      <c r="L966" t="inlineStr">
        <is>
          <t>0</t>
        </is>
      </c>
      <c r="N966" t="inlineStr">
        <is>
          <t>St. Louis : Mosby-Year Book, c1992.</t>
        </is>
      </c>
      <c r="O966" t="inlineStr">
        <is>
          <t>1992</t>
        </is>
      </c>
      <c r="P966" t="inlineStr">
        <is>
          <t>3rd ed.</t>
        </is>
      </c>
      <c r="Q966" t="inlineStr">
        <is>
          <t>eng</t>
        </is>
      </c>
      <c r="R966" t="inlineStr">
        <is>
          <t>mou</t>
        </is>
      </c>
      <c r="T966" t="inlineStr">
        <is>
          <t xml:space="preserve">WY </t>
        </is>
      </c>
      <c r="U966" t="n">
        <v>38</v>
      </c>
      <c r="V966" t="n">
        <v>38</v>
      </c>
      <c r="W966" t="inlineStr">
        <is>
          <t>1999-10-12</t>
        </is>
      </c>
      <c r="X966" t="inlineStr">
        <is>
          <t>1999-10-12</t>
        </is>
      </c>
      <c r="Y966" t="inlineStr">
        <is>
          <t>1992-02-20</t>
        </is>
      </c>
      <c r="Z966" t="inlineStr">
        <is>
          <t>1992-02-20</t>
        </is>
      </c>
      <c r="AA966" t="n">
        <v>356</v>
      </c>
      <c r="AB966" t="n">
        <v>293</v>
      </c>
      <c r="AC966" t="n">
        <v>1310</v>
      </c>
      <c r="AD966" t="n">
        <v>2</v>
      </c>
      <c r="AE966" t="n">
        <v>11</v>
      </c>
      <c r="AF966" t="n">
        <v>4</v>
      </c>
      <c r="AG966" t="n">
        <v>35</v>
      </c>
      <c r="AH966" t="n">
        <v>1</v>
      </c>
      <c r="AI966" t="n">
        <v>12</v>
      </c>
      <c r="AJ966" t="n">
        <v>0</v>
      </c>
      <c r="AK966" t="n">
        <v>7</v>
      </c>
      <c r="AL966" t="n">
        <v>3</v>
      </c>
      <c r="AM966" t="n">
        <v>14</v>
      </c>
      <c r="AN966" t="n">
        <v>0</v>
      </c>
      <c r="AO966" t="n">
        <v>7</v>
      </c>
      <c r="AP966" t="n">
        <v>0</v>
      </c>
      <c r="AQ966" t="n">
        <v>0</v>
      </c>
      <c r="AR966" t="inlineStr">
        <is>
          <t>No</t>
        </is>
      </c>
      <c r="AS966" t="inlineStr">
        <is>
          <t>No</t>
        </is>
      </c>
      <c r="AU966">
        <f>HYPERLINK("https://creighton-primo.hosted.exlibrisgroup.com/primo-explore/search?tab=default_tab&amp;search_scope=EVERYTHING&amp;vid=01CRU&amp;lang=en_US&amp;offset=0&amp;query=any,contains,991001297369702656","Catalog Record")</f>
        <v/>
      </c>
      <c r="AV966">
        <f>HYPERLINK("http://www.worldcat.org/oclc/24247514","WorldCat Record")</f>
        <v/>
      </c>
      <c r="AW966" t="inlineStr">
        <is>
          <t>793200462:eng</t>
        </is>
      </c>
      <c r="AX966" t="inlineStr">
        <is>
          <t>24247514</t>
        </is>
      </c>
      <c r="AY966" t="inlineStr">
        <is>
          <t>991001297369702656</t>
        </is>
      </c>
      <c r="AZ966" t="inlineStr">
        <is>
          <t>991001297369702656</t>
        </is>
      </c>
      <c r="BA966" t="inlineStr">
        <is>
          <t>2262034320002656</t>
        </is>
      </c>
      <c r="BB966" t="inlineStr">
        <is>
          <t>BOOK</t>
        </is>
      </c>
      <c r="BD966" t="inlineStr">
        <is>
          <t>9780801660399</t>
        </is>
      </c>
      <c r="BE966" t="inlineStr">
        <is>
          <t>30001002410274</t>
        </is>
      </c>
      <c r="BF966" t="inlineStr">
        <is>
          <t>893731866</t>
        </is>
      </c>
    </row>
    <row r="967">
      <c r="A967" t="inlineStr">
        <is>
          <t>No</t>
        </is>
      </c>
      <c r="B967" t="inlineStr">
        <is>
          <t>CUHSL</t>
        </is>
      </c>
      <c r="C967" t="inlineStr">
        <is>
          <t>SHELVES</t>
        </is>
      </c>
      <c r="D967" t="inlineStr">
        <is>
          <t>WY 100 M489 1995</t>
        </is>
      </c>
      <c r="E967" t="inlineStr">
        <is>
          <t>0                      WY 0100000M  489         1995</t>
        </is>
      </c>
      <c r="F967" t="inlineStr">
        <is>
          <t>Medical-surgical nursing / Marlene Mayers, Carol Pankratz, editors.</t>
        </is>
      </c>
      <c r="H967" t="inlineStr">
        <is>
          <t>No</t>
        </is>
      </c>
      <c r="I967" t="inlineStr">
        <is>
          <t>1</t>
        </is>
      </c>
      <c r="J967" t="inlineStr">
        <is>
          <t>No</t>
        </is>
      </c>
      <c r="K967" t="inlineStr">
        <is>
          <t>No</t>
        </is>
      </c>
      <c r="L967" t="inlineStr">
        <is>
          <t>0</t>
        </is>
      </c>
      <c r="N967" t="inlineStr">
        <is>
          <t>New York : McGraw-Hill, c1995.</t>
        </is>
      </c>
      <c r="O967" t="inlineStr">
        <is>
          <t>1995</t>
        </is>
      </c>
      <c r="Q967" t="inlineStr">
        <is>
          <t>eng</t>
        </is>
      </c>
      <c r="R967" t="inlineStr">
        <is>
          <t>nyu</t>
        </is>
      </c>
      <c r="S967" t="inlineStr">
        <is>
          <t>McGraw-Hill clinical care plans</t>
        </is>
      </c>
      <c r="T967" t="inlineStr">
        <is>
          <t xml:space="preserve">WY </t>
        </is>
      </c>
      <c r="U967" t="n">
        <v>10</v>
      </c>
      <c r="V967" t="n">
        <v>10</v>
      </c>
      <c r="W967" t="inlineStr">
        <is>
          <t>2001-04-10</t>
        </is>
      </c>
      <c r="X967" t="inlineStr">
        <is>
          <t>2001-04-10</t>
        </is>
      </c>
      <c r="Y967" t="inlineStr">
        <is>
          <t>1995-02-16</t>
        </is>
      </c>
      <c r="Z967" t="inlineStr">
        <is>
          <t>1995-02-16</t>
        </is>
      </c>
      <c r="AA967" t="n">
        <v>168</v>
      </c>
      <c r="AB967" t="n">
        <v>133</v>
      </c>
      <c r="AC967" t="n">
        <v>148</v>
      </c>
      <c r="AD967" t="n">
        <v>2</v>
      </c>
      <c r="AE967" t="n">
        <v>2</v>
      </c>
      <c r="AF967" t="n">
        <v>5</v>
      </c>
      <c r="AG967" t="n">
        <v>5</v>
      </c>
      <c r="AH967" t="n">
        <v>1</v>
      </c>
      <c r="AI967" t="n">
        <v>1</v>
      </c>
      <c r="AJ967" t="n">
        <v>1</v>
      </c>
      <c r="AK967" t="n">
        <v>1</v>
      </c>
      <c r="AL967" t="n">
        <v>2</v>
      </c>
      <c r="AM967" t="n">
        <v>2</v>
      </c>
      <c r="AN967" t="n">
        <v>1</v>
      </c>
      <c r="AO967" t="n">
        <v>1</v>
      </c>
      <c r="AP967" t="n">
        <v>0</v>
      </c>
      <c r="AQ967" t="n">
        <v>0</v>
      </c>
      <c r="AR967" t="inlineStr">
        <is>
          <t>No</t>
        </is>
      </c>
      <c r="AS967" t="inlineStr">
        <is>
          <t>Yes</t>
        </is>
      </c>
      <c r="AT967">
        <f>HYPERLINK("http://catalog.hathitrust.org/Record/002938622","HathiTrust Record")</f>
        <v/>
      </c>
      <c r="AU967">
        <f>HYPERLINK("https://creighton-primo.hosted.exlibrisgroup.com/primo-explore/search?tab=default_tab&amp;search_scope=EVERYTHING&amp;vid=01CRU&amp;lang=en_US&amp;offset=0&amp;query=any,contains,991000688499702656","Catalog Record")</f>
        <v/>
      </c>
      <c r="AV967">
        <f>HYPERLINK("http://www.worldcat.org/oclc/31321215","WorldCat Record")</f>
        <v/>
      </c>
      <c r="AW967" t="inlineStr">
        <is>
          <t>46882303:eng</t>
        </is>
      </c>
      <c r="AX967" t="inlineStr">
        <is>
          <t>31321215</t>
        </is>
      </c>
      <c r="AY967" t="inlineStr">
        <is>
          <t>991000688499702656</t>
        </is>
      </c>
      <c r="AZ967" t="inlineStr">
        <is>
          <t>991000688499702656</t>
        </is>
      </c>
      <c r="BA967" t="inlineStr">
        <is>
          <t>2258716390002656</t>
        </is>
      </c>
      <c r="BB967" t="inlineStr">
        <is>
          <t>BOOK</t>
        </is>
      </c>
      <c r="BD967" t="inlineStr">
        <is>
          <t>9780071054645</t>
        </is>
      </c>
      <c r="BE967" t="inlineStr">
        <is>
          <t>30001002699678</t>
        </is>
      </c>
      <c r="BF967" t="inlineStr">
        <is>
          <t>893831021</t>
        </is>
      </c>
    </row>
    <row r="968">
      <c r="A968" t="inlineStr">
        <is>
          <t>No</t>
        </is>
      </c>
      <c r="B968" t="inlineStr">
        <is>
          <t>CUHSL</t>
        </is>
      </c>
      <c r="C968" t="inlineStr">
        <is>
          <t>SHELVES</t>
        </is>
      </c>
      <c r="D968" t="inlineStr">
        <is>
          <t>WY 100 M489 1996</t>
        </is>
      </c>
      <c r="E968" t="inlineStr">
        <is>
          <t>0                      WY 0100000M  489         1996</t>
        </is>
      </c>
      <c r="F968" t="inlineStr">
        <is>
          <t>Medical-surgical nursing : assessment and management of clinical problems / [edited by] Sharon Mantik Lewis, Idolia Cox Collier, Margaret M. Heitkemper.</t>
        </is>
      </c>
      <c r="H968" t="inlineStr">
        <is>
          <t>No</t>
        </is>
      </c>
      <c r="I968" t="inlineStr">
        <is>
          <t>1</t>
        </is>
      </c>
      <c r="J968" t="inlineStr">
        <is>
          <t>No</t>
        </is>
      </c>
      <c r="K968" t="inlineStr">
        <is>
          <t>Yes</t>
        </is>
      </c>
      <c r="L968" t="inlineStr">
        <is>
          <t>0</t>
        </is>
      </c>
      <c r="N968" t="inlineStr">
        <is>
          <t>St. Louis : Mosby, c1996.</t>
        </is>
      </c>
      <c r="O968" t="inlineStr">
        <is>
          <t>1996</t>
        </is>
      </c>
      <c r="P968" t="inlineStr">
        <is>
          <t>4th ed.</t>
        </is>
      </c>
      <c r="Q968" t="inlineStr">
        <is>
          <t>eng</t>
        </is>
      </c>
      <c r="R968" t="inlineStr">
        <is>
          <t>mou</t>
        </is>
      </c>
      <c r="T968" t="inlineStr">
        <is>
          <t xml:space="preserve">WY </t>
        </is>
      </c>
      <c r="U968" t="n">
        <v>83</v>
      </c>
      <c r="V968" t="n">
        <v>83</v>
      </c>
      <c r="W968" t="inlineStr">
        <is>
          <t>2004-10-19</t>
        </is>
      </c>
      <c r="X968" t="inlineStr">
        <is>
          <t>2004-10-19</t>
        </is>
      </c>
      <c r="Y968" t="inlineStr">
        <is>
          <t>1997-01-17</t>
        </is>
      </c>
      <c r="Z968" t="inlineStr">
        <is>
          <t>1997-01-17</t>
        </is>
      </c>
      <c r="AA968" t="n">
        <v>268</v>
      </c>
      <c r="AB968" t="n">
        <v>205</v>
      </c>
      <c r="AC968" t="n">
        <v>1310</v>
      </c>
      <c r="AD968" t="n">
        <v>3</v>
      </c>
      <c r="AE968" t="n">
        <v>11</v>
      </c>
      <c r="AF968" t="n">
        <v>6</v>
      </c>
      <c r="AG968" t="n">
        <v>35</v>
      </c>
      <c r="AH968" t="n">
        <v>4</v>
      </c>
      <c r="AI968" t="n">
        <v>12</v>
      </c>
      <c r="AJ968" t="n">
        <v>0</v>
      </c>
      <c r="AK968" t="n">
        <v>7</v>
      </c>
      <c r="AL968" t="n">
        <v>3</v>
      </c>
      <c r="AM968" t="n">
        <v>14</v>
      </c>
      <c r="AN968" t="n">
        <v>1</v>
      </c>
      <c r="AO968" t="n">
        <v>7</v>
      </c>
      <c r="AP968" t="n">
        <v>0</v>
      </c>
      <c r="AQ968" t="n">
        <v>0</v>
      </c>
      <c r="AR968" t="inlineStr">
        <is>
          <t>No</t>
        </is>
      </c>
      <c r="AS968" t="inlineStr">
        <is>
          <t>Yes</t>
        </is>
      </c>
      <c r="AT968">
        <f>HYPERLINK("http://catalog.hathitrust.org/Record/004558571","HathiTrust Record")</f>
        <v/>
      </c>
      <c r="AU968">
        <f>HYPERLINK("https://creighton-primo.hosted.exlibrisgroup.com/primo-explore/search?tab=default_tab&amp;search_scope=EVERYTHING&amp;vid=01CRU&amp;lang=en_US&amp;offset=0&amp;query=any,contains,991001808479702656","Catalog Record")</f>
        <v/>
      </c>
      <c r="AV968">
        <f>HYPERLINK("http://www.worldcat.org/oclc/32822703","WorldCat Record")</f>
        <v/>
      </c>
      <c r="AW968" t="inlineStr">
        <is>
          <t>793200462:eng</t>
        </is>
      </c>
      <c r="AX968" t="inlineStr">
        <is>
          <t>32822703</t>
        </is>
      </c>
      <c r="AY968" t="inlineStr">
        <is>
          <t>991001808479702656</t>
        </is>
      </c>
      <c r="AZ968" t="inlineStr">
        <is>
          <t>991001808479702656</t>
        </is>
      </c>
      <c r="BA968" t="inlineStr">
        <is>
          <t>2263989480002656</t>
        </is>
      </c>
      <c r="BB968" t="inlineStr">
        <is>
          <t>BOOK</t>
        </is>
      </c>
      <c r="BD968" t="inlineStr">
        <is>
          <t>9780815153016</t>
        </is>
      </c>
      <c r="BE968" t="inlineStr">
        <is>
          <t>30001003474030</t>
        </is>
      </c>
      <c r="BF968" t="inlineStr">
        <is>
          <t>893359219</t>
        </is>
      </c>
    </row>
    <row r="969">
      <c r="A969" t="inlineStr">
        <is>
          <t>No</t>
        </is>
      </c>
      <c r="B969" t="inlineStr">
        <is>
          <t>CUHSL</t>
        </is>
      </c>
      <c r="C969" t="inlineStr">
        <is>
          <t>SHELVES</t>
        </is>
      </c>
      <c r="D969" t="inlineStr">
        <is>
          <t>WY 100 M489 2000</t>
        </is>
      </c>
      <c r="E969" t="inlineStr">
        <is>
          <t>0                      WY 0100000M  489         2000</t>
        </is>
      </c>
      <c r="F969" t="inlineStr">
        <is>
          <t>Medical-surgical nursing : assessment and management of clinical problems / [edited by] Sharon Mantik Lewis, Margaret McLean Heitkemper, Shannon Ruff Dirksen.</t>
        </is>
      </c>
      <c r="H969" t="inlineStr">
        <is>
          <t>No</t>
        </is>
      </c>
      <c r="I969" t="inlineStr">
        <is>
          <t>1</t>
        </is>
      </c>
      <c r="J969" t="inlineStr">
        <is>
          <t>No</t>
        </is>
      </c>
      <c r="K969" t="inlineStr">
        <is>
          <t>Yes</t>
        </is>
      </c>
      <c r="L969" t="inlineStr">
        <is>
          <t>0</t>
        </is>
      </c>
      <c r="N969" t="inlineStr">
        <is>
          <t>St. Louis, Mo. : Mosby, c2000.</t>
        </is>
      </c>
      <c r="O969" t="inlineStr">
        <is>
          <t>2000</t>
        </is>
      </c>
      <c r="P969" t="inlineStr">
        <is>
          <t>5th ed.</t>
        </is>
      </c>
      <c r="Q969" t="inlineStr">
        <is>
          <t>eng</t>
        </is>
      </c>
      <c r="R969" t="inlineStr">
        <is>
          <t>mou</t>
        </is>
      </c>
      <c r="T969" t="inlineStr">
        <is>
          <t xml:space="preserve">WY </t>
        </is>
      </c>
      <c r="U969" t="n">
        <v>58</v>
      </c>
      <c r="V969" t="n">
        <v>58</v>
      </c>
      <c r="W969" t="inlineStr">
        <is>
          <t>2007-03-20</t>
        </is>
      </c>
      <c r="X969" t="inlineStr">
        <is>
          <t>2007-03-20</t>
        </is>
      </c>
      <c r="Y969" t="inlineStr">
        <is>
          <t>1999-12-17</t>
        </is>
      </c>
      <c r="Z969" t="inlineStr">
        <is>
          <t>1999-12-17</t>
        </is>
      </c>
      <c r="AA969" t="n">
        <v>274</v>
      </c>
      <c r="AB969" t="n">
        <v>241</v>
      </c>
      <c r="AC969" t="n">
        <v>1310</v>
      </c>
      <c r="AD969" t="n">
        <v>2</v>
      </c>
      <c r="AE969" t="n">
        <v>11</v>
      </c>
      <c r="AF969" t="n">
        <v>3</v>
      </c>
      <c r="AG969" t="n">
        <v>35</v>
      </c>
      <c r="AH969" t="n">
        <v>1</v>
      </c>
      <c r="AI969" t="n">
        <v>12</v>
      </c>
      <c r="AJ969" t="n">
        <v>0</v>
      </c>
      <c r="AK969" t="n">
        <v>7</v>
      </c>
      <c r="AL969" t="n">
        <v>2</v>
      </c>
      <c r="AM969" t="n">
        <v>14</v>
      </c>
      <c r="AN969" t="n">
        <v>0</v>
      </c>
      <c r="AO969" t="n">
        <v>7</v>
      </c>
      <c r="AP969" t="n">
        <v>0</v>
      </c>
      <c r="AQ969" t="n">
        <v>0</v>
      </c>
      <c r="AR969" t="inlineStr">
        <is>
          <t>No</t>
        </is>
      </c>
      <c r="AS969" t="inlineStr">
        <is>
          <t>Yes</t>
        </is>
      </c>
      <c r="AT969">
        <f>HYPERLINK("http://catalog.hathitrust.org/Record/004059524","HathiTrust Record")</f>
        <v/>
      </c>
      <c r="AU969">
        <f>HYPERLINK("https://creighton-primo.hosted.exlibrisgroup.com/primo-explore/search?tab=default_tab&amp;search_scope=EVERYTHING&amp;vid=01CRU&amp;lang=en_US&amp;offset=0&amp;query=any,contains,991001799089702656","Catalog Record")</f>
        <v/>
      </c>
      <c r="AV969">
        <f>HYPERLINK("http://www.worldcat.org/oclc/41327717","WorldCat Record")</f>
        <v/>
      </c>
      <c r="AW969" t="inlineStr">
        <is>
          <t>793200462:eng</t>
        </is>
      </c>
      <c r="AX969" t="inlineStr">
        <is>
          <t>41327717</t>
        </is>
      </c>
      <c r="AY969" t="inlineStr">
        <is>
          <t>991001799089702656</t>
        </is>
      </c>
      <c r="AZ969" t="inlineStr">
        <is>
          <t>991001799089702656</t>
        </is>
      </c>
      <c r="BA969" t="inlineStr">
        <is>
          <t>2269848830002656</t>
        </is>
      </c>
      <c r="BB969" t="inlineStr">
        <is>
          <t>BOOK</t>
        </is>
      </c>
      <c r="BD969" t="inlineStr">
        <is>
          <t>9781556644306</t>
        </is>
      </c>
      <c r="BE969" t="inlineStr">
        <is>
          <t>30001003831726</t>
        </is>
      </c>
      <c r="BF969" t="inlineStr">
        <is>
          <t>893736959</t>
        </is>
      </c>
    </row>
    <row r="970">
      <c r="A970" t="inlineStr">
        <is>
          <t>No</t>
        </is>
      </c>
      <c r="B970" t="inlineStr">
        <is>
          <t>CUHSL</t>
        </is>
      </c>
      <c r="C970" t="inlineStr">
        <is>
          <t>SHELVES</t>
        </is>
      </c>
      <c r="D970" t="inlineStr">
        <is>
          <t>WY 100 M489 2000 Suppl.</t>
        </is>
      </c>
      <c r="E970" t="inlineStr">
        <is>
          <t>0                      WY 0100000M  489         2000                                        Suppl.</t>
        </is>
      </c>
      <c r="F970" t="inlineStr">
        <is>
          <t>Study guide to accompany Medical-surgical nursing : assessment and management of clinical problems / prepared by Patricia O'Brien.</t>
        </is>
      </c>
      <c r="G970" t="inlineStr">
        <is>
          <t>Suppl.*</t>
        </is>
      </c>
      <c r="H970" t="inlineStr">
        <is>
          <t>No</t>
        </is>
      </c>
      <c r="I970" t="inlineStr">
        <is>
          <t>1</t>
        </is>
      </c>
      <c r="J970" t="inlineStr">
        <is>
          <t>No</t>
        </is>
      </c>
      <c r="K970" t="inlineStr">
        <is>
          <t>No</t>
        </is>
      </c>
      <c r="L970" t="inlineStr">
        <is>
          <t>0</t>
        </is>
      </c>
      <c r="N970" t="inlineStr">
        <is>
          <t>St. Louis : Mosby, 2000.</t>
        </is>
      </c>
      <c r="O970" t="inlineStr">
        <is>
          <t>2000</t>
        </is>
      </c>
      <c r="P970" t="inlineStr">
        <is>
          <t>5th ed.</t>
        </is>
      </c>
      <c r="Q970" t="inlineStr">
        <is>
          <t>eng</t>
        </is>
      </c>
      <c r="R970" t="inlineStr">
        <is>
          <t>mou</t>
        </is>
      </c>
      <c r="T970" t="inlineStr">
        <is>
          <t xml:space="preserve">WY </t>
        </is>
      </c>
      <c r="U970" t="n">
        <v>73</v>
      </c>
      <c r="V970" t="n">
        <v>73</v>
      </c>
      <c r="W970" t="inlineStr">
        <is>
          <t>2010-09-15</t>
        </is>
      </c>
      <c r="X970" t="inlineStr">
        <is>
          <t>2010-09-15</t>
        </is>
      </c>
      <c r="Y970" t="inlineStr">
        <is>
          <t>2000-07-13</t>
        </is>
      </c>
      <c r="Z970" t="inlineStr">
        <is>
          <t>2000-07-13</t>
        </is>
      </c>
      <c r="AA970" t="n">
        <v>51</v>
      </c>
      <c r="AB970" t="n">
        <v>38</v>
      </c>
      <c r="AC970" t="n">
        <v>53</v>
      </c>
      <c r="AD970" t="n">
        <v>1</v>
      </c>
      <c r="AE970" t="n">
        <v>1</v>
      </c>
      <c r="AF970" t="n">
        <v>0</v>
      </c>
      <c r="AG970" t="n">
        <v>0</v>
      </c>
      <c r="AH970" t="n">
        <v>0</v>
      </c>
      <c r="AI970" t="n">
        <v>0</v>
      </c>
      <c r="AJ970" t="n">
        <v>0</v>
      </c>
      <c r="AK970" t="n">
        <v>0</v>
      </c>
      <c r="AL970" t="n">
        <v>0</v>
      </c>
      <c r="AM970" t="n">
        <v>0</v>
      </c>
      <c r="AN970" t="n">
        <v>0</v>
      </c>
      <c r="AO970" t="n">
        <v>0</v>
      </c>
      <c r="AP970" t="n">
        <v>0</v>
      </c>
      <c r="AQ970" t="n">
        <v>0</v>
      </c>
      <c r="AR970" t="inlineStr">
        <is>
          <t>No</t>
        </is>
      </c>
      <c r="AS970" t="inlineStr">
        <is>
          <t>No</t>
        </is>
      </c>
      <c r="AU970">
        <f>HYPERLINK("https://creighton-primo.hosted.exlibrisgroup.com/primo-explore/search?tab=default_tab&amp;search_scope=EVERYTHING&amp;vid=01CRU&amp;lang=en_US&amp;offset=0&amp;query=any,contains,991000634209702656","Catalog Record")</f>
        <v/>
      </c>
      <c r="AV970">
        <f>HYPERLINK("http://www.worldcat.org/oclc/42793583","WorldCat Record")</f>
        <v/>
      </c>
      <c r="AW970" t="inlineStr">
        <is>
          <t>2830431875:eng</t>
        </is>
      </c>
      <c r="AX970" t="inlineStr">
        <is>
          <t>42793583</t>
        </is>
      </c>
      <c r="AY970" t="inlineStr">
        <is>
          <t>991000634209702656</t>
        </is>
      </c>
      <c r="AZ970" t="inlineStr">
        <is>
          <t>991000634209702656</t>
        </is>
      </c>
      <c r="BA970" t="inlineStr">
        <is>
          <t>2257014370002656</t>
        </is>
      </c>
      <c r="BB970" t="inlineStr">
        <is>
          <t>BOOK</t>
        </is>
      </c>
      <c r="BD970" t="inlineStr">
        <is>
          <t>9780323002585</t>
        </is>
      </c>
      <c r="BE970" t="inlineStr">
        <is>
          <t>30001005218203</t>
        </is>
      </c>
      <c r="BF970" t="inlineStr">
        <is>
          <t>893825252</t>
        </is>
      </c>
    </row>
    <row r="971">
      <c r="A971" t="inlineStr">
        <is>
          <t>No</t>
        </is>
      </c>
      <c r="B971" t="inlineStr">
        <is>
          <t>CUHSL</t>
        </is>
      </c>
      <c r="C971" t="inlineStr">
        <is>
          <t>SHELVES</t>
        </is>
      </c>
      <c r="D971" t="inlineStr">
        <is>
          <t>WY100 M489 2004</t>
        </is>
      </c>
      <c r="E971" t="inlineStr">
        <is>
          <t>0                      WY 0100000M  489         2004</t>
        </is>
      </c>
      <c r="F971" t="inlineStr">
        <is>
          <t>Medical-surgical nursing : assessment and management of clinical problems / [edited by] Sharon Mantik Lewis, Margaret McLean Heitkemper, Shannon Ruff Dirksen ; section editors, Patricia Graber O'Brien, Jean Foret Giddens, Linda Bucher.</t>
        </is>
      </c>
      <c r="H971" t="inlineStr">
        <is>
          <t>No</t>
        </is>
      </c>
      <c r="I971" t="inlineStr">
        <is>
          <t>1</t>
        </is>
      </c>
      <c r="J971" t="inlineStr">
        <is>
          <t>No</t>
        </is>
      </c>
      <c r="K971" t="inlineStr">
        <is>
          <t>Yes</t>
        </is>
      </c>
      <c r="L971" t="inlineStr">
        <is>
          <t>0</t>
        </is>
      </c>
      <c r="N971" t="inlineStr">
        <is>
          <t>St. Louis : Mosby, c2004.</t>
        </is>
      </c>
      <c r="O971" t="inlineStr">
        <is>
          <t>2004</t>
        </is>
      </c>
      <c r="P971" t="inlineStr">
        <is>
          <t>6th ed.</t>
        </is>
      </c>
      <c r="Q971" t="inlineStr">
        <is>
          <t>eng</t>
        </is>
      </c>
      <c r="R971" t="inlineStr">
        <is>
          <t>mou</t>
        </is>
      </c>
      <c r="T971" t="inlineStr">
        <is>
          <t xml:space="preserve">WY </t>
        </is>
      </c>
      <c r="U971" t="n">
        <v>194</v>
      </c>
      <c r="V971" t="n">
        <v>194</v>
      </c>
      <c r="W971" t="inlineStr">
        <is>
          <t>2007-06-25</t>
        </is>
      </c>
      <c r="X971" t="inlineStr">
        <is>
          <t>2007-06-25</t>
        </is>
      </c>
      <c r="Y971" t="inlineStr">
        <is>
          <t>2003-08-26</t>
        </is>
      </c>
      <c r="Z971" t="inlineStr">
        <is>
          <t>2003-08-26</t>
        </is>
      </c>
      <c r="AA971" t="n">
        <v>355</v>
      </c>
      <c r="AB971" t="n">
        <v>281</v>
      </c>
      <c r="AC971" t="n">
        <v>1310</v>
      </c>
      <c r="AD971" t="n">
        <v>2</v>
      </c>
      <c r="AE971" t="n">
        <v>11</v>
      </c>
      <c r="AF971" t="n">
        <v>6</v>
      </c>
      <c r="AG971" t="n">
        <v>35</v>
      </c>
      <c r="AH971" t="n">
        <v>3</v>
      </c>
      <c r="AI971" t="n">
        <v>12</v>
      </c>
      <c r="AJ971" t="n">
        <v>2</v>
      </c>
      <c r="AK971" t="n">
        <v>7</v>
      </c>
      <c r="AL971" t="n">
        <v>4</v>
      </c>
      <c r="AM971" t="n">
        <v>14</v>
      </c>
      <c r="AN971" t="n">
        <v>0</v>
      </c>
      <c r="AO971" t="n">
        <v>7</v>
      </c>
      <c r="AP971" t="n">
        <v>0</v>
      </c>
      <c r="AQ971" t="n">
        <v>0</v>
      </c>
      <c r="AR971" t="inlineStr">
        <is>
          <t>No</t>
        </is>
      </c>
      <c r="AS971" t="inlineStr">
        <is>
          <t>Yes</t>
        </is>
      </c>
      <c r="AT971">
        <f>HYPERLINK("http://catalog.hathitrust.org/Record/004333765","HathiTrust Record")</f>
        <v/>
      </c>
      <c r="AU971">
        <f>HYPERLINK("https://creighton-primo.hosted.exlibrisgroup.com/primo-explore/search?tab=default_tab&amp;search_scope=EVERYTHING&amp;vid=01CRU&amp;lang=en_US&amp;offset=0&amp;query=any,contains,991001724089702656","Catalog Record")</f>
        <v/>
      </c>
      <c r="AV971">
        <f>HYPERLINK("http://www.worldcat.org/oclc/52086153","WorldCat Record")</f>
        <v/>
      </c>
      <c r="AW971" t="inlineStr">
        <is>
          <t>793200462:eng</t>
        </is>
      </c>
      <c r="AX971" t="inlineStr">
        <is>
          <t>52086153</t>
        </is>
      </c>
      <c r="AY971" t="inlineStr">
        <is>
          <t>991001724089702656</t>
        </is>
      </c>
      <c r="AZ971" t="inlineStr">
        <is>
          <t>991001724089702656</t>
        </is>
      </c>
      <c r="BA971" t="inlineStr">
        <is>
          <t>2256729320002656</t>
        </is>
      </c>
      <c r="BB971" t="inlineStr">
        <is>
          <t>BOOK</t>
        </is>
      </c>
      <c r="BD971" t="inlineStr">
        <is>
          <t>9780323016100</t>
        </is>
      </c>
      <c r="BE971" t="inlineStr">
        <is>
          <t>30001004505584</t>
        </is>
      </c>
      <c r="BF971" t="inlineStr">
        <is>
          <t>893821546</t>
        </is>
      </c>
    </row>
    <row r="972">
      <c r="A972" t="inlineStr">
        <is>
          <t>No</t>
        </is>
      </c>
      <c r="B972" t="inlineStr">
        <is>
          <t>CUHSL</t>
        </is>
      </c>
      <c r="C972" t="inlineStr">
        <is>
          <t>SHELVES</t>
        </is>
      </c>
      <c r="D972" t="inlineStr">
        <is>
          <t>WY 100 M4895 1991</t>
        </is>
      </c>
      <c r="E972" t="inlineStr">
        <is>
          <t>0                      WY 0100000M  4895        1991</t>
        </is>
      </c>
      <c r="F972" t="inlineStr">
        <is>
          <t>Medical-surgical nursing : pathophysiological concepts / Maxine L. Patrick ... [et al.] ; with 81 contributors.</t>
        </is>
      </c>
      <c r="H972" t="inlineStr">
        <is>
          <t>No</t>
        </is>
      </c>
      <c r="I972" t="inlineStr">
        <is>
          <t>1</t>
        </is>
      </c>
      <c r="J972" t="inlineStr">
        <is>
          <t>No</t>
        </is>
      </c>
      <c r="K972" t="inlineStr">
        <is>
          <t>No</t>
        </is>
      </c>
      <c r="L972" t="inlineStr">
        <is>
          <t>0</t>
        </is>
      </c>
      <c r="N972" t="inlineStr">
        <is>
          <t>Philadelphia : Lippincott, c1991.</t>
        </is>
      </c>
      <c r="O972" t="inlineStr">
        <is>
          <t>1991</t>
        </is>
      </c>
      <c r="P972" t="inlineStr">
        <is>
          <t>2nd ed.</t>
        </is>
      </c>
      <c r="Q972" t="inlineStr">
        <is>
          <t>eng</t>
        </is>
      </c>
      <c r="R972" t="inlineStr">
        <is>
          <t>xxu</t>
        </is>
      </c>
      <c r="T972" t="inlineStr">
        <is>
          <t xml:space="preserve">WY </t>
        </is>
      </c>
      <c r="U972" t="n">
        <v>16</v>
      </c>
      <c r="V972" t="n">
        <v>16</v>
      </c>
      <c r="W972" t="inlineStr">
        <is>
          <t>1997-01-27</t>
        </is>
      </c>
      <c r="X972" t="inlineStr">
        <is>
          <t>1997-01-27</t>
        </is>
      </c>
      <c r="Y972" t="inlineStr">
        <is>
          <t>1991-08-19</t>
        </is>
      </c>
      <c r="Z972" t="inlineStr">
        <is>
          <t>1991-08-19</t>
        </is>
      </c>
      <c r="AA972" t="n">
        <v>185</v>
      </c>
      <c r="AB972" t="n">
        <v>138</v>
      </c>
      <c r="AC972" t="n">
        <v>250</v>
      </c>
      <c r="AD972" t="n">
        <v>1</v>
      </c>
      <c r="AE972" t="n">
        <v>1</v>
      </c>
      <c r="AF972" t="n">
        <v>1</v>
      </c>
      <c r="AG972" t="n">
        <v>3</v>
      </c>
      <c r="AH972" t="n">
        <v>0</v>
      </c>
      <c r="AI972" t="n">
        <v>1</v>
      </c>
      <c r="AJ972" t="n">
        <v>0</v>
      </c>
      <c r="AK972" t="n">
        <v>0</v>
      </c>
      <c r="AL972" t="n">
        <v>1</v>
      </c>
      <c r="AM972" t="n">
        <v>2</v>
      </c>
      <c r="AN972" t="n">
        <v>0</v>
      </c>
      <c r="AO972" t="n">
        <v>0</v>
      </c>
      <c r="AP972" t="n">
        <v>0</v>
      </c>
      <c r="AQ972" t="n">
        <v>0</v>
      </c>
      <c r="AR972" t="inlineStr">
        <is>
          <t>No</t>
        </is>
      </c>
      <c r="AS972" t="inlineStr">
        <is>
          <t>No</t>
        </is>
      </c>
      <c r="AU972">
        <f>HYPERLINK("https://creighton-primo.hosted.exlibrisgroup.com/primo-explore/search?tab=default_tab&amp;search_scope=EVERYTHING&amp;vid=01CRU&amp;lang=en_US&amp;offset=0&amp;query=any,contains,991000944689702656","Catalog Record")</f>
        <v/>
      </c>
      <c r="AV972">
        <f>HYPERLINK("http://www.worldcat.org/oclc/21910877","WorldCat Record")</f>
        <v/>
      </c>
      <c r="AW972" t="inlineStr">
        <is>
          <t>836679070:eng</t>
        </is>
      </c>
      <c r="AX972" t="inlineStr">
        <is>
          <t>21910877</t>
        </is>
      </c>
      <c r="AY972" t="inlineStr">
        <is>
          <t>991000944689702656</t>
        </is>
      </c>
      <c r="AZ972" t="inlineStr">
        <is>
          <t>991000944689702656</t>
        </is>
      </c>
      <c r="BA972" t="inlineStr">
        <is>
          <t>2267464000002656</t>
        </is>
      </c>
      <c r="BB972" t="inlineStr">
        <is>
          <t>BOOK</t>
        </is>
      </c>
      <c r="BD972" t="inlineStr">
        <is>
          <t>9780397547302</t>
        </is>
      </c>
      <c r="BE972" t="inlineStr">
        <is>
          <t>30001002193409</t>
        </is>
      </c>
      <c r="BF972" t="inlineStr">
        <is>
          <t>893450628</t>
        </is>
      </c>
    </row>
    <row r="973">
      <c r="A973" t="inlineStr">
        <is>
          <t>No</t>
        </is>
      </c>
      <c r="B973" t="inlineStr">
        <is>
          <t>CUHSL</t>
        </is>
      </c>
      <c r="C973" t="inlineStr">
        <is>
          <t>SHELVES</t>
        </is>
      </c>
      <c r="D973" t="inlineStr">
        <is>
          <t>WY 100 M4897 1999</t>
        </is>
      </c>
      <c r="E973" t="inlineStr">
        <is>
          <t>0                      WY 0100000M  4897        1999</t>
        </is>
      </c>
      <c r="F973" t="inlineStr">
        <is>
          <t>Medical-surgical nursing : total patient care / [edited by] Gail A. Harkness, Judith R. Dincher.</t>
        </is>
      </c>
      <c r="H973" t="inlineStr">
        <is>
          <t>No</t>
        </is>
      </c>
      <c r="I973" t="inlineStr">
        <is>
          <t>1</t>
        </is>
      </c>
      <c r="J973" t="inlineStr">
        <is>
          <t>No</t>
        </is>
      </c>
      <c r="K973" t="inlineStr">
        <is>
          <t>No</t>
        </is>
      </c>
      <c r="L973" t="inlineStr">
        <is>
          <t>0</t>
        </is>
      </c>
      <c r="N973" t="inlineStr">
        <is>
          <t>St. Louis : Mobsy, c1999.</t>
        </is>
      </c>
      <c r="O973" t="inlineStr">
        <is>
          <t>1999</t>
        </is>
      </c>
      <c r="P973" t="inlineStr">
        <is>
          <t>10th ed.</t>
        </is>
      </c>
      <c r="Q973" t="inlineStr">
        <is>
          <t>eng</t>
        </is>
      </c>
      <c r="R973" t="inlineStr">
        <is>
          <t>mou</t>
        </is>
      </c>
      <c r="T973" t="inlineStr">
        <is>
          <t xml:space="preserve">WY </t>
        </is>
      </c>
      <c r="U973" t="n">
        <v>6</v>
      </c>
      <c r="V973" t="n">
        <v>6</v>
      </c>
      <c r="W973" t="inlineStr">
        <is>
          <t>2000-09-07</t>
        </is>
      </c>
      <c r="X973" t="inlineStr">
        <is>
          <t>2000-09-07</t>
        </is>
      </c>
      <c r="Y973" t="inlineStr">
        <is>
          <t>1999-03-23</t>
        </is>
      </c>
      <c r="Z973" t="inlineStr">
        <is>
          <t>1999-03-23</t>
        </is>
      </c>
      <c r="AA973" t="n">
        <v>198</v>
      </c>
      <c r="AB973" t="n">
        <v>177</v>
      </c>
      <c r="AC973" t="n">
        <v>263</v>
      </c>
      <c r="AD973" t="n">
        <v>1</v>
      </c>
      <c r="AE973" t="n">
        <v>1</v>
      </c>
      <c r="AF973" t="n">
        <v>3</v>
      </c>
      <c r="AG973" t="n">
        <v>5</v>
      </c>
      <c r="AH973" t="n">
        <v>0</v>
      </c>
      <c r="AI973" t="n">
        <v>2</v>
      </c>
      <c r="AJ973" t="n">
        <v>0</v>
      </c>
      <c r="AK973" t="n">
        <v>0</v>
      </c>
      <c r="AL973" t="n">
        <v>3</v>
      </c>
      <c r="AM973" t="n">
        <v>5</v>
      </c>
      <c r="AN973" t="n">
        <v>0</v>
      </c>
      <c r="AO973" t="n">
        <v>0</v>
      </c>
      <c r="AP973" t="n">
        <v>0</v>
      </c>
      <c r="AQ973" t="n">
        <v>0</v>
      </c>
      <c r="AR973" t="inlineStr">
        <is>
          <t>No</t>
        </is>
      </c>
      <c r="AS973" t="inlineStr">
        <is>
          <t>No</t>
        </is>
      </c>
      <c r="AU973">
        <f>HYPERLINK("https://creighton-primo.hosted.exlibrisgroup.com/primo-explore/search?tab=default_tab&amp;search_scope=EVERYTHING&amp;vid=01CRU&amp;lang=en_US&amp;offset=0&amp;query=any,contains,991000782649702656","Catalog Record")</f>
        <v/>
      </c>
      <c r="AV973">
        <f>HYPERLINK("http://www.worldcat.org/oclc/39981690","WorldCat Record")</f>
        <v/>
      </c>
      <c r="AW973" t="inlineStr">
        <is>
          <t>837000415:eng</t>
        </is>
      </c>
      <c r="AX973" t="inlineStr">
        <is>
          <t>39981690</t>
        </is>
      </c>
      <c r="AY973" t="inlineStr">
        <is>
          <t>991000782649702656</t>
        </is>
      </c>
      <c r="AZ973" t="inlineStr">
        <is>
          <t>991000782649702656</t>
        </is>
      </c>
      <c r="BA973" t="inlineStr">
        <is>
          <t>2258399200002656</t>
        </is>
      </c>
      <c r="BB973" t="inlineStr">
        <is>
          <t>BOOK</t>
        </is>
      </c>
      <c r="BD973" t="inlineStr">
        <is>
          <t>9780323002479</t>
        </is>
      </c>
      <c r="BE973" t="inlineStr">
        <is>
          <t>30001004070274</t>
        </is>
      </c>
      <c r="BF973" t="inlineStr">
        <is>
          <t>893820251</t>
        </is>
      </c>
    </row>
    <row r="974">
      <c r="A974" t="inlineStr">
        <is>
          <t>No</t>
        </is>
      </c>
      <c r="B974" t="inlineStr">
        <is>
          <t>CUHSL</t>
        </is>
      </c>
      <c r="C974" t="inlineStr">
        <is>
          <t>SHELVES</t>
        </is>
      </c>
      <c r="D974" t="inlineStr">
        <is>
          <t>WY 100 M651f 1982</t>
        </is>
      </c>
      <c r="E974" t="inlineStr">
        <is>
          <t>0                      WY 0100000M  651f        1982</t>
        </is>
      </c>
      <c r="F974" t="inlineStr">
        <is>
          <t>Family systems theory in nursing practice / by Sally R. Miller and Patricia Winstead-Fry.</t>
        </is>
      </c>
      <c r="H974" t="inlineStr">
        <is>
          <t>No</t>
        </is>
      </c>
      <c r="I974" t="inlineStr">
        <is>
          <t>1</t>
        </is>
      </c>
      <c r="J974" t="inlineStr">
        <is>
          <t>No</t>
        </is>
      </c>
      <c r="K974" t="inlineStr">
        <is>
          <t>No</t>
        </is>
      </c>
      <c r="L974" t="inlineStr">
        <is>
          <t>0</t>
        </is>
      </c>
      <c r="M974" t="inlineStr">
        <is>
          <t>Miller, Sally R.</t>
        </is>
      </c>
      <c r="N974" t="inlineStr">
        <is>
          <t>Reston, Va. : Reston Pub. Co., c1982.</t>
        </is>
      </c>
      <c r="O974" t="inlineStr">
        <is>
          <t>1982</t>
        </is>
      </c>
      <c r="Q974" t="inlineStr">
        <is>
          <t>eng</t>
        </is>
      </c>
      <c r="R974" t="inlineStr">
        <is>
          <t>xxu</t>
        </is>
      </c>
      <c r="T974" t="inlineStr">
        <is>
          <t xml:space="preserve">WY </t>
        </is>
      </c>
      <c r="U974" t="n">
        <v>5</v>
      </c>
      <c r="V974" t="n">
        <v>5</v>
      </c>
      <c r="W974" t="inlineStr">
        <is>
          <t>1990-12-18</t>
        </is>
      </c>
      <c r="X974" t="inlineStr">
        <is>
          <t>1990-12-18</t>
        </is>
      </c>
      <c r="Y974" t="inlineStr">
        <is>
          <t>1987-12-29</t>
        </is>
      </c>
      <c r="Z974" t="inlineStr">
        <is>
          <t>1987-12-29</t>
        </is>
      </c>
      <c r="AA974" t="n">
        <v>244</v>
      </c>
      <c r="AB974" t="n">
        <v>202</v>
      </c>
      <c r="AC974" t="n">
        <v>209</v>
      </c>
      <c r="AD974" t="n">
        <v>1</v>
      </c>
      <c r="AE974" t="n">
        <v>1</v>
      </c>
      <c r="AF974" t="n">
        <v>16</v>
      </c>
      <c r="AG974" t="n">
        <v>16</v>
      </c>
      <c r="AH974" t="n">
        <v>8</v>
      </c>
      <c r="AI974" t="n">
        <v>8</v>
      </c>
      <c r="AJ974" t="n">
        <v>3</v>
      </c>
      <c r="AK974" t="n">
        <v>3</v>
      </c>
      <c r="AL974" t="n">
        <v>9</v>
      </c>
      <c r="AM974" t="n">
        <v>9</v>
      </c>
      <c r="AN974" t="n">
        <v>0</v>
      </c>
      <c r="AO974" t="n">
        <v>0</v>
      </c>
      <c r="AP974" t="n">
        <v>1</v>
      </c>
      <c r="AQ974" t="n">
        <v>1</v>
      </c>
      <c r="AR974" t="inlineStr">
        <is>
          <t>No</t>
        </is>
      </c>
      <c r="AS974" t="inlineStr">
        <is>
          <t>Yes</t>
        </is>
      </c>
      <c r="AT974">
        <f>HYPERLINK("http://catalog.hathitrust.org/Record/000192551","HathiTrust Record")</f>
        <v/>
      </c>
      <c r="AU974">
        <f>HYPERLINK("https://creighton-primo.hosted.exlibrisgroup.com/primo-explore/search?tab=default_tab&amp;search_scope=EVERYTHING&amp;vid=01CRU&amp;lang=en_US&amp;offset=0&amp;query=any,contains,991001086619702656","Catalog Record")</f>
        <v/>
      </c>
      <c r="AV974">
        <f>HYPERLINK("http://www.worldcat.org/oclc/7555948","WorldCat Record")</f>
        <v/>
      </c>
      <c r="AW974" t="inlineStr">
        <is>
          <t>28593610:eng</t>
        </is>
      </c>
      <c r="AX974" t="inlineStr">
        <is>
          <t>7555948</t>
        </is>
      </c>
      <c r="AY974" t="inlineStr">
        <is>
          <t>991001086619702656</t>
        </is>
      </c>
      <c r="AZ974" t="inlineStr">
        <is>
          <t>991001086619702656</t>
        </is>
      </c>
      <c r="BA974" t="inlineStr">
        <is>
          <t>2255739490002656</t>
        </is>
      </c>
      <c r="BB974" t="inlineStr">
        <is>
          <t>BOOK</t>
        </is>
      </c>
      <c r="BD974" t="inlineStr">
        <is>
          <t>9780835918503</t>
        </is>
      </c>
      <c r="BE974" t="inlineStr">
        <is>
          <t>30001000259731</t>
        </is>
      </c>
      <c r="BF974" t="inlineStr">
        <is>
          <t>893148853</t>
        </is>
      </c>
    </row>
    <row r="975">
      <c r="A975" t="inlineStr">
        <is>
          <t>No</t>
        </is>
      </c>
      <c r="B975" t="inlineStr">
        <is>
          <t>CUHSL</t>
        </is>
      </c>
      <c r="C975" t="inlineStr">
        <is>
          <t>SHELVES</t>
        </is>
      </c>
      <c r="D975" t="inlineStr">
        <is>
          <t>WY 100 M662s 1980</t>
        </is>
      </c>
      <c r="E975" t="inlineStr">
        <is>
          <t>0                      WY 0100000M  662s        1980</t>
        </is>
      </c>
      <c r="F975" t="inlineStr">
        <is>
          <t>Sexuality : a nursing perspective / Fern H. Mims, Melinda Swenson.</t>
        </is>
      </c>
      <c r="H975" t="inlineStr">
        <is>
          <t>No</t>
        </is>
      </c>
      <c r="I975" t="inlineStr">
        <is>
          <t>1</t>
        </is>
      </c>
      <c r="J975" t="inlineStr">
        <is>
          <t>No</t>
        </is>
      </c>
      <c r="K975" t="inlineStr">
        <is>
          <t>No</t>
        </is>
      </c>
      <c r="L975" t="inlineStr">
        <is>
          <t>0</t>
        </is>
      </c>
      <c r="M975" t="inlineStr">
        <is>
          <t>Mims, Fern.</t>
        </is>
      </c>
      <c r="N975" t="inlineStr">
        <is>
          <t>New York : McGraw-Hill, c1980.</t>
        </is>
      </c>
      <c r="O975" t="inlineStr">
        <is>
          <t>1980</t>
        </is>
      </c>
      <c r="Q975" t="inlineStr">
        <is>
          <t>eng</t>
        </is>
      </c>
      <c r="R975" t="inlineStr">
        <is>
          <t>nyu</t>
        </is>
      </c>
      <c r="T975" t="inlineStr">
        <is>
          <t xml:space="preserve">WY </t>
        </is>
      </c>
      <c r="U975" t="n">
        <v>3</v>
      </c>
      <c r="V975" t="n">
        <v>3</v>
      </c>
      <c r="W975" t="inlineStr">
        <is>
          <t>1990-11-05</t>
        </is>
      </c>
      <c r="X975" t="inlineStr">
        <is>
          <t>1990-11-05</t>
        </is>
      </c>
      <c r="Y975" t="inlineStr">
        <is>
          <t>1987-12-29</t>
        </is>
      </c>
      <c r="Z975" t="inlineStr">
        <is>
          <t>1987-12-29</t>
        </is>
      </c>
      <c r="AA975" t="n">
        <v>279</v>
      </c>
      <c r="AB975" t="n">
        <v>235</v>
      </c>
      <c r="AC975" t="n">
        <v>237</v>
      </c>
      <c r="AD975" t="n">
        <v>4</v>
      </c>
      <c r="AE975" t="n">
        <v>4</v>
      </c>
      <c r="AF975" t="n">
        <v>9</v>
      </c>
      <c r="AG975" t="n">
        <v>9</v>
      </c>
      <c r="AH975" t="n">
        <v>3</v>
      </c>
      <c r="AI975" t="n">
        <v>3</v>
      </c>
      <c r="AJ975" t="n">
        <v>3</v>
      </c>
      <c r="AK975" t="n">
        <v>3</v>
      </c>
      <c r="AL975" t="n">
        <v>4</v>
      </c>
      <c r="AM975" t="n">
        <v>4</v>
      </c>
      <c r="AN975" t="n">
        <v>2</v>
      </c>
      <c r="AO975" t="n">
        <v>2</v>
      </c>
      <c r="AP975" t="n">
        <v>0</v>
      </c>
      <c r="AQ975" t="n">
        <v>0</v>
      </c>
      <c r="AR975" t="inlineStr">
        <is>
          <t>No</t>
        </is>
      </c>
      <c r="AS975" t="inlineStr">
        <is>
          <t>Yes</t>
        </is>
      </c>
      <c r="AT975">
        <f>HYPERLINK("http://catalog.hathitrust.org/Record/000043078","HathiTrust Record")</f>
        <v/>
      </c>
      <c r="AU975">
        <f>HYPERLINK("https://creighton-primo.hosted.exlibrisgroup.com/primo-explore/search?tab=default_tab&amp;search_scope=EVERYTHING&amp;vid=01CRU&amp;lang=en_US&amp;offset=0&amp;query=any,contains,991001086719702656","Catalog Record")</f>
        <v/>
      </c>
      <c r="AV975">
        <f>HYPERLINK("http://www.worldcat.org/oclc/5029672","WorldCat Record")</f>
        <v/>
      </c>
      <c r="AW975" t="inlineStr">
        <is>
          <t>425730756:eng</t>
        </is>
      </c>
      <c r="AX975" t="inlineStr">
        <is>
          <t>5029672</t>
        </is>
      </c>
      <c r="AY975" t="inlineStr">
        <is>
          <t>991001086719702656</t>
        </is>
      </c>
      <c r="AZ975" t="inlineStr">
        <is>
          <t>991001086719702656</t>
        </is>
      </c>
      <c r="BA975" t="inlineStr">
        <is>
          <t>2271585190002656</t>
        </is>
      </c>
      <c r="BB975" t="inlineStr">
        <is>
          <t>BOOK</t>
        </is>
      </c>
      <c r="BD975" t="inlineStr">
        <is>
          <t>9780070423886</t>
        </is>
      </c>
      <c r="BE975" t="inlineStr">
        <is>
          <t>30001000259749</t>
        </is>
      </c>
      <c r="BF975" t="inlineStr">
        <is>
          <t>893552111</t>
        </is>
      </c>
    </row>
    <row r="976">
      <c r="A976" t="inlineStr">
        <is>
          <t>No</t>
        </is>
      </c>
      <c r="B976" t="inlineStr">
        <is>
          <t>CUHSL</t>
        </is>
      </c>
      <c r="C976" t="inlineStr">
        <is>
          <t>SHELVES</t>
        </is>
      </c>
      <c r="D976" t="inlineStr">
        <is>
          <t>WY 100 M689 1980</t>
        </is>
      </c>
      <c r="E976" t="inlineStr">
        <is>
          <t>0                      WY 0100000M  689         1980</t>
        </is>
      </c>
      <c r="F976" t="inlineStr">
        <is>
          <t>Models for cultural diversity in nursing : a process for change, final report / Marie Branch, project director; Pat Riley, project secretary.</t>
        </is>
      </c>
      <c r="H976" t="inlineStr">
        <is>
          <t>No</t>
        </is>
      </c>
      <c r="I976" t="inlineStr">
        <is>
          <t>1</t>
        </is>
      </c>
      <c r="J976" t="inlineStr">
        <is>
          <t>No</t>
        </is>
      </c>
      <c r="K976" t="inlineStr">
        <is>
          <t>No</t>
        </is>
      </c>
      <c r="L976" t="inlineStr">
        <is>
          <t>0</t>
        </is>
      </c>
      <c r="M976" t="inlineStr">
        <is>
          <t>Branch, Marie Foster.</t>
        </is>
      </c>
      <c r="N976" t="inlineStr">
        <is>
          <t>Boulder, Colo. : Western Interstate Commission for Higher Education, 1978.</t>
        </is>
      </c>
      <c r="O976" t="inlineStr">
        <is>
          <t>1978</t>
        </is>
      </c>
      <c r="Q976" t="inlineStr">
        <is>
          <t>eng</t>
        </is>
      </c>
      <c r="R976" t="inlineStr">
        <is>
          <t>cou</t>
        </is>
      </c>
      <c r="T976" t="inlineStr">
        <is>
          <t xml:space="preserve">WY </t>
        </is>
      </c>
      <c r="U976" t="n">
        <v>5</v>
      </c>
      <c r="V976" t="n">
        <v>5</v>
      </c>
      <c r="W976" t="inlineStr">
        <is>
          <t>1995-10-30</t>
        </is>
      </c>
      <c r="X976" t="inlineStr">
        <is>
          <t>1995-10-30</t>
        </is>
      </c>
      <c r="Y976" t="inlineStr">
        <is>
          <t>1987-12-29</t>
        </is>
      </c>
      <c r="Z976" t="inlineStr">
        <is>
          <t>1987-12-29</t>
        </is>
      </c>
      <c r="AA976" t="n">
        <v>50</v>
      </c>
      <c r="AB976" t="n">
        <v>49</v>
      </c>
      <c r="AC976" t="n">
        <v>49</v>
      </c>
      <c r="AD976" t="n">
        <v>1</v>
      </c>
      <c r="AE976" t="n">
        <v>1</v>
      </c>
      <c r="AF976" t="n">
        <v>2</v>
      </c>
      <c r="AG976" t="n">
        <v>2</v>
      </c>
      <c r="AH976" t="n">
        <v>0</v>
      </c>
      <c r="AI976" t="n">
        <v>0</v>
      </c>
      <c r="AJ976" t="n">
        <v>0</v>
      </c>
      <c r="AK976" t="n">
        <v>0</v>
      </c>
      <c r="AL976" t="n">
        <v>2</v>
      </c>
      <c r="AM976" t="n">
        <v>2</v>
      </c>
      <c r="AN976" t="n">
        <v>0</v>
      </c>
      <c r="AO976" t="n">
        <v>0</v>
      </c>
      <c r="AP976" t="n">
        <v>0</v>
      </c>
      <c r="AQ976" t="n">
        <v>0</v>
      </c>
      <c r="AR976" t="inlineStr">
        <is>
          <t>No</t>
        </is>
      </c>
      <c r="AS976" t="inlineStr">
        <is>
          <t>No</t>
        </is>
      </c>
      <c r="AU976">
        <f>HYPERLINK("https://creighton-primo.hosted.exlibrisgroup.com/primo-explore/search?tab=default_tab&amp;search_scope=EVERYTHING&amp;vid=01CRU&amp;lang=en_US&amp;offset=0&amp;query=any,contains,991001086799702656","Catalog Record")</f>
        <v/>
      </c>
      <c r="AV976">
        <f>HYPERLINK("http://www.worldcat.org/oclc/4232176","WorldCat Record")</f>
        <v/>
      </c>
      <c r="AW976" t="inlineStr">
        <is>
          <t>14578217:eng</t>
        </is>
      </c>
      <c r="AX976" t="inlineStr">
        <is>
          <t>4232176</t>
        </is>
      </c>
      <c r="AY976" t="inlineStr">
        <is>
          <t>991001086799702656</t>
        </is>
      </c>
      <c r="AZ976" t="inlineStr">
        <is>
          <t>991001086799702656</t>
        </is>
      </c>
      <c r="BA976" t="inlineStr">
        <is>
          <t>2262296500002656</t>
        </is>
      </c>
      <c r="BB976" t="inlineStr">
        <is>
          <t>BOOK</t>
        </is>
      </c>
      <c r="BE976" t="inlineStr">
        <is>
          <t>30001000259780</t>
        </is>
      </c>
      <c r="BF976" t="inlineStr">
        <is>
          <t>893450861</t>
        </is>
      </c>
    </row>
    <row r="977">
      <c r="A977" t="inlineStr">
        <is>
          <t>No</t>
        </is>
      </c>
      <c r="B977" t="inlineStr">
        <is>
          <t>CUHSL</t>
        </is>
      </c>
      <c r="C977" t="inlineStr">
        <is>
          <t>SHELVES</t>
        </is>
      </c>
      <c r="D977" t="inlineStr">
        <is>
          <t>WY 100 M89448 1997</t>
        </is>
      </c>
      <c r="E977" t="inlineStr">
        <is>
          <t>0                      WY 0100000M  89448       1997</t>
        </is>
      </c>
      <c r="F977" t="inlineStr">
        <is>
          <t>Mosby's clinical nursing / June M. Thompson ... [et al.].</t>
        </is>
      </c>
      <c r="H977" t="inlineStr">
        <is>
          <t>No</t>
        </is>
      </c>
      <c r="I977" t="inlineStr">
        <is>
          <t>1</t>
        </is>
      </c>
      <c r="J977" t="inlineStr">
        <is>
          <t>No</t>
        </is>
      </c>
      <c r="K977" t="inlineStr">
        <is>
          <t>No</t>
        </is>
      </c>
      <c r="L977" t="inlineStr">
        <is>
          <t>0</t>
        </is>
      </c>
      <c r="N977" t="inlineStr">
        <is>
          <t>St. Louis : Mosby, c1997.</t>
        </is>
      </c>
      <c r="O977" t="inlineStr">
        <is>
          <t>1997</t>
        </is>
      </c>
      <c r="P977" t="inlineStr">
        <is>
          <t>4th ed.</t>
        </is>
      </c>
      <c r="Q977" t="inlineStr">
        <is>
          <t>eng</t>
        </is>
      </c>
      <c r="R977" t="inlineStr">
        <is>
          <t>mou</t>
        </is>
      </c>
      <c r="T977" t="inlineStr">
        <is>
          <t xml:space="preserve">WY </t>
        </is>
      </c>
      <c r="U977" t="n">
        <v>1</v>
      </c>
      <c r="V977" t="n">
        <v>1</v>
      </c>
      <c r="W977" t="inlineStr">
        <is>
          <t>2005-11-16</t>
        </is>
      </c>
      <c r="X977" t="inlineStr">
        <is>
          <t>2005-11-16</t>
        </is>
      </c>
      <c r="Y977" t="inlineStr">
        <is>
          <t>1997-05-28</t>
        </is>
      </c>
      <c r="Z977" t="inlineStr">
        <is>
          <t>1997-05-28</t>
        </is>
      </c>
      <c r="AA977" t="n">
        <v>312</v>
      </c>
      <c r="AB977" t="n">
        <v>270</v>
      </c>
      <c r="AC977" t="n">
        <v>709</v>
      </c>
      <c r="AD977" t="n">
        <v>2</v>
      </c>
      <c r="AE977" t="n">
        <v>2</v>
      </c>
      <c r="AF977" t="n">
        <v>4</v>
      </c>
      <c r="AG977" t="n">
        <v>18</v>
      </c>
      <c r="AH977" t="n">
        <v>2</v>
      </c>
      <c r="AI977" t="n">
        <v>6</v>
      </c>
      <c r="AJ977" t="n">
        <v>1</v>
      </c>
      <c r="AK977" t="n">
        <v>5</v>
      </c>
      <c r="AL977" t="n">
        <v>2</v>
      </c>
      <c r="AM977" t="n">
        <v>11</v>
      </c>
      <c r="AN977" t="n">
        <v>0</v>
      </c>
      <c r="AO977" t="n">
        <v>0</v>
      </c>
      <c r="AP977" t="n">
        <v>0</v>
      </c>
      <c r="AQ977" t="n">
        <v>0</v>
      </c>
      <c r="AR977" t="inlineStr">
        <is>
          <t>No</t>
        </is>
      </c>
      <c r="AS977" t="inlineStr">
        <is>
          <t>Yes</t>
        </is>
      </c>
      <c r="AT977">
        <f>HYPERLINK("http://catalog.hathitrust.org/Record/004572245","HathiTrust Record")</f>
        <v/>
      </c>
      <c r="AU977">
        <f>HYPERLINK("https://creighton-primo.hosted.exlibrisgroup.com/primo-explore/search?tab=default_tab&amp;search_scope=EVERYTHING&amp;vid=01CRU&amp;lang=en_US&amp;offset=0&amp;query=any,contains,991001555999702656","Catalog Record")</f>
        <v/>
      </c>
      <c r="AV977">
        <f>HYPERLINK("http://www.worldcat.org/oclc/36192085","WorldCat Record")</f>
        <v/>
      </c>
      <c r="AW977" t="inlineStr">
        <is>
          <t>364333804:eng</t>
        </is>
      </c>
      <c r="AX977" t="inlineStr">
        <is>
          <t>36192085</t>
        </is>
      </c>
      <c r="AY977" t="inlineStr">
        <is>
          <t>991001555999702656</t>
        </is>
      </c>
      <c r="AZ977" t="inlineStr">
        <is>
          <t>991001555999702656</t>
        </is>
      </c>
      <c r="BA977" t="inlineStr">
        <is>
          <t>2269173210002656</t>
        </is>
      </c>
      <c r="BB977" t="inlineStr">
        <is>
          <t>BOOK</t>
        </is>
      </c>
      <c r="BD977" t="inlineStr">
        <is>
          <t>9780815188933</t>
        </is>
      </c>
      <c r="BE977" t="inlineStr">
        <is>
          <t>30001003670645</t>
        </is>
      </c>
      <c r="BF977" t="inlineStr">
        <is>
          <t>893633205</t>
        </is>
      </c>
    </row>
    <row r="978">
      <c r="A978" t="inlineStr">
        <is>
          <t>No</t>
        </is>
      </c>
      <c r="B978" t="inlineStr">
        <is>
          <t>CUHSL</t>
        </is>
      </c>
      <c r="C978" t="inlineStr">
        <is>
          <t>SHELVES</t>
        </is>
      </c>
      <c r="D978" t="inlineStr">
        <is>
          <t>WY 100 M894c 1981</t>
        </is>
      </c>
      <c r="E978" t="inlineStr">
        <is>
          <t>0                      WY 0100000M  894c        1981</t>
        </is>
      </c>
      <c r="F978" t="inlineStr">
        <is>
          <t>Mosby's comprehensive review of nursing.</t>
        </is>
      </c>
      <c r="H978" t="inlineStr">
        <is>
          <t>No</t>
        </is>
      </c>
      <c r="I978" t="inlineStr">
        <is>
          <t>1</t>
        </is>
      </c>
      <c r="J978" t="inlineStr">
        <is>
          <t>No</t>
        </is>
      </c>
      <c r="K978" t="inlineStr">
        <is>
          <t>No</t>
        </is>
      </c>
      <c r="L978" t="inlineStr">
        <is>
          <t>0</t>
        </is>
      </c>
      <c r="M978" t="inlineStr">
        <is>
          <t>C.V. Mosby Company.</t>
        </is>
      </c>
      <c r="N978" t="inlineStr">
        <is>
          <t>St. Louis : Mosby, 1981.</t>
        </is>
      </c>
      <c r="O978" t="inlineStr">
        <is>
          <t>1981</t>
        </is>
      </c>
      <c r="P978" t="inlineStr">
        <is>
          <t>10th ed.</t>
        </is>
      </c>
      <c r="Q978" t="inlineStr">
        <is>
          <t>eng</t>
        </is>
      </c>
      <c r="R978" t="inlineStr">
        <is>
          <t>xxu</t>
        </is>
      </c>
      <c r="T978" t="inlineStr">
        <is>
          <t xml:space="preserve">WY </t>
        </is>
      </c>
      <c r="U978" t="n">
        <v>5</v>
      </c>
      <c r="V978" t="n">
        <v>5</v>
      </c>
      <c r="W978" t="inlineStr">
        <is>
          <t>1991-01-18</t>
        </is>
      </c>
      <c r="X978" t="inlineStr">
        <is>
          <t>1991-01-18</t>
        </is>
      </c>
      <c r="Y978" t="inlineStr">
        <is>
          <t>1987-12-29</t>
        </is>
      </c>
      <c r="Z978" t="inlineStr">
        <is>
          <t>1987-12-29</t>
        </is>
      </c>
      <c r="AA978" t="n">
        <v>213</v>
      </c>
      <c r="AB978" t="n">
        <v>178</v>
      </c>
      <c r="AC978" t="n">
        <v>472</v>
      </c>
      <c r="AD978" t="n">
        <v>1</v>
      </c>
      <c r="AE978" t="n">
        <v>3</v>
      </c>
      <c r="AF978" t="n">
        <v>3</v>
      </c>
      <c r="AG978" t="n">
        <v>11</v>
      </c>
      <c r="AH978" t="n">
        <v>1</v>
      </c>
      <c r="AI978" t="n">
        <v>5</v>
      </c>
      <c r="AJ978" t="n">
        <v>0</v>
      </c>
      <c r="AK978" t="n">
        <v>2</v>
      </c>
      <c r="AL978" t="n">
        <v>3</v>
      </c>
      <c r="AM978" t="n">
        <v>5</v>
      </c>
      <c r="AN978" t="n">
        <v>0</v>
      </c>
      <c r="AO978" t="n">
        <v>1</v>
      </c>
      <c r="AP978" t="n">
        <v>0</v>
      </c>
      <c r="AQ978" t="n">
        <v>0</v>
      </c>
      <c r="AR978" t="inlineStr">
        <is>
          <t>No</t>
        </is>
      </c>
      <c r="AS978" t="inlineStr">
        <is>
          <t>Yes</t>
        </is>
      </c>
      <c r="AT978">
        <f>HYPERLINK("http://catalog.hathitrust.org/Record/000311940","HathiTrust Record")</f>
        <v/>
      </c>
      <c r="AU978">
        <f>HYPERLINK("https://creighton-primo.hosted.exlibrisgroup.com/primo-explore/search?tab=default_tab&amp;search_scope=EVERYTHING&amp;vid=01CRU&amp;lang=en_US&amp;offset=0&amp;query=any,contains,991001086859702656","Catalog Record")</f>
        <v/>
      </c>
      <c r="AV978">
        <f>HYPERLINK("http://www.worldcat.org/oclc/6942204","WorldCat Record")</f>
        <v/>
      </c>
      <c r="AW978" t="inlineStr">
        <is>
          <t>373440805:eng</t>
        </is>
      </c>
      <c r="AX978" t="inlineStr">
        <is>
          <t>6942204</t>
        </is>
      </c>
      <c r="AY978" t="inlineStr">
        <is>
          <t>991001086859702656</t>
        </is>
      </c>
      <c r="AZ978" t="inlineStr">
        <is>
          <t>991001086859702656</t>
        </is>
      </c>
      <c r="BA978" t="inlineStr">
        <is>
          <t>2257225680002656</t>
        </is>
      </c>
      <c r="BB978" t="inlineStr">
        <is>
          <t>BOOK</t>
        </is>
      </c>
      <c r="BD978" t="inlineStr">
        <is>
          <t>9780801635304</t>
        </is>
      </c>
      <c r="BE978" t="inlineStr">
        <is>
          <t>30001000259848</t>
        </is>
      </c>
      <c r="BF978" t="inlineStr">
        <is>
          <t>893740736</t>
        </is>
      </c>
    </row>
    <row r="979">
      <c r="A979" t="inlineStr">
        <is>
          <t>No</t>
        </is>
      </c>
      <c r="B979" t="inlineStr">
        <is>
          <t>CUHSL</t>
        </is>
      </c>
      <c r="C979" t="inlineStr">
        <is>
          <t>SHELVES</t>
        </is>
      </c>
      <c r="D979" t="inlineStr">
        <is>
          <t>WY 100 M895 1981</t>
        </is>
      </c>
      <c r="E979" t="inlineStr">
        <is>
          <t>0                      WY 0100000M  895         1981</t>
        </is>
      </c>
      <c r="F979" t="inlineStr">
        <is>
          <t>Mosby's Manual of clinical nursing procedures / by the staff of the Department of Nursing Service, University of California, San Francisco ; edited by Jane Hirsch, Leslie Hannock.</t>
        </is>
      </c>
      <c r="H979" t="inlineStr">
        <is>
          <t>No</t>
        </is>
      </c>
      <c r="I979" t="inlineStr">
        <is>
          <t>1</t>
        </is>
      </c>
      <c r="J979" t="inlineStr">
        <is>
          <t>No</t>
        </is>
      </c>
      <c r="K979" t="inlineStr">
        <is>
          <t>No</t>
        </is>
      </c>
      <c r="L979" t="inlineStr">
        <is>
          <t>0</t>
        </is>
      </c>
      <c r="N979" t="inlineStr">
        <is>
          <t>St. Louis : Mosby, c1981.</t>
        </is>
      </c>
      <c r="O979" t="inlineStr">
        <is>
          <t>1981</t>
        </is>
      </c>
      <c r="Q979" t="inlineStr">
        <is>
          <t>eng</t>
        </is>
      </c>
      <c r="R979" t="inlineStr">
        <is>
          <t>xxu</t>
        </is>
      </c>
      <c r="T979" t="inlineStr">
        <is>
          <t xml:space="preserve">WY </t>
        </is>
      </c>
      <c r="U979" t="n">
        <v>5</v>
      </c>
      <c r="V979" t="n">
        <v>5</v>
      </c>
      <c r="W979" t="inlineStr">
        <is>
          <t>1990-08-13</t>
        </is>
      </c>
      <c r="X979" t="inlineStr">
        <is>
          <t>1990-08-13</t>
        </is>
      </c>
      <c r="Y979" t="inlineStr">
        <is>
          <t>1987-10-22</t>
        </is>
      </c>
      <c r="Z979" t="inlineStr">
        <is>
          <t>1987-10-22</t>
        </is>
      </c>
      <c r="AA979" t="n">
        <v>189</v>
      </c>
      <c r="AB979" t="n">
        <v>156</v>
      </c>
      <c r="AC979" t="n">
        <v>158</v>
      </c>
      <c r="AD979" t="n">
        <v>2</v>
      </c>
      <c r="AE979" t="n">
        <v>2</v>
      </c>
      <c r="AF979" t="n">
        <v>3</v>
      </c>
      <c r="AG979" t="n">
        <v>3</v>
      </c>
      <c r="AH979" t="n">
        <v>2</v>
      </c>
      <c r="AI979" t="n">
        <v>2</v>
      </c>
      <c r="AJ979" t="n">
        <v>0</v>
      </c>
      <c r="AK979" t="n">
        <v>0</v>
      </c>
      <c r="AL979" t="n">
        <v>2</v>
      </c>
      <c r="AM979" t="n">
        <v>2</v>
      </c>
      <c r="AN979" t="n">
        <v>0</v>
      </c>
      <c r="AO979" t="n">
        <v>0</v>
      </c>
      <c r="AP979" t="n">
        <v>0</v>
      </c>
      <c r="AQ979" t="n">
        <v>0</v>
      </c>
      <c r="AR979" t="inlineStr">
        <is>
          <t>No</t>
        </is>
      </c>
      <c r="AS979" t="inlineStr">
        <is>
          <t>Yes</t>
        </is>
      </c>
      <c r="AT979">
        <f>HYPERLINK("http://catalog.hathitrust.org/Record/000765028","HathiTrust Record")</f>
        <v/>
      </c>
      <c r="AU979">
        <f>HYPERLINK("https://creighton-primo.hosted.exlibrisgroup.com/primo-explore/search?tab=default_tab&amp;search_scope=EVERYTHING&amp;vid=01CRU&amp;lang=en_US&amp;offset=0&amp;query=any,contains,991000737319702656","Catalog Record")</f>
        <v/>
      </c>
      <c r="AV979">
        <f>HYPERLINK("http://www.worldcat.org/oclc/7283882","WorldCat Record")</f>
        <v/>
      </c>
      <c r="AW979" t="inlineStr">
        <is>
          <t>26441585:eng</t>
        </is>
      </c>
      <c r="AX979" t="inlineStr">
        <is>
          <t>7283882</t>
        </is>
      </c>
      <c r="AY979" t="inlineStr">
        <is>
          <t>991000737319702656</t>
        </is>
      </c>
      <c r="AZ979" t="inlineStr">
        <is>
          <t>991000737319702656</t>
        </is>
      </c>
      <c r="BA979" t="inlineStr">
        <is>
          <t>2270710710002656</t>
        </is>
      </c>
      <c r="BB979" t="inlineStr">
        <is>
          <t>BOOK</t>
        </is>
      </c>
      <c r="BD979" t="inlineStr">
        <is>
          <t>9780801635922</t>
        </is>
      </c>
      <c r="BE979" t="inlineStr">
        <is>
          <t>30001000042145</t>
        </is>
      </c>
      <c r="BF979" t="inlineStr">
        <is>
          <t>893368393</t>
        </is>
      </c>
    </row>
    <row r="980">
      <c r="A980" t="inlineStr">
        <is>
          <t>No</t>
        </is>
      </c>
      <c r="B980" t="inlineStr">
        <is>
          <t>CUHSL</t>
        </is>
      </c>
      <c r="C980" t="inlineStr">
        <is>
          <t>SHELVES</t>
        </is>
      </c>
      <c r="D980" t="inlineStr">
        <is>
          <t>WY100 M9825u 2000</t>
        </is>
      </c>
      <c r="E980" t="inlineStr">
        <is>
          <t>0                      WY 0100000M  9825u       2000</t>
        </is>
      </c>
      <c r="F980" t="inlineStr">
        <is>
          <t>Understanding the nursing process: in a changing care environment / Mary Ellen Murray, Leslie D. Atkinson ; illustrated by Mark Atkinson.</t>
        </is>
      </c>
      <c r="H980" t="inlineStr">
        <is>
          <t>No</t>
        </is>
      </c>
      <c r="I980" t="inlineStr">
        <is>
          <t>1</t>
        </is>
      </c>
      <c r="J980" t="inlineStr">
        <is>
          <t>No</t>
        </is>
      </c>
      <c r="K980" t="inlineStr">
        <is>
          <t>No</t>
        </is>
      </c>
      <c r="L980" t="inlineStr">
        <is>
          <t>0</t>
        </is>
      </c>
      <c r="M980" t="inlineStr">
        <is>
          <t>Murray, Mary Ellen.</t>
        </is>
      </c>
      <c r="N980" t="inlineStr">
        <is>
          <t>New York : McGraw-Hill, Health Professions Division, c2000.</t>
        </is>
      </c>
      <c r="O980" t="inlineStr">
        <is>
          <t>2000</t>
        </is>
      </c>
      <c r="P980" t="inlineStr">
        <is>
          <t>6th ed.</t>
        </is>
      </c>
      <c r="Q980" t="inlineStr">
        <is>
          <t>eng</t>
        </is>
      </c>
      <c r="R980" t="inlineStr">
        <is>
          <t>nyu</t>
        </is>
      </c>
      <c r="T980" t="inlineStr">
        <is>
          <t xml:space="preserve">WY </t>
        </is>
      </c>
      <c r="U980" t="n">
        <v>0</v>
      </c>
      <c r="V980" t="n">
        <v>0</v>
      </c>
      <c r="W980" t="inlineStr">
        <is>
          <t>2002-10-17</t>
        </is>
      </c>
      <c r="X980" t="inlineStr">
        <is>
          <t>2002-10-17</t>
        </is>
      </c>
      <c r="Y980" t="inlineStr">
        <is>
          <t>2002-07-02</t>
        </is>
      </c>
      <c r="Z980" t="inlineStr">
        <is>
          <t>2002-07-02</t>
        </is>
      </c>
      <c r="AA980" t="n">
        <v>222</v>
      </c>
      <c r="AB980" t="n">
        <v>142</v>
      </c>
      <c r="AC980" t="n">
        <v>146</v>
      </c>
      <c r="AD980" t="n">
        <v>1</v>
      </c>
      <c r="AE980" t="n">
        <v>1</v>
      </c>
      <c r="AF980" t="n">
        <v>5</v>
      </c>
      <c r="AG980" t="n">
        <v>5</v>
      </c>
      <c r="AH980" t="n">
        <v>1</v>
      </c>
      <c r="AI980" t="n">
        <v>1</v>
      </c>
      <c r="AJ980" t="n">
        <v>0</v>
      </c>
      <c r="AK980" t="n">
        <v>0</v>
      </c>
      <c r="AL980" t="n">
        <v>4</v>
      </c>
      <c r="AM980" t="n">
        <v>4</v>
      </c>
      <c r="AN980" t="n">
        <v>0</v>
      </c>
      <c r="AO980" t="n">
        <v>0</v>
      </c>
      <c r="AP980" t="n">
        <v>0</v>
      </c>
      <c r="AQ980" t="n">
        <v>0</v>
      </c>
      <c r="AR980" t="inlineStr">
        <is>
          <t>No</t>
        </is>
      </c>
      <c r="AS980" t="inlineStr">
        <is>
          <t>Yes</t>
        </is>
      </c>
      <c r="AT980">
        <f>HYPERLINK("http://catalog.hathitrust.org/Record/004145373","HathiTrust Record")</f>
        <v/>
      </c>
      <c r="AU980">
        <f>HYPERLINK("https://creighton-primo.hosted.exlibrisgroup.com/primo-explore/search?tab=default_tab&amp;search_scope=EVERYTHING&amp;vid=01CRU&amp;lang=en_US&amp;offset=0&amp;query=any,contains,991000321249702656","Catalog Record")</f>
        <v/>
      </c>
      <c r="AV980">
        <f>HYPERLINK("http://www.worldcat.org/oclc/43114534","WorldCat Record")</f>
        <v/>
      </c>
      <c r="AW980" t="inlineStr">
        <is>
          <t>9592849855:eng</t>
        </is>
      </c>
      <c r="AX980" t="inlineStr">
        <is>
          <t>43114534</t>
        </is>
      </c>
      <c r="AY980" t="inlineStr">
        <is>
          <t>991000321249702656</t>
        </is>
      </c>
      <c r="AZ980" t="inlineStr">
        <is>
          <t>991000321249702656</t>
        </is>
      </c>
      <c r="BA980" t="inlineStr">
        <is>
          <t>2263552130002656</t>
        </is>
      </c>
      <c r="BB980" t="inlineStr">
        <is>
          <t>BOOK</t>
        </is>
      </c>
      <c r="BD980" t="inlineStr">
        <is>
          <t>9780071350785</t>
        </is>
      </c>
      <c r="BE980" t="inlineStr">
        <is>
          <t>30001004442697</t>
        </is>
      </c>
      <c r="BF980" t="inlineStr">
        <is>
          <t>893649781</t>
        </is>
      </c>
    </row>
    <row r="981">
      <c r="A981" t="inlineStr">
        <is>
          <t>No</t>
        </is>
      </c>
      <c r="B981" t="inlineStr">
        <is>
          <t>CUHSL</t>
        </is>
      </c>
      <c r="C981" t="inlineStr">
        <is>
          <t>SHELVES</t>
        </is>
      </c>
      <c r="D981" t="inlineStr">
        <is>
          <t>WY 100 M983n 1985</t>
        </is>
      </c>
      <c r="E981" t="inlineStr">
        <is>
          <t>0                      WY 0100000M  983n        1985</t>
        </is>
      </c>
      <c r="F981" t="inlineStr">
        <is>
          <t>Nursing concepts for health promotion / Ruth Beckmann Murray, Judith Proctor Zentner.</t>
        </is>
      </c>
      <c r="H981" t="inlineStr">
        <is>
          <t>No</t>
        </is>
      </c>
      <c r="I981" t="inlineStr">
        <is>
          <t>1</t>
        </is>
      </c>
      <c r="J981" t="inlineStr">
        <is>
          <t>No</t>
        </is>
      </c>
      <c r="K981" t="inlineStr">
        <is>
          <t>No</t>
        </is>
      </c>
      <c r="L981" t="inlineStr">
        <is>
          <t>0</t>
        </is>
      </c>
      <c r="M981" t="inlineStr">
        <is>
          <t>Murray, Ruth Beckmann.</t>
        </is>
      </c>
      <c r="N981" t="inlineStr">
        <is>
          <t>Englewood Cliffs, N.J. : Prentice-Hall, c1985.</t>
        </is>
      </c>
      <c r="O981" t="inlineStr">
        <is>
          <t>1985</t>
        </is>
      </c>
      <c r="P981" t="inlineStr">
        <is>
          <t>3rd ed.</t>
        </is>
      </c>
      <c r="Q981" t="inlineStr">
        <is>
          <t>eng</t>
        </is>
      </c>
      <c r="R981" t="inlineStr">
        <is>
          <t>xxu</t>
        </is>
      </c>
      <c r="T981" t="inlineStr">
        <is>
          <t xml:space="preserve">WY </t>
        </is>
      </c>
      <c r="U981" t="n">
        <v>5</v>
      </c>
      <c r="V981" t="n">
        <v>5</v>
      </c>
      <c r="W981" t="inlineStr">
        <is>
          <t>1991-07-08</t>
        </is>
      </c>
      <c r="X981" t="inlineStr">
        <is>
          <t>1991-07-08</t>
        </is>
      </c>
      <c r="Y981" t="inlineStr">
        <is>
          <t>1987-12-29</t>
        </is>
      </c>
      <c r="Z981" t="inlineStr">
        <is>
          <t>1987-12-29</t>
        </is>
      </c>
      <c r="AA981" t="n">
        <v>211</v>
      </c>
      <c r="AB981" t="n">
        <v>160</v>
      </c>
      <c r="AC981" t="n">
        <v>333</v>
      </c>
      <c r="AD981" t="n">
        <v>1</v>
      </c>
      <c r="AE981" t="n">
        <v>3</v>
      </c>
      <c r="AF981" t="n">
        <v>4</v>
      </c>
      <c r="AG981" t="n">
        <v>10</v>
      </c>
      <c r="AH981" t="n">
        <v>1</v>
      </c>
      <c r="AI981" t="n">
        <v>1</v>
      </c>
      <c r="AJ981" t="n">
        <v>1</v>
      </c>
      <c r="AK981" t="n">
        <v>3</v>
      </c>
      <c r="AL981" t="n">
        <v>3</v>
      </c>
      <c r="AM981" t="n">
        <v>6</v>
      </c>
      <c r="AN981" t="n">
        <v>0</v>
      </c>
      <c r="AO981" t="n">
        <v>1</v>
      </c>
      <c r="AP981" t="n">
        <v>0</v>
      </c>
      <c r="AQ981" t="n">
        <v>0</v>
      </c>
      <c r="AR981" t="inlineStr">
        <is>
          <t>No</t>
        </is>
      </c>
      <c r="AS981" t="inlineStr">
        <is>
          <t>Yes</t>
        </is>
      </c>
      <c r="AT981">
        <f>HYPERLINK("http://catalog.hathitrust.org/Record/000462597","HathiTrust Record")</f>
        <v/>
      </c>
      <c r="AU981">
        <f>HYPERLINK("https://creighton-primo.hosted.exlibrisgroup.com/primo-explore/search?tab=default_tab&amp;search_scope=EVERYTHING&amp;vid=01CRU&amp;lang=en_US&amp;offset=0&amp;query=any,contains,991001087059702656","Catalog Record")</f>
        <v/>
      </c>
      <c r="AV981">
        <f>HYPERLINK("http://www.worldcat.org/oclc/11234439","WorldCat Record")</f>
        <v/>
      </c>
      <c r="AW981" t="inlineStr">
        <is>
          <t>2071246:eng</t>
        </is>
      </c>
      <c r="AX981" t="inlineStr">
        <is>
          <t>11234439</t>
        </is>
      </c>
      <c r="AY981" t="inlineStr">
        <is>
          <t>991001087059702656</t>
        </is>
      </c>
      <c r="AZ981" t="inlineStr">
        <is>
          <t>991001087059702656</t>
        </is>
      </c>
      <c r="BA981" t="inlineStr">
        <is>
          <t>2261999310002656</t>
        </is>
      </c>
      <c r="BB981" t="inlineStr">
        <is>
          <t>BOOK</t>
        </is>
      </c>
      <c r="BD981" t="inlineStr">
        <is>
          <t>9780136273080</t>
        </is>
      </c>
      <c r="BE981" t="inlineStr">
        <is>
          <t>30001000259939</t>
        </is>
      </c>
      <c r="BF981" t="inlineStr">
        <is>
          <t>893460267</t>
        </is>
      </c>
    </row>
    <row r="982">
      <c r="A982" t="inlineStr">
        <is>
          <t>No</t>
        </is>
      </c>
      <c r="B982" t="inlineStr">
        <is>
          <t>CUHSL</t>
        </is>
      </c>
      <c r="C982" t="inlineStr">
        <is>
          <t>SHELVES</t>
        </is>
      </c>
      <c r="D982" t="inlineStr">
        <is>
          <t>WY 100 M983nb 1989</t>
        </is>
      </c>
      <c r="E982" t="inlineStr">
        <is>
          <t>0                      WY 0100000M  983nb       1989</t>
        </is>
      </c>
      <c r="F982" t="inlineStr">
        <is>
          <t>Nursing assessment and health promotion strategies through the life span / Ruth Beckmann Murray, Judith Proctor Zentner.</t>
        </is>
      </c>
      <c r="H982" t="inlineStr">
        <is>
          <t>No</t>
        </is>
      </c>
      <c r="I982" t="inlineStr">
        <is>
          <t>1</t>
        </is>
      </c>
      <c r="J982" t="inlineStr">
        <is>
          <t>No</t>
        </is>
      </c>
      <c r="K982" t="inlineStr">
        <is>
          <t>Yes</t>
        </is>
      </c>
      <c r="L982" t="inlineStr">
        <is>
          <t>0</t>
        </is>
      </c>
      <c r="M982" t="inlineStr">
        <is>
          <t>Murray, Ruth Beckmann.</t>
        </is>
      </c>
      <c r="N982" t="inlineStr">
        <is>
          <t>Norwalk, Conn. : Appleton &amp; Lange, c1989.</t>
        </is>
      </c>
      <c r="O982" t="inlineStr">
        <is>
          <t>1989</t>
        </is>
      </c>
      <c r="P982" t="inlineStr">
        <is>
          <t>4th ed.</t>
        </is>
      </c>
      <c r="Q982" t="inlineStr">
        <is>
          <t>eng</t>
        </is>
      </c>
      <c r="R982" t="inlineStr">
        <is>
          <t>xxu</t>
        </is>
      </c>
      <c r="T982" t="inlineStr">
        <is>
          <t xml:space="preserve">WY </t>
        </is>
      </c>
      <c r="U982" t="n">
        <v>1</v>
      </c>
      <c r="V982" t="n">
        <v>1</v>
      </c>
      <c r="W982" t="inlineStr">
        <is>
          <t>1993-06-18</t>
        </is>
      </c>
      <c r="X982" t="inlineStr">
        <is>
          <t>1993-06-18</t>
        </is>
      </c>
      <c r="Y982" t="inlineStr">
        <is>
          <t>1989-06-13</t>
        </is>
      </c>
      <c r="Z982" t="inlineStr">
        <is>
          <t>1989-06-13</t>
        </is>
      </c>
      <c r="AA982" t="n">
        <v>243</v>
      </c>
      <c r="AB982" t="n">
        <v>188</v>
      </c>
      <c r="AC982" t="n">
        <v>361</v>
      </c>
      <c r="AD982" t="n">
        <v>1</v>
      </c>
      <c r="AE982" t="n">
        <v>3</v>
      </c>
      <c r="AF982" t="n">
        <v>6</v>
      </c>
      <c r="AG982" t="n">
        <v>11</v>
      </c>
      <c r="AH982" t="n">
        <v>2</v>
      </c>
      <c r="AI982" t="n">
        <v>5</v>
      </c>
      <c r="AJ982" t="n">
        <v>1</v>
      </c>
      <c r="AK982" t="n">
        <v>2</v>
      </c>
      <c r="AL982" t="n">
        <v>5</v>
      </c>
      <c r="AM982" t="n">
        <v>8</v>
      </c>
      <c r="AN982" t="n">
        <v>0</v>
      </c>
      <c r="AO982" t="n">
        <v>0</v>
      </c>
      <c r="AP982" t="n">
        <v>0</v>
      </c>
      <c r="AQ982" t="n">
        <v>0</v>
      </c>
      <c r="AR982" t="inlineStr">
        <is>
          <t>No</t>
        </is>
      </c>
      <c r="AS982" t="inlineStr">
        <is>
          <t>Yes</t>
        </is>
      </c>
      <c r="AT982">
        <f>HYPERLINK("http://catalog.hathitrust.org/Record/001292394","HathiTrust Record")</f>
        <v/>
      </c>
      <c r="AU982">
        <f>HYPERLINK("https://creighton-primo.hosted.exlibrisgroup.com/primo-explore/search?tab=default_tab&amp;search_scope=EVERYTHING&amp;vid=01CRU&amp;lang=en_US&amp;offset=0&amp;query=any,contains,991001251649702656","Catalog Record")</f>
        <v/>
      </c>
      <c r="AV982">
        <f>HYPERLINK("http://www.worldcat.org/oclc/18191761","WorldCat Record")</f>
        <v/>
      </c>
      <c r="AW982" t="inlineStr">
        <is>
          <t>3855983319:eng</t>
        </is>
      </c>
      <c r="AX982" t="inlineStr">
        <is>
          <t>18191761</t>
        </is>
      </c>
      <c r="AY982" t="inlineStr">
        <is>
          <t>991001251649702656</t>
        </is>
      </c>
      <c r="AZ982" t="inlineStr">
        <is>
          <t>991001251649702656</t>
        </is>
      </c>
      <c r="BA982" t="inlineStr">
        <is>
          <t>2263436930002656</t>
        </is>
      </c>
      <c r="BB982" t="inlineStr">
        <is>
          <t>BOOK</t>
        </is>
      </c>
      <c r="BD982" t="inlineStr">
        <is>
          <t>9780838570067</t>
        </is>
      </c>
      <c r="BE982" t="inlineStr">
        <is>
          <t>30001001679036</t>
        </is>
      </c>
      <c r="BF982" t="inlineStr">
        <is>
          <t>893557723</t>
        </is>
      </c>
    </row>
    <row r="983">
      <c r="A983" t="inlineStr">
        <is>
          <t>No</t>
        </is>
      </c>
      <c r="B983" t="inlineStr">
        <is>
          <t>CUHSL</t>
        </is>
      </c>
      <c r="C983" t="inlineStr">
        <is>
          <t>SHELVES</t>
        </is>
      </c>
      <c r="D983" t="inlineStr">
        <is>
          <t>WY 100 M993 1982</t>
        </is>
      </c>
      <c r="E983" t="inlineStr">
        <is>
          <t>0                      WY 0100000M  993         1982</t>
        </is>
      </c>
      <c r="F983" t="inlineStr">
        <is>
          <t>Mutual goal setting in patient care / CURN Project ; principal investigator, Jo Anne Horsley ; the protocol manuscript ... prepared by Karen B. Haller, Margaret A. Reynolds.</t>
        </is>
      </c>
      <c r="H983" t="inlineStr">
        <is>
          <t>No</t>
        </is>
      </c>
      <c r="I983" t="inlineStr">
        <is>
          <t>1</t>
        </is>
      </c>
      <c r="J983" t="inlineStr">
        <is>
          <t>No</t>
        </is>
      </c>
      <c r="K983" t="inlineStr">
        <is>
          <t>No</t>
        </is>
      </c>
      <c r="L983" t="inlineStr">
        <is>
          <t>0</t>
        </is>
      </c>
      <c r="N983" t="inlineStr">
        <is>
          <t>New York : Grune &amp; Stratton, c1982.</t>
        </is>
      </c>
      <c r="O983" t="inlineStr">
        <is>
          <t>1982</t>
        </is>
      </c>
      <c r="Q983" t="inlineStr">
        <is>
          <t>eng</t>
        </is>
      </c>
      <c r="R983" t="inlineStr">
        <is>
          <t>xxu</t>
        </is>
      </c>
      <c r="S983" t="inlineStr">
        <is>
          <t>Using research to improve nursing practice</t>
        </is>
      </c>
      <c r="T983" t="inlineStr">
        <is>
          <t xml:space="preserve">WY </t>
        </is>
      </c>
      <c r="U983" t="n">
        <v>3</v>
      </c>
      <c r="V983" t="n">
        <v>3</v>
      </c>
      <c r="W983" t="inlineStr">
        <is>
          <t>1992-10-31</t>
        </is>
      </c>
      <c r="X983" t="inlineStr">
        <is>
          <t>1992-10-31</t>
        </is>
      </c>
      <c r="Y983" t="inlineStr">
        <is>
          <t>1987-12-29</t>
        </is>
      </c>
      <c r="Z983" t="inlineStr">
        <is>
          <t>1987-12-29</t>
        </is>
      </c>
      <c r="AA983" t="n">
        <v>161</v>
      </c>
      <c r="AB983" t="n">
        <v>123</v>
      </c>
      <c r="AC983" t="n">
        <v>125</v>
      </c>
      <c r="AD983" t="n">
        <v>2</v>
      </c>
      <c r="AE983" t="n">
        <v>2</v>
      </c>
      <c r="AF983" t="n">
        <v>4</v>
      </c>
      <c r="AG983" t="n">
        <v>4</v>
      </c>
      <c r="AH983" t="n">
        <v>1</v>
      </c>
      <c r="AI983" t="n">
        <v>1</v>
      </c>
      <c r="AJ983" t="n">
        <v>0</v>
      </c>
      <c r="AK983" t="n">
        <v>0</v>
      </c>
      <c r="AL983" t="n">
        <v>2</v>
      </c>
      <c r="AM983" t="n">
        <v>2</v>
      </c>
      <c r="AN983" t="n">
        <v>1</v>
      </c>
      <c r="AO983" t="n">
        <v>1</v>
      </c>
      <c r="AP983" t="n">
        <v>0</v>
      </c>
      <c r="AQ983" t="n">
        <v>0</v>
      </c>
      <c r="AR983" t="inlineStr">
        <is>
          <t>No</t>
        </is>
      </c>
      <c r="AS983" t="inlineStr">
        <is>
          <t>Yes</t>
        </is>
      </c>
      <c r="AT983">
        <f>HYPERLINK("http://catalog.hathitrust.org/Record/004447918","HathiTrust Record")</f>
        <v/>
      </c>
      <c r="AU983">
        <f>HYPERLINK("https://creighton-primo.hosted.exlibrisgroup.com/primo-explore/search?tab=default_tab&amp;search_scope=EVERYTHING&amp;vid=01CRU&amp;lang=en_US&amp;offset=0&amp;query=any,contains,991001087099702656","Catalog Record")</f>
        <v/>
      </c>
      <c r="AV983">
        <f>HYPERLINK("http://www.worldcat.org/oclc/7796946","WorldCat Record")</f>
        <v/>
      </c>
      <c r="AW983" t="inlineStr">
        <is>
          <t>356304669:eng</t>
        </is>
      </c>
      <c r="AX983" t="inlineStr">
        <is>
          <t>7796946</t>
        </is>
      </c>
      <c r="AY983" t="inlineStr">
        <is>
          <t>991001087099702656</t>
        </is>
      </c>
      <c r="AZ983" t="inlineStr">
        <is>
          <t>991001087099702656</t>
        </is>
      </c>
      <c r="BA983" t="inlineStr">
        <is>
          <t>2266255530002656</t>
        </is>
      </c>
      <c r="BB983" t="inlineStr">
        <is>
          <t>BOOK</t>
        </is>
      </c>
      <c r="BD983" t="inlineStr">
        <is>
          <t>9780808914365</t>
        </is>
      </c>
      <c r="BE983" t="inlineStr">
        <is>
          <t>30001000259970</t>
        </is>
      </c>
      <c r="BF983" t="inlineStr">
        <is>
          <t>893450862</t>
        </is>
      </c>
    </row>
    <row r="984">
      <c r="A984" t="inlineStr">
        <is>
          <t>No</t>
        </is>
      </c>
      <c r="B984" t="inlineStr">
        <is>
          <t>CUHSL</t>
        </is>
      </c>
      <c r="C984" t="inlineStr">
        <is>
          <t>SHELVES</t>
        </is>
      </c>
      <c r="D984" t="inlineStr">
        <is>
          <t>WY 100 N527 1973</t>
        </is>
      </c>
      <c r="E984" t="inlineStr">
        <is>
          <t>0                      WY 0100000N  527         1973</t>
        </is>
      </c>
      <c r="F984" t="inlineStr">
        <is>
          <t>New directions in patient-centered nursing : guidelines for systems of service, education, and research / Faye G. Abdellah ... [et al.] ; Guest contributors: June T. Bailey ... [et al.].</t>
        </is>
      </c>
      <c r="H984" t="inlineStr">
        <is>
          <t>No</t>
        </is>
      </c>
      <c r="I984" t="inlineStr">
        <is>
          <t>1</t>
        </is>
      </c>
      <c r="J984" t="inlineStr">
        <is>
          <t>No</t>
        </is>
      </c>
      <c r="K984" t="inlineStr">
        <is>
          <t>No</t>
        </is>
      </c>
      <c r="L984" t="inlineStr">
        <is>
          <t>0</t>
        </is>
      </c>
      <c r="N984" t="inlineStr">
        <is>
          <t>New York : Macmillan, 1973</t>
        </is>
      </c>
      <c r="O984" t="inlineStr">
        <is>
          <t>1973</t>
        </is>
      </c>
      <c r="Q984" t="inlineStr">
        <is>
          <t>eng</t>
        </is>
      </c>
      <c r="R984" t="inlineStr">
        <is>
          <t>nyu</t>
        </is>
      </c>
      <c r="T984" t="inlineStr">
        <is>
          <t xml:space="preserve">WY </t>
        </is>
      </c>
      <c r="U984" t="n">
        <v>1</v>
      </c>
      <c r="V984" t="n">
        <v>1</v>
      </c>
      <c r="W984" t="inlineStr">
        <is>
          <t>2005-08-29</t>
        </is>
      </c>
      <c r="X984" t="inlineStr">
        <is>
          <t>2005-08-29</t>
        </is>
      </c>
      <c r="Y984" t="inlineStr">
        <is>
          <t>1988-01-05</t>
        </is>
      </c>
      <c r="Z984" t="inlineStr">
        <is>
          <t>1988-01-05</t>
        </is>
      </c>
      <c r="AA984" t="n">
        <v>320</v>
      </c>
      <c r="AB984" t="n">
        <v>272</v>
      </c>
      <c r="AC984" t="n">
        <v>274</v>
      </c>
      <c r="AD984" t="n">
        <v>2</v>
      </c>
      <c r="AE984" t="n">
        <v>2</v>
      </c>
      <c r="AF984" t="n">
        <v>12</v>
      </c>
      <c r="AG984" t="n">
        <v>12</v>
      </c>
      <c r="AH984" t="n">
        <v>6</v>
      </c>
      <c r="AI984" t="n">
        <v>6</v>
      </c>
      <c r="AJ984" t="n">
        <v>2</v>
      </c>
      <c r="AK984" t="n">
        <v>2</v>
      </c>
      <c r="AL984" t="n">
        <v>7</v>
      </c>
      <c r="AM984" t="n">
        <v>7</v>
      </c>
      <c r="AN984" t="n">
        <v>1</v>
      </c>
      <c r="AO984" t="n">
        <v>1</v>
      </c>
      <c r="AP984" t="n">
        <v>0</v>
      </c>
      <c r="AQ984" t="n">
        <v>0</v>
      </c>
      <c r="AR984" t="inlineStr">
        <is>
          <t>No</t>
        </is>
      </c>
      <c r="AS984" t="inlineStr">
        <is>
          <t>Yes</t>
        </is>
      </c>
      <c r="AT984">
        <f>HYPERLINK("http://catalog.hathitrust.org/Record/001579434","HathiTrust Record")</f>
        <v/>
      </c>
      <c r="AU984">
        <f>HYPERLINK("https://creighton-primo.hosted.exlibrisgroup.com/primo-explore/search?tab=default_tab&amp;search_scope=EVERYTHING&amp;vid=01CRU&amp;lang=en_US&amp;offset=0&amp;query=any,contains,991001148339702656","Catalog Record")</f>
        <v/>
      </c>
      <c r="AV984">
        <f>HYPERLINK("http://www.worldcat.org/oclc/632012","WorldCat Record")</f>
        <v/>
      </c>
      <c r="AW984" t="inlineStr">
        <is>
          <t>398301:eng</t>
        </is>
      </c>
      <c r="AX984" t="inlineStr">
        <is>
          <t>632012</t>
        </is>
      </c>
      <c r="AY984" t="inlineStr">
        <is>
          <t>991001148339702656</t>
        </is>
      </c>
      <c r="AZ984" t="inlineStr">
        <is>
          <t>991001148339702656</t>
        </is>
      </c>
      <c r="BA984" t="inlineStr">
        <is>
          <t>2260819220002656</t>
        </is>
      </c>
      <c r="BB984" t="inlineStr">
        <is>
          <t>BOOK</t>
        </is>
      </c>
      <c r="BE984" t="inlineStr">
        <is>
          <t>30001000295024</t>
        </is>
      </c>
      <c r="BF984" t="inlineStr">
        <is>
          <t>893740814</t>
        </is>
      </c>
    </row>
    <row r="985">
      <c r="A985" t="inlineStr">
        <is>
          <t>No</t>
        </is>
      </c>
      <c r="B985" t="inlineStr">
        <is>
          <t>CUHSL</t>
        </is>
      </c>
      <c r="C985" t="inlineStr">
        <is>
          <t>SHELVES</t>
        </is>
      </c>
      <c r="D985" t="inlineStr">
        <is>
          <t>WY 100 N5455u 1996</t>
        </is>
      </c>
      <c r="E985" t="inlineStr">
        <is>
          <t>0                      WY 0100000N  5455u       1996</t>
        </is>
      </c>
      <c r="F985" t="inlineStr">
        <is>
          <t>Using nursing case management to improve health outcomes / Michael Newell.</t>
        </is>
      </c>
      <c r="H985" t="inlineStr">
        <is>
          <t>No</t>
        </is>
      </c>
      <c r="I985" t="inlineStr">
        <is>
          <t>1</t>
        </is>
      </c>
      <c r="J985" t="inlineStr">
        <is>
          <t>No</t>
        </is>
      </c>
      <c r="K985" t="inlineStr">
        <is>
          <t>No</t>
        </is>
      </c>
      <c r="L985" t="inlineStr">
        <is>
          <t>0</t>
        </is>
      </c>
      <c r="M985" t="inlineStr">
        <is>
          <t>Newell, Michael.</t>
        </is>
      </c>
      <c r="N985" t="inlineStr">
        <is>
          <t>Gaithersburg, Md. : Aspen Publishers, 1996.</t>
        </is>
      </c>
      <c r="O985" t="inlineStr">
        <is>
          <t>1996</t>
        </is>
      </c>
      <c r="Q985" t="inlineStr">
        <is>
          <t>eng</t>
        </is>
      </c>
      <c r="R985" t="inlineStr">
        <is>
          <t>xxu</t>
        </is>
      </c>
      <c r="T985" t="inlineStr">
        <is>
          <t xml:space="preserve">WY </t>
        </is>
      </c>
      <c r="U985" t="n">
        <v>7</v>
      </c>
      <c r="V985" t="n">
        <v>7</v>
      </c>
      <c r="W985" t="inlineStr">
        <is>
          <t>2002-10-23</t>
        </is>
      </c>
      <c r="X985" t="inlineStr">
        <is>
          <t>2002-10-23</t>
        </is>
      </c>
      <c r="Y985" t="inlineStr">
        <is>
          <t>1997-02-14</t>
        </is>
      </c>
      <c r="Z985" t="inlineStr">
        <is>
          <t>1997-02-14</t>
        </is>
      </c>
      <c r="AA985" t="n">
        <v>45</v>
      </c>
      <c r="AB985" t="n">
        <v>33</v>
      </c>
      <c r="AC985" t="n">
        <v>281</v>
      </c>
      <c r="AD985" t="n">
        <v>1</v>
      </c>
      <c r="AE985" t="n">
        <v>3</v>
      </c>
      <c r="AF985" t="n">
        <v>0</v>
      </c>
      <c r="AG985" t="n">
        <v>13</v>
      </c>
      <c r="AH985" t="n">
        <v>0</v>
      </c>
      <c r="AI985" t="n">
        <v>5</v>
      </c>
      <c r="AJ985" t="n">
        <v>0</v>
      </c>
      <c r="AK985" t="n">
        <v>2</v>
      </c>
      <c r="AL985" t="n">
        <v>0</v>
      </c>
      <c r="AM985" t="n">
        <v>9</v>
      </c>
      <c r="AN985" t="n">
        <v>0</v>
      </c>
      <c r="AO985" t="n">
        <v>2</v>
      </c>
      <c r="AP985" t="n">
        <v>0</v>
      </c>
      <c r="AQ985" t="n">
        <v>0</v>
      </c>
      <c r="AR985" t="inlineStr">
        <is>
          <t>No</t>
        </is>
      </c>
      <c r="AS985" t="inlineStr">
        <is>
          <t>No</t>
        </is>
      </c>
      <c r="AU985">
        <f>HYPERLINK("https://creighton-primo.hosted.exlibrisgroup.com/primo-explore/search?tab=default_tab&amp;search_scope=EVERYTHING&amp;vid=01CRU&amp;lang=en_US&amp;offset=0&amp;query=any,contains,991000855219702656","Catalog Record")</f>
        <v/>
      </c>
      <c r="AV985">
        <f>HYPERLINK("http://www.worldcat.org/oclc/35716888","WorldCat Record")</f>
        <v/>
      </c>
      <c r="AW985" t="inlineStr">
        <is>
          <t>37308078:eng</t>
        </is>
      </c>
      <c r="AX985" t="inlineStr">
        <is>
          <t>35716888</t>
        </is>
      </c>
      <c r="AY985" t="inlineStr">
        <is>
          <t>991000855219702656</t>
        </is>
      </c>
      <c r="AZ985" t="inlineStr">
        <is>
          <t>991000855219702656</t>
        </is>
      </c>
      <c r="BA985" t="inlineStr">
        <is>
          <t>22136059420002656</t>
        </is>
      </c>
      <c r="BB985" t="inlineStr">
        <is>
          <t>BOOK</t>
        </is>
      </c>
      <c r="BD985" t="inlineStr">
        <is>
          <t>9780834206236</t>
        </is>
      </c>
      <c r="BE985" t="inlineStr">
        <is>
          <t>30001003474840</t>
        </is>
      </c>
      <c r="BF985" t="inlineStr">
        <is>
          <t>893637693</t>
        </is>
      </c>
    </row>
    <row r="986">
      <c r="A986" t="inlineStr">
        <is>
          <t>No</t>
        </is>
      </c>
      <c r="B986" t="inlineStr">
        <is>
          <t>CUHSL</t>
        </is>
      </c>
      <c r="C986" t="inlineStr">
        <is>
          <t>SHELVES</t>
        </is>
      </c>
      <c r="D986" t="inlineStr">
        <is>
          <t>WY 100 N864c 1988</t>
        </is>
      </c>
      <c r="E986" t="inlineStr">
        <is>
          <t>0                      WY 0100000N  864c        1988</t>
        </is>
      </c>
      <c r="F986" t="inlineStr">
        <is>
          <t>Classification of nursing diagnoses : proceedings of the Eighth Conference, North American Nursing Diagnosis Association / edited by Rose Mary Carroll-Johnson.</t>
        </is>
      </c>
      <c r="H986" t="inlineStr">
        <is>
          <t>No</t>
        </is>
      </c>
      <c r="I986" t="inlineStr">
        <is>
          <t>1</t>
        </is>
      </c>
      <c r="J986" t="inlineStr">
        <is>
          <t>No</t>
        </is>
      </c>
      <c r="K986" t="inlineStr">
        <is>
          <t>No</t>
        </is>
      </c>
      <c r="L986" t="inlineStr">
        <is>
          <t>0</t>
        </is>
      </c>
      <c r="M986" t="inlineStr">
        <is>
          <t>North American Nursing Diagnosis Association. Conference (8th : 1988 : Saint Louis, Mo.)</t>
        </is>
      </c>
      <c r="N986" t="inlineStr">
        <is>
          <t>Philadelphia : Lippincott, c1989.</t>
        </is>
      </c>
      <c r="O986" t="inlineStr">
        <is>
          <t>1989</t>
        </is>
      </c>
      <c r="Q986" t="inlineStr">
        <is>
          <t>eng</t>
        </is>
      </c>
      <c r="R986" t="inlineStr">
        <is>
          <t>xxu</t>
        </is>
      </c>
      <c r="T986" t="inlineStr">
        <is>
          <t xml:space="preserve">WY </t>
        </is>
      </c>
      <c r="U986" t="n">
        <v>23</v>
      </c>
      <c r="V986" t="n">
        <v>23</v>
      </c>
      <c r="W986" t="inlineStr">
        <is>
          <t>2007-11-30</t>
        </is>
      </c>
      <c r="X986" t="inlineStr">
        <is>
          <t>2007-11-30</t>
        </is>
      </c>
      <c r="Y986" t="inlineStr">
        <is>
          <t>1989-03-27</t>
        </is>
      </c>
      <c r="Z986" t="inlineStr">
        <is>
          <t>1989-03-27</t>
        </is>
      </c>
      <c r="AA986" t="n">
        <v>211</v>
      </c>
      <c r="AB986" t="n">
        <v>174</v>
      </c>
      <c r="AC986" t="n">
        <v>181</v>
      </c>
      <c r="AD986" t="n">
        <v>2</v>
      </c>
      <c r="AE986" t="n">
        <v>2</v>
      </c>
      <c r="AF986" t="n">
        <v>7</v>
      </c>
      <c r="AG986" t="n">
        <v>7</v>
      </c>
      <c r="AH986" t="n">
        <v>3</v>
      </c>
      <c r="AI986" t="n">
        <v>3</v>
      </c>
      <c r="AJ986" t="n">
        <v>1</v>
      </c>
      <c r="AK986" t="n">
        <v>1</v>
      </c>
      <c r="AL986" t="n">
        <v>5</v>
      </c>
      <c r="AM986" t="n">
        <v>5</v>
      </c>
      <c r="AN986" t="n">
        <v>1</v>
      </c>
      <c r="AO986" t="n">
        <v>1</v>
      </c>
      <c r="AP986" t="n">
        <v>0</v>
      </c>
      <c r="AQ986" t="n">
        <v>0</v>
      </c>
      <c r="AR986" t="inlineStr">
        <is>
          <t>No</t>
        </is>
      </c>
      <c r="AS986" t="inlineStr">
        <is>
          <t>Yes</t>
        </is>
      </c>
      <c r="AT986">
        <f>HYPERLINK("http://catalog.hathitrust.org/Record/001539874","HathiTrust Record")</f>
        <v/>
      </c>
      <c r="AU986">
        <f>HYPERLINK("https://creighton-primo.hosted.exlibrisgroup.com/primo-explore/search?tab=default_tab&amp;search_scope=EVERYTHING&amp;vid=01CRU&amp;lang=en_US&amp;offset=0&amp;query=any,contains,991001242879702656","Catalog Record")</f>
        <v/>
      </c>
      <c r="AV986">
        <f>HYPERLINK("http://www.worldcat.org/oclc/19266643","WorldCat Record")</f>
        <v/>
      </c>
      <c r="AW986" t="inlineStr">
        <is>
          <t>364349463:eng</t>
        </is>
      </c>
      <c r="AX986" t="inlineStr">
        <is>
          <t>19266643</t>
        </is>
      </c>
      <c r="AY986" t="inlineStr">
        <is>
          <t>991001242879702656</t>
        </is>
      </c>
      <c r="AZ986" t="inlineStr">
        <is>
          <t>991001242879702656</t>
        </is>
      </c>
      <c r="BA986" t="inlineStr">
        <is>
          <t>2264575010002656</t>
        </is>
      </c>
      <c r="BB986" t="inlineStr">
        <is>
          <t>BOOK</t>
        </is>
      </c>
      <c r="BD986" t="inlineStr">
        <is>
          <t>9780397547364</t>
        </is>
      </c>
      <c r="BE986" t="inlineStr">
        <is>
          <t>30001001676149</t>
        </is>
      </c>
      <c r="BF986" t="inlineStr">
        <is>
          <t>893278898</t>
        </is>
      </c>
    </row>
    <row r="987">
      <c r="A987" t="inlineStr">
        <is>
          <t>No</t>
        </is>
      </c>
      <c r="B987" t="inlineStr">
        <is>
          <t>CUHSL</t>
        </is>
      </c>
      <c r="C987" t="inlineStr">
        <is>
          <t>SHELVES</t>
        </is>
      </c>
      <c r="D987" t="inlineStr">
        <is>
          <t>WY 100 N9712 1996</t>
        </is>
      </c>
      <c r="E987" t="inlineStr">
        <is>
          <t>0                      WY 0100000N  9712        1996</t>
        </is>
      </c>
      <c r="F987" t="inlineStr">
        <is>
          <t>Nurse case management in the 21st century / [edited by] Elaine L. Cohen.</t>
        </is>
      </c>
      <c r="H987" t="inlineStr">
        <is>
          <t>No</t>
        </is>
      </c>
      <c r="I987" t="inlineStr">
        <is>
          <t>1</t>
        </is>
      </c>
      <c r="J987" t="inlineStr">
        <is>
          <t>No</t>
        </is>
      </c>
      <c r="K987" t="inlineStr">
        <is>
          <t>No</t>
        </is>
      </c>
      <c r="L987" t="inlineStr">
        <is>
          <t>0</t>
        </is>
      </c>
      <c r="N987" t="inlineStr">
        <is>
          <t>St. Louis : Mosby, c1996.</t>
        </is>
      </c>
      <c r="O987" t="inlineStr">
        <is>
          <t>1996</t>
        </is>
      </c>
      <c r="Q987" t="inlineStr">
        <is>
          <t>eng</t>
        </is>
      </c>
      <c r="R987" t="inlineStr">
        <is>
          <t>mou</t>
        </is>
      </c>
      <c r="T987" t="inlineStr">
        <is>
          <t xml:space="preserve">WY </t>
        </is>
      </c>
      <c r="U987" t="n">
        <v>4</v>
      </c>
      <c r="V987" t="n">
        <v>4</v>
      </c>
      <c r="W987" t="inlineStr">
        <is>
          <t>2000-01-18</t>
        </is>
      </c>
      <c r="X987" t="inlineStr">
        <is>
          <t>2000-01-18</t>
        </is>
      </c>
      <c r="Y987" t="inlineStr">
        <is>
          <t>1998-01-16</t>
        </is>
      </c>
      <c r="Z987" t="inlineStr">
        <is>
          <t>1998-01-16</t>
        </is>
      </c>
      <c r="AA987" t="n">
        <v>332</v>
      </c>
      <c r="AB987" t="n">
        <v>288</v>
      </c>
      <c r="AC987" t="n">
        <v>296</v>
      </c>
      <c r="AD987" t="n">
        <v>3</v>
      </c>
      <c r="AE987" t="n">
        <v>3</v>
      </c>
      <c r="AF987" t="n">
        <v>18</v>
      </c>
      <c r="AG987" t="n">
        <v>18</v>
      </c>
      <c r="AH987" t="n">
        <v>7</v>
      </c>
      <c r="AI987" t="n">
        <v>7</v>
      </c>
      <c r="AJ987" t="n">
        <v>2</v>
      </c>
      <c r="AK987" t="n">
        <v>2</v>
      </c>
      <c r="AL987" t="n">
        <v>10</v>
      </c>
      <c r="AM987" t="n">
        <v>10</v>
      </c>
      <c r="AN987" t="n">
        <v>2</v>
      </c>
      <c r="AO987" t="n">
        <v>2</v>
      </c>
      <c r="AP987" t="n">
        <v>0</v>
      </c>
      <c r="AQ987" t="n">
        <v>0</v>
      </c>
      <c r="AR987" t="inlineStr">
        <is>
          <t>No</t>
        </is>
      </c>
      <c r="AS987" t="inlineStr">
        <is>
          <t>Yes</t>
        </is>
      </c>
      <c r="AT987">
        <f>HYPERLINK("http://catalog.hathitrust.org/Record/003024720","HathiTrust Record")</f>
        <v/>
      </c>
      <c r="AU987">
        <f>HYPERLINK("https://creighton-primo.hosted.exlibrisgroup.com/primo-explore/search?tab=default_tab&amp;search_scope=EVERYTHING&amp;vid=01CRU&amp;lang=en_US&amp;offset=0&amp;query=any,contains,991001557889702656","Catalog Record")</f>
        <v/>
      </c>
      <c r="AV987">
        <f>HYPERLINK("http://www.worldcat.org/oclc/33161836","WorldCat Record")</f>
        <v/>
      </c>
      <c r="AW987" t="inlineStr">
        <is>
          <t>37477097:eng</t>
        </is>
      </c>
      <c r="AX987" t="inlineStr">
        <is>
          <t>33161836</t>
        </is>
      </c>
      <c r="AY987" t="inlineStr">
        <is>
          <t>991001557889702656</t>
        </is>
      </c>
      <c r="AZ987" t="inlineStr">
        <is>
          <t>991001557889702656</t>
        </is>
      </c>
      <c r="BA987" t="inlineStr">
        <is>
          <t>2261899080002656</t>
        </is>
      </c>
      <c r="BB987" t="inlineStr">
        <is>
          <t>BOOK</t>
        </is>
      </c>
      <c r="BD987" t="inlineStr">
        <is>
          <t>9780815115182</t>
        </is>
      </c>
      <c r="BE987" t="inlineStr">
        <is>
          <t>30001003669662</t>
        </is>
      </c>
      <c r="BF987" t="inlineStr">
        <is>
          <t>893541508</t>
        </is>
      </c>
    </row>
    <row r="988">
      <c r="A988" t="inlineStr">
        <is>
          <t>No</t>
        </is>
      </c>
      <c r="B988" t="inlineStr">
        <is>
          <t>CUHSL</t>
        </is>
      </c>
      <c r="C988" t="inlineStr">
        <is>
          <t>SHELVES</t>
        </is>
      </c>
      <c r="D988" t="inlineStr">
        <is>
          <t>WY 100 N97324 2004</t>
        </is>
      </c>
      <c r="E988" t="inlineStr">
        <is>
          <t>0                      WY 0100000N  97324       2004</t>
        </is>
      </c>
      <c r="F988" t="inlineStr">
        <is>
          <t>Nursing fundamentals : caring &amp; clinical decision making / [edited by] Rick Daniels.</t>
        </is>
      </c>
      <c r="H988" t="inlineStr">
        <is>
          <t>No</t>
        </is>
      </c>
      <c r="I988" t="inlineStr">
        <is>
          <t>1</t>
        </is>
      </c>
      <c r="J988" t="inlineStr">
        <is>
          <t>No</t>
        </is>
      </c>
      <c r="K988" t="inlineStr">
        <is>
          <t>No</t>
        </is>
      </c>
      <c r="L988" t="inlineStr">
        <is>
          <t>0</t>
        </is>
      </c>
      <c r="N988" t="inlineStr">
        <is>
          <t>Australia ; Clifton Park, NY : Delmar Learning, c2004.</t>
        </is>
      </c>
      <c r="O988" t="inlineStr">
        <is>
          <t>2004</t>
        </is>
      </c>
      <c r="Q988" t="inlineStr">
        <is>
          <t>eng</t>
        </is>
      </c>
      <c r="R988" t="inlineStr">
        <is>
          <t xml:space="preserve">at </t>
        </is>
      </c>
      <c r="T988" t="inlineStr">
        <is>
          <t xml:space="preserve">WY </t>
        </is>
      </c>
      <c r="U988" t="n">
        <v>1</v>
      </c>
      <c r="V988" t="n">
        <v>1</v>
      </c>
      <c r="W988" t="inlineStr">
        <is>
          <t>2006-12-11</t>
        </is>
      </c>
      <c r="X988" t="inlineStr">
        <is>
          <t>2006-12-11</t>
        </is>
      </c>
      <c r="Y988" t="inlineStr">
        <is>
          <t>2006-12-11</t>
        </is>
      </c>
      <c r="Z988" t="inlineStr">
        <is>
          <t>2006-12-11</t>
        </is>
      </c>
      <c r="AA988" t="n">
        <v>197</v>
      </c>
      <c r="AB988" t="n">
        <v>140</v>
      </c>
      <c r="AC988" t="n">
        <v>244</v>
      </c>
      <c r="AD988" t="n">
        <v>2</v>
      </c>
      <c r="AE988" t="n">
        <v>2</v>
      </c>
      <c r="AF988" t="n">
        <v>3</v>
      </c>
      <c r="AG988" t="n">
        <v>7</v>
      </c>
      <c r="AH988" t="n">
        <v>1</v>
      </c>
      <c r="AI988" t="n">
        <v>1</v>
      </c>
      <c r="AJ988" t="n">
        <v>0</v>
      </c>
      <c r="AK988" t="n">
        <v>3</v>
      </c>
      <c r="AL988" t="n">
        <v>2</v>
      </c>
      <c r="AM988" t="n">
        <v>4</v>
      </c>
      <c r="AN988" t="n">
        <v>0</v>
      </c>
      <c r="AO988" t="n">
        <v>0</v>
      </c>
      <c r="AP988" t="n">
        <v>0</v>
      </c>
      <c r="AQ988" t="n">
        <v>0</v>
      </c>
      <c r="AR988" t="inlineStr">
        <is>
          <t>No</t>
        </is>
      </c>
      <c r="AS988" t="inlineStr">
        <is>
          <t>No</t>
        </is>
      </c>
      <c r="AU988">
        <f>HYPERLINK("https://creighton-primo.hosted.exlibrisgroup.com/primo-explore/search?tab=default_tab&amp;search_scope=EVERYTHING&amp;vid=01CRU&amp;lang=en_US&amp;offset=0&amp;query=any,contains,991001746419702656","Catalog Record")</f>
        <v/>
      </c>
      <c r="AV988">
        <f>HYPERLINK("http://www.worldcat.org/oclc/52766354","WorldCat Record")</f>
        <v/>
      </c>
      <c r="AW988" t="inlineStr">
        <is>
          <t>815109869:eng</t>
        </is>
      </c>
      <c r="AX988" t="inlineStr">
        <is>
          <t>52766354</t>
        </is>
      </c>
      <c r="AY988" t="inlineStr">
        <is>
          <t>991001746419702656</t>
        </is>
      </c>
      <c r="AZ988" t="inlineStr">
        <is>
          <t>991001746419702656</t>
        </is>
      </c>
      <c r="BA988" t="inlineStr">
        <is>
          <t>2263956390002656</t>
        </is>
      </c>
      <c r="BB988" t="inlineStr">
        <is>
          <t>BOOK</t>
        </is>
      </c>
      <c r="BD988" t="inlineStr">
        <is>
          <t>9780766838369</t>
        </is>
      </c>
      <c r="BE988" t="inlineStr">
        <is>
          <t>30001005190477</t>
        </is>
      </c>
      <c r="BF988" t="inlineStr">
        <is>
          <t>893826996</t>
        </is>
      </c>
    </row>
    <row r="989">
      <c r="A989" t="inlineStr">
        <is>
          <t>No</t>
        </is>
      </c>
      <c r="B989" t="inlineStr">
        <is>
          <t>CUHSL</t>
        </is>
      </c>
      <c r="C989" t="inlineStr">
        <is>
          <t>SHELVES</t>
        </is>
      </c>
      <c r="D989" t="inlineStr">
        <is>
          <t>WY100 N97327 2004</t>
        </is>
      </c>
      <c r="E989" t="inlineStr">
        <is>
          <t>0                      WY 0100000N  97327       2004</t>
        </is>
      </c>
      <c r="F989" t="inlineStr">
        <is>
          <t>Nursing interventions &amp; clinical skills / Martha Keene Elkin, Anne Griffin Perry, Patricia A. Potter.</t>
        </is>
      </c>
      <c r="H989" t="inlineStr">
        <is>
          <t>No</t>
        </is>
      </c>
      <c r="I989" t="inlineStr">
        <is>
          <t>1</t>
        </is>
      </c>
      <c r="J989" t="inlineStr">
        <is>
          <t>No</t>
        </is>
      </c>
      <c r="K989" t="inlineStr">
        <is>
          <t>Yes</t>
        </is>
      </c>
      <c r="L989" t="inlineStr">
        <is>
          <t>0</t>
        </is>
      </c>
      <c r="M989" t="inlineStr">
        <is>
          <t>Elkin, Martha Keene.</t>
        </is>
      </c>
      <c r="N989" t="inlineStr">
        <is>
          <t>St. Louis, Mo. : Mosby, c2004.</t>
        </is>
      </c>
      <c r="O989" t="inlineStr">
        <is>
          <t>2004</t>
        </is>
      </c>
      <c r="P989" t="inlineStr">
        <is>
          <t>3rd ed.</t>
        </is>
      </c>
      <c r="Q989" t="inlineStr">
        <is>
          <t>eng</t>
        </is>
      </c>
      <c r="R989" t="inlineStr">
        <is>
          <t>mou</t>
        </is>
      </c>
      <c r="T989" t="inlineStr">
        <is>
          <t xml:space="preserve">WY </t>
        </is>
      </c>
      <c r="U989" t="n">
        <v>1</v>
      </c>
      <c r="V989" t="n">
        <v>1</v>
      </c>
      <c r="W989" t="inlineStr">
        <is>
          <t>2006-02-07</t>
        </is>
      </c>
      <c r="X989" t="inlineStr">
        <is>
          <t>2006-02-07</t>
        </is>
      </c>
      <c r="Y989" t="inlineStr">
        <is>
          <t>2006-01-26</t>
        </is>
      </c>
      <c r="Z989" t="inlineStr">
        <is>
          <t>2006-01-26</t>
        </is>
      </c>
      <c r="AA989" t="n">
        <v>233</v>
      </c>
      <c r="AB989" t="n">
        <v>158</v>
      </c>
      <c r="AC989" t="n">
        <v>721</v>
      </c>
      <c r="AD989" t="n">
        <v>2</v>
      </c>
      <c r="AE989" t="n">
        <v>5</v>
      </c>
      <c r="AF989" t="n">
        <v>7</v>
      </c>
      <c r="AG989" t="n">
        <v>19</v>
      </c>
      <c r="AH989" t="n">
        <v>3</v>
      </c>
      <c r="AI989" t="n">
        <v>6</v>
      </c>
      <c r="AJ989" t="n">
        <v>0</v>
      </c>
      <c r="AK989" t="n">
        <v>3</v>
      </c>
      <c r="AL989" t="n">
        <v>4</v>
      </c>
      <c r="AM989" t="n">
        <v>10</v>
      </c>
      <c r="AN989" t="n">
        <v>1</v>
      </c>
      <c r="AO989" t="n">
        <v>3</v>
      </c>
      <c r="AP989" t="n">
        <v>0</v>
      </c>
      <c r="AQ989" t="n">
        <v>0</v>
      </c>
      <c r="AR989" t="inlineStr">
        <is>
          <t>No</t>
        </is>
      </c>
      <c r="AS989" t="inlineStr">
        <is>
          <t>Yes</t>
        </is>
      </c>
      <c r="AT989">
        <f>HYPERLINK("http://catalog.hathitrust.org/Record/004337896","HathiTrust Record")</f>
        <v/>
      </c>
      <c r="AU989">
        <f>HYPERLINK("https://creighton-primo.hosted.exlibrisgroup.com/primo-explore/search?tab=default_tab&amp;search_scope=EVERYTHING&amp;vid=01CRU&amp;lang=en_US&amp;offset=0&amp;query=any,contains,991000458699702656","Catalog Record")</f>
        <v/>
      </c>
      <c r="AV989">
        <f>HYPERLINK("http://www.worldcat.org/oclc/52800871","WorldCat Record")</f>
        <v/>
      </c>
      <c r="AW989" t="inlineStr">
        <is>
          <t>429367:eng</t>
        </is>
      </c>
      <c r="AX989" t="inlineStr">
        <is>
          <t>52800871</t>
        </is>
      </c>
      <c r="AY989" t="inlineStr">
        <is>
          <t>991000458699702656</t>
        </is>
      </c>
      <c r="AZ989" t="inlineStr">
        <is>
          <t>991000458699702656</t>
        </is>
      </c>
      <c r="BA989" t="inlineStr">
        <is>
          <t>2266270760002656</t>
        </is>
      </c>
      <c r="BB989" t="inlineStr">
        <is>
          <t>BOOK</t>
        </is>
      </c>
      <c r="BD989" t="inlineStr">
        <is>
          <t>9780323022019</t>
        </is>
      </c>
      <c r="BE989" t="inlineStr">
        <is>
          <t>30001004912426</t>
        </is>
      </c>
      <c r="BF989" t="inlineStr">
        <is>
          <t>893447357</t>
        </is>
      </c>
    </row>
    <row r="990">
      <c r="A990" t="inlineStr">
        <is>
          <t>No</t>
        </is>
      </c>
      <c r="B990" t="inlineStr">
        <is>
          <t>CUHSL</t>
        </is>
      </c>
      <c r="C990" t="inlineStr">
        <is>
          <t>SHELVES</t>
        </is>
      </c>
      <c r="D990" t="inlineStr">
        <is>
          <t>WY100 N9734 2000</t>
        </is>
      </c>
      <c r="E990" t="inlineStr">
        <is>
          <t>0                      WY 0100000N  9734        2000</t>
        </is>
      </c>
      <c r="F990" t="inlineStr">
        <is>
          <t>Nursing outcomes classification (NOC) / editors, Marion Johnson, Meridean Maas, Sue Moorhead ; authors, Iowa Outcomes Project, Marion Johnson ... [et al.].</t>
        </is>
      </c>
      <c r="H990" t="inlineStr">
        <is>
          <t>No</t>
        </is>
      </c>
      <c r="I990" t="inlineStr">
        <is>
          <t>1</t>
        </is>
      </c>
      <c r="J990" t="inlineStr">
        <is>
          <t>No</t>
        </is>
      </c>
      <c r="K990" t="inlineStr">
        <is>
          <t>Yes</t>
        </is>
      </c>
      <c r="L990" t="inlineStr">
        <is>
          <t>0</t>
        </is>
      </c>
      <c r="N990" t="inlineStr">
        <is>
          <t>St. Louis : Mosby, c2000.</t>
        </is>
      </c>
      <c r="O990" t="inlineStr">
        <is>
          <t>2000</t>
        </is>
      </c>
      <c r="P990" t="inlineStr">
        <is>
          <t>2nd ed.</t>
        </is>
      </c>
      <c r="Q990" t="inlineStr">
        <is>
          <t>eng</t>
        </is>
      </c>
      <c r="R990" t="inlineStr">
        <is>
          <t>mou</t>
        </is>
      </c>
      <c r="T990" t="inlineStr">
        <is>
          <t xml:space="preserve">WY </t>
        </is>
      </c>
      <c r="U990" t="n">
        <v>1</v>
      </c>
      <c r="V990" t="n">
        <v>1</v>
      </c>
      <c r="W990" t="inlineStr">
        <is>
          <t>2003-02-17</t>
        </is>
      </c>
      <c r="X990" t="inlineStr">
        <is>
          <t>2003-02-17</t>
        </is>
      </c>
      <c r="Y990" t="inlineStr">
        <is>
          <t>2002-06-27</t>
        </is>
      </c>
      <c r="Z990" t="inlineStr">
        <is>
          <t>2002-06-27</t>
        </is>
      </c>
      <c r="AA990" t="n">
        <v>251</v>
      </c>
      <c r="AB990" t="n">
        <v>213</v>
      </c>
      <c r="AC990" t="n">
        <v>672</v>
      </c>
      <c r="AD990" t="n">
        <v>3</v>
      </c>
      <c r="AE990" t="n">
        <v>7</v>
      </c>
      <c r="AF990" t="n">
        <v>13</v>
      </c>
      <c r="AG990" t="n">
        <v>31</v>
      </c>
      <c r="AH990" t="n">
        <v>6</v>
      </c>
      <c r="AI990" t="n">
        <v>10</v>
      </c>
      <c r="AJ990" t="n">
        <v>0</v>
      </c>
      <c r="AK990" t="n">
        <v>6</v>
      </c>
      <c r="AL990" t="n">
        <v>6</v>
      </c>
      <c r="AM990" t="n">
        <v>15</v>
      </c>
      <c r="AN990" t="n">
        <v>2</v>
      </c>
      <c r="AO990" t="n">
        <v>6</v>
      </c>
      <c r="AP990" t="n">
        <v>0</v>
      </c>
      <c r="AQ990" t="n">
        <v>0</v>
      </c>
      <c r="AR990" t="inlineStr">
        <is>
          <t>No</t>
        </is>
      </c>
      <c r="AS990" t="inlineStr">
        <is>
          <t>Yes</t>
        </is>
      </c>
      <c r="AT990">
        <f>HYPERLINK("http://catalog.hathitrust.org/Record/003449443","HathiTrust Record")</f>
        <v/>
      </c>
      <c r="AU990">
        <f>HYPERLINK("https://creighton-primo.hosted.exlibrisgroup.com/primo-explore/search?tab=default_tab&amp;search_scope=EVERYTHING&amp;vid=01CRU&amp;lang=en_US&amp;offset=0&amp;query=any,contains,991000319179702656","Catalog Record")</f>
        <v/>
      </c>
      <c r="AV990">
        <f>HYPERLINK("http://www.worldcat.org/oclc/41945021","WorldCat Record")</f>
        <v/>
      </c>
      <c r="AW990" t="inlineStr">
        <is>
          <t>4927363002:eng</t>
        </is>
      </c>
      <c r="AX990" t="inlineStr">
        <is>
          <t>41945021</t>
        </is>
      </c>
      <c r="AY990" t="inlineStr">
        <is>
          <t>991000319179702656</t>
        </is>
      </c>
      <c r="AZ990" t="inlineStr">
        <is>
          <t>991000319179702656</t>
        </is>
      </c>
      <c r="BA990" t="inlineStr">
        <is>
          <t>2272099180002656</t>
        </is>
      </c>
      <c r="BB990" t="inlineStr">
        <is>
          <t>BOOK</t>
        </is>
      </c>
      <c r="BD990" t="inlineStr">
        <is>
          <t>9780323008938</t>
        </is>
      </c>
      <c r="BE990" t="inlineStr">
        <is>
          <t>30001004239614</t>
        </is>
      </c>
      <c r="BF990" t="inlineStr">
        <is>
          <t>893122970</t>
        </is>
      </c>
    </row>
    <row r="991">
      <c r="A991" t="inlineStr">
        <is>
          <t>No</t>
        </is>
      </c>
      <c r="B991" t="inlineStr">
        <is>
          <t>CUHSL</t>
        </is>
      </c>
      <c r="C991" t="inlineStr">
        <is>
          <t>SHELVES</t>
        </is>
      </c>
      <c r="D991" t="inlineStr">
        <is>
          <t>WY 100 N97416 1996</t>
        </is>
      </c>
      <c r="E991" t="inlineStr">
        <is>
          <t>0                      WY 0100000N  97416       1996</t>
        </is>
      </c>
      <c r="F991" t="inlineStr">
        <is>
          <t>Nurses and family health promotion : concepts, assessment, and interventions / [edited by] Perri J. Bomar.</t>
        </is>
      </c>
      <c r="H991" t="inlineStr">
        <is>
          <t>No</t>
        </is>
      </c>
      <c r="I991" t="inlineStr">
        <is>
          <t>1</t>
        </is>
      </c>
      <c r="J991" t="inlineStr">
        <is>
          <t>No</t>
        </is>
      </c>
      <c r="K991" t="inlineStr">
        <is>
          <t>No</t>
        </is>
      </c>
      <c r="L991" t="inlineStr">
        <is>
          <t>0</t>
        </is>
      </c>
      <c r="N991" t="inlineStr">
        <is>
          <t>Philadelphia : W.B. Saunders, c1996.</t>
        </is>
      </c>
      <c r="O991" t="inlineStr">
        <is>
          <t>1996</t>
        </is>
      </c>
      <c r="P991" t="inlineStr">
        <is>
          <t>2nd ed.</t>
        </is>
      </c>
      <c r="Q991" t="inlineStr">
        <is>
          <t>eng</t>
        </is>
      </c>
      <c r="R991" t="inlineStr">
        <is>
          <t>pau</t>
        </is>
      </c>
      <c r="T991" t="inlineStr">
        <is>
          <t xml:space="preserve">WY </t>
        </is>
      </c>
      <c r="U991" t="n">
        <v>4</v>
      </c>
      <c r="V991" t="n">
        <v>4</v>
      </c>
      <c r="W991" t="inlineStr">
        <is>
          <t>1998-10-27</t>
        </is>
      </c>
      <c r="X991" t="inlineStr">
        <is>
          <t>1998-10-27</t>
        </is>
      </c>
      <c r="Y991" t="inlineStr">
        <is>
          <t>1996-09-10</t>
        </is>
      </c>
      <c r="Z991" t="inlineStr">
        <is>
          <t>1996-09-10</t>
        </is>
      </c>
      <c r="AA991" t="n">
        <v>326</v>
      </c>
      <c r="AB991" t="n">
        <v>241</v>
      </c>
      <c r="AC991" t="n">
        <v>342</v>
      </c>
      <c r="AD991" t="n">
        <v>2</v>
      </c>
      <c r="AE991" t="n">
        <v>3</v>
      </c>
      <c r="AF991" t="n">
        <v>13</v>
      </c>
      <c r="AG991" t="n">
        <v>15</v>
      </c>
      <c r="AH991" t="n">
        <v>5</v>
      </c>
      <c r="AI991" t="n">
        <v>6</v>
      </c>
      <c r="AJ991" t="n">
        <v>2</v>
      </c>
      <c r="AK991" t="n">
        <v>3</v>
      </c>
      <c r="AL991" t="n">
        <v>8</v>
      </c>
      <c r="AM991" t="n">
        <v>9</v>
      </c>
      <c r="AN991" t="n">
        <v>1</v>
      </c>
      <c r="AO991" t="n">
        <v>1</v>
      </c>
      <c r="AP991" t="n">
        <v>0</v>
      </c>
      <c r="AQ991" t="n">
        <v>0</v>
      </c>
      <c r="AR991" t="inlineStr">
        <is>
          <t>No</t>
        </is>
      </c>
      <c r="AS991" t="inlineStr">
        <is>
          <t>Yes</t>
        </is>
      </c>
      <c r="AT991">
        <f>HYPERLINK("http://catalog.hathitrust.org/Record/003036241","HathiTrust Record")</f>
        <v/>
      </c>
      <c r="AU991">
        <f>HYPERLINK("https://creighton-primo.hosted.exlibrisgroup.com/primo-explore/search?tab=default_tab&amp;search_scope=EVERYTHING&amp;vid=01CRU&amp;lang=en_US&amp;offset=0&amp;query=any,contains,991000835709702656","Catalog Record")</f>
        <v/>
      </c>
      <c r="AV991">
        <f>HYPERLINK("http://www.worldcat.org/oclc/32589515","WorldCat Record")</f>
        <v/>
      </c>
      <c r="AW991" t="inlineStr">
        <is>
          <t>898827491:eng</t>
        </is>
      </c>
      <c r="AX991" t="inlineStr">
        <is>
          <t>32589515</t>
        </is>
      </c>
      <c r="AY991" t="inlineStr">
        <is>
          <t>991000835709702656</t>
        </is>
      </c>
      <c r="AZ991" t="inlineStr">
        <is>
          <t>991000835709702656</t>
        </is>
      </c>
      <c r="BA991" t="inlineStr">
        <is>
          <t>2260941250002656</t>
        </is>
      </c>
      <c r="BB991" t="inlineStr">
        <is>
          <t>BOOK</t>
        </is>
      </c>
      <c r="BD991" t="inlineStr">
        <is>
          <t>9780721637952</t>
        </is>
      </c>
      <c r="BE991" t="inlineStr">
        <is>
          <t>30001003441708</t>
        </is>
      </c>
      <c r="BF991" t="inlineStr">
        <is>
          <t>893368735</t>
        </is>
      </c>
    </row>
    <row r="992">
      <c r="A992" t="inlineStr">
        <is>
          <t>No</t>
        </is>
      </c>
      <c r="B992" t="inlineStr">
        <is>
          <t>CUHSL</t>
        </is>
      </c>
      <c r="C992" t="inlineStr">
        <is>
          <t>SHELVES</t>
        </is>
      </c>
      <c r="D992" t="inlineStr">
        <is>
          <t>WY 100 N9743 1987</t>
        </is>
      </c>
      <c r="E992" t="inlineStr">
        <is>
          <t>0                      WY 0100000N  9743        1987</t>
        </is>
      </c>
      <c r="F992" t="inlineStr">
        <is>
          <t>Nursing and health : maximizing human potential throughout the life cycle / [edited by] Louise P. Gallagher, Maryhelen Cole Kreidler.</t>
        </is>
      </c>
      <c r="H992" t="inlineStr">
        <is>
          <t>No</t>
        </is>
      </c>
      <c r="I992" t="inlineStr">
        <is>
          <t>1</t>
        </is>
      </c>
      <c r="J992" t="inlineStr">
        <is>
          <t>No</t>
        </is>
      </c>
      <c r="K992" t="inlineStr">
        <is>
          <t>No</t>
        </is>
      </c>
      <c r="L992" t="inlineStr">
        <is>
          <t>0</t>
        </is>
      </c>
      <c r="N992" t="inlineStr">
        <is>
          <t>Norwalk, Conn. : Appleton &amp; Lange, c1987.</t>
        </is>
      </c>
      <c r="O992" t="inlineStr">
        <is>
          <t>1987</t>
        </is>
      </c>
      <c r="Q992" t="inlineStr">
        <is>
          <t>eng</t>
        </is>
      </c>
      <c r="R992" t="inlineStr">
        <is>
          <t>xxu</t>
        </is>
      </c>
      <c r="T992" t="inlineStr">
        <is>
          <t xml:space="preserve">WY </t>
        </is>
      </c>
      <c r="U992" t="n">
        <v>9</v>
      </c>
      <c r="V992" t="n">
        <v>9</v>
      </c>
      <c r="W992" t="inlineStr">
        <is>
          <t>1992-09-28</t>
        </is>
      </c>
      <c r="X992" t="inlineStr">
        <is>
          <t>1992-09-28</t>
        </is>
      </c>
      <c r="Y992" t="inlineStr">
        <is>
          <t>1988-02-17</t>
        </is>
      </c>
      <c r="Z992" t="inlineStr">
        <is>
          <t>1988-02-17</t>
        </is>
      </c>
      <c r="AA992" t="n">
        <v>178</v>
      </c>
      <c r="AB992" t="n">
        <v>130</v>
      </c>
      <c r="AC992" t="n">
        <v>132</v>
      </c>
      <c r="AD992" t="n">
        <v>1</v>
      </c>
      <c r="AE992" t="n">
        <v>1</v>
      </c>
      <c r="AF992" t="n">
        <v>3</v>
      </c>
      <c r="AG992" t="n">
        <v>3</v>
      </c>
      <c r="AH992" t="n">
        <v>1</v>
      </c>
      <c r="AI992" t="n">
        <v>1</v>
      </c>
      <c r="AJ992" t="n">
        <v>0</v>
      </c>
      <c r="AK992" t="n">
        <v>0</v>
      </c>
      <c r="AL992" t="n">
        <v>3</v>
      </c>
      <c r="AM992" t="n">
        <v>3</v>
      </c>
      <c r="AN992" t="n">
        <v>0</v>
      </c>
      <c r="AO992" t="n">
        <v>0</v>
      </c>
      <c r="AP992" t="n">
        <v>0</v>
      </c>
      <c r="AQ992" t="n">
        <v>0</v>
      </c>
      <c r="AR992" t="inlineStr">
        <is>
          <t>No</t>
        </is>
      </c>
      <c r="AS992" t="inlineStr">
        <is>
          <t>Yes</t>
        </is>
      </c>
      <c r="AT992">
        <f>HYPERLINK("http://catalog.hathitrust.org/Record/000857401","HathiTrust Record")</f>
        <v/>
      </c>
      <c r="AU992">
        <f>HYPERLINK("https://creighton-primo.hosted.exlibrisgroup.com/primo-explore/search?tab=default_tab&amp;search_scope=EVERYTHING&amp;vid=01CRU&amp;lang=en_US&amp;offset=0&amp;query=any,contains,991001540139702656","Catalog Record")</f>
        <v/>
      </c>
      <c r="AV992">
        <f>HYPERLINK("http://www.worldcat.org/oclc/16005697","WorldCat Record")</f>
        <v/>
      </c>
      <c r="AW992" t="inlineStr">
        <is>
          <t>372377032:eng</t>
        </is>
      </c>
      <c r="AX992" t="inlineStr">
        <is>
          <t>16005697</t>
        </is>
      </c>
      <c r="AY992" t="inlineStr">
        <is>
          <t>991001540139702656</t>
        </is>
      </c>
      <c r="AZ992" t="inlineStr">
        <is>
          <t>991001540139702656</t>
        </is>
      </c>
      <c r="BA992" t="inlineStr">
        <is>
          <t>2264987250002656</t>
        </is>
      </c>
      <c r="BB992" t="inlineStr">
        <is>
          <t>BOOK</t>
        </is>
      </c>
      <c r="BD992" t="inlineStr">
        <is>
          <t>9780838570388</t>
        </is>
      </c>
      <c r="BE992" t="inlineStr">
        <is>
          <t>30001000624827</t>
        </is>
      </c>
      <c r="BF992" t="inlineStr">
        <is>
          <t>893451325</t>
        </is>
      </c>
    </row>
    <row r="993">
      <c r="A993" t="inlineStr">
        <is>
          <t>No</t>
        </is>
      </c>
      <c r="B993" t="inlineStr">
        <is>
          <t>CUHSL</t>
        </is>
      </c>
      <c r="C993" t="inlineStr">
        <is>
          <t>SHELVES</t>
        </is>
      </c>
      <c r="D993" t="inlineStr">
        <is>
          <t>WY 100 N9745 1989</t>
        </is>
      </c>
      <c r="E993" t="inlineStr">
        <is>
          <t>0                      WY 0100000N  9745        1989</t>
        </is>
      </c>
      <c r="F993" t="inlineStr">
        <is>
          <t>Nursing care plans : guidelines for planning patient care / Marilynn E. Doenges ... [et al.].</t>
        </is>
      </c>
      <c r="H993" t="inlineStr">
        <is>
          <t>No</t>
        </is>
      </c>
      <c r="I993" t="inlineStr">
        <is>
          <t>1</t>
        </is>
      </c>
      <c r="J993" t="inlineStr">
        <is>
          <t>No</t>
        </is>
      </c>
      <c r="K993" t="inlineStr">
        <is>
          <t>No</t>
        </is>
      </c>
      <c r="L993" t="inlineStr">
        <is>
          <t>0</t>
        </is>
      </c>
      <c r="N993" t="inlineStr">
        <is>
          <t>Philadelphia : Davis, c1989.</t>
        </is>
      </c>
      <c r="O993" t="inlineStr">
        <is>
          <t>1989</t>
        </is>
      </c>
      <c r="P993" t="inlineStr">
        <is>
          <t>Ed. 2.</t>
        </is>
      </c>
      <c r="Q993" t="inlineStr">
        <is>
          <t>eng</t>
        </is>
      </c>
      <c r="R993" t="inlineStr">
        <is>
          <t>xxu</t>
        </is>
      </c>
      <c r="T993" t="inlineStr">
        <is>
          <t xml:space="preserve">WY </t>
        </is>
      </c>
      <c r="U993" t="n">
        <v>77</v>
      </c>
      <c r="V993" t="n">
        <v>77</v>
      </c>
      <c r="W993" t="inlineStr">
        <is>
          <t>1999-11-03</t>
        </is>
      </c>
      <c r="X993" t="inlineStr">
        <is>
          <t>1999-11-03</t>
        </is>
      </c>
      <c r="Y993" t="inlineStr">
        <is>
          <t>1990-05-24</t>
        </is>
      </c>
      <c r="Z993" t="inlineStr">
        <is>
          <t>1990-05-24</t>
        </is>
      </c>
      <c r="AA993" t="n">
        <v>289</v>
      </c>
      <c r="AB993" t="n">
        <v>246</v>
      </c>
      <c r="AC993" t="n">
        <v>415</v>
      </c>
      <c r="AD993" t="n">
        <v>3</v>
      </c>
      <c r="AE993" t="n">
        <v>4</v>
      </c>
      <c r="AF993" t="n">
        <v>8</v>
      </c>
      <c r="AG993" t="n">
        <v>9</v>
      </c>
      <c r="AH993" t="n">
        <v>3</v>
      </c>
      <c r="AI993" t="n">
        <v>4</v>
      </c>
      <c r="AJ993" t="n">
        <v>2</v>
      </c>
      <c r="AK993" t="n">
        <v>2</v>
      </c>
      <c r="AL993" t="n">
        <v>5</v>
      </c>
      <c r="AM993" t="n">
        <v>5</v>
      </c>
      <c r="AN993" t="n">
        <v>1</v>
      </c>
      <c r="AO993" t="n">
        <v>1</v>
      </c>
      <c r="AP993" t="n">
        <v>0</v>
      </c>
      <c r="AQ993" t="n">
        <v>0</v>
      </c>
      <c r="AR993" t="inlineStr">
        <is>
          <t>No</t>
        </is>
      </c>
      <c r="AS993" t="inlineStr">
        <is>
          <t>Yes</t>
        </is>
      </c>
      <c r="AT993">
        <f>HYPERLINK("http://catalog.hathitrust.org/Record/001103511","HathiTrust Record")</f>
        <v/>
      </c>
      <c r="AU993">
        <f>HYPERLINK("https://creighton-primo.hosted.exlibrisgroup.com/primo-explore/search?tab=default_tab&amp;search_scope=EVERYTHING&amp;vid=01CRU&amp;lang=en_US&amp;offset=0&amp;query=any,contains,991001448709702656","Catalog Record")</f>
        <v/>
      </c>
      <c r="AV993">
        <f>HYPERLINK("http://www.worldcat.org/oclc/18107258","WorldCat Record")</f>
        <v/>
      </c>
      <c r="AW993" t="inlineStr">
        <is>
          <t>3901123114:eng</t>
        </is>
      </c>
      <c r="AX993" t="inlineStr">
        <is>
          <t>18107258</t>
        </is>
      </c>
      <c r="AY993" t="inlineStr">
        <is>
          <t>991001448709702656</t>
        </is>
      </c>
      <c r="AZ993" t="inlineStr">
        <is>
          <t>991001448709702656</t>
        </is>
      </c>
      <c r="BA993" t="inlineStr">
        <is>
          <t>2254712130002656</t>
        </is>
      </c>
      <c r="BB993" t="inlineStr">
        <is>
          <t>BOOK</t>
        </is>
      </c>
      <c r="BD993" t="inlineStr">
        <is>
          <t>9780803626614</t>
        </is>
      </c>
      <c r="BE993" t="inlineStr">
        <is>
          <t>30001001882002</t>
        </is>
      </c>
      <c r="BF993" t="inlineStr">
        <is>
          <t>893732036</t>
        </is>
      </c>
    </row>
    <row r="994">
      <c r="A994" t="inlineStr">
        <is>
          <t>No</t>
        </is>
      </c>
      <c r="B994" t="inlineStr">
        <is>
          <t>CUHSL</t>
        </is>
      </c>
      <c r="C994" t="inlineStr">
        <is>
          <t>SHELVES</t>
        </is>
      </c>
      <c r="D994" t="inlineStr">
        <is>
          <t>WY 100 N9749 1979</t>
        </is>
      </c>
      <c r="E994" t="inlineStr">
        <is>
          <t>0                      WY 0100000N  9749        1979</t>
        </is>
      </c>
      <c r="F994" t="inlineStr">
        <is>
          <t>Nursing service in a specialty, a rural, and an urban hospital.</t>
        </is>
      </c>
      <c r="H994" t="inlineStr">
        <is>
          <t>No</t>
        </is>
      </c>
      <c r="I994" t="inlineStr">
        <is>
          <t>1</t>
        </is>
      </c>
      <c r="J994" t="inlineStr">
        <is>
          <t>No</t>
        </is>
      </c>
      <c r="K994" t="inlineStr">
        <is>
          <t>No</t>
        </is>
      </c>
      <c r="L994" t="inlineStr">
        <is>
          <t>0</t>
        </is>
      </c>
      <c r="N994" t="inlineStr">
        <is>
          <t>New York : National League for Nursing, c1979.</t>
        </is>
      </c>
      <c r="O994" t="inlineStr">
        <is>
          <t>1979</t>
        </is>
      </c>
      <c r="Q994" t="inlineStr">
        <is>
          <t>eng</t>
        </is>
      </c>
      <c r="R994" t="inlineStr">
        <is>
          <t>nyu</t>
        </is>
      </c>
      <c r="S994" t="inlineStr">
        <is>
          <t>NLN pub. no. 20-1720</t>
        </is>
      </c>
      <c r="T994" t="inlineStr">
        <is>
          <t xml:space="preserve">WY </t>
        </is>
      </c>
      <c r="U994" t="n">
        <v>4</v>
      </c>
      <c r="V994" t="n">
        <v>4</v>
      </c>
      <c r="W994" t="inlineStr">
        <is>
          <t>2001-09-24</t>
        </is>
      </c>
      <c r="X994" t="inlineStr">
        <is>
          <t>2001-09-24</t>
        </is>
      </c>
      <c r="Y994" t="inlineStr">
        <is>
          <t>1987-11-04</t>
        </is>
      </c>
      <c r="Z994" t="inlineStr">
        <is>
          <t>1987-11-04</t>
        </is>
      </c>
      <c r="AA994" t="n">
        <v>101</v>
      </c>
      <c r="AB994" t="n">
        <v>87</v>
      </c>
      <c r="AC994" t="n">
        <v>89</v>
      </c>
      <c r="AD994" t="n">
        <v>2</v>
      </c>
      <c r="AE994" t="n">
        <v>2</v>
      </c>
      <c r="AF994" t="n">
        <v>5</v>
      </c>
      <c r="AG994" t="n">
        <v>5</v>
      </c>
      <c r="AH994" t="n">
        <v>0</v>
      </c>
      <c r="AI994" t="n">
        <v>0</v>
      </c>
      <c r="AJ994" t="n">
        <v>2</v>
      </c>
      <c r="AK994" t="n">
        <v>2</v>
      </c>
      <c r="AL994" t="n">
        <v>3</v>
      </c>
      <c r="AM994" t="n">
        <v>3</v>
      </c>
      <c r="AN994" t="n">
        <v>1</v>
      </c>
      <c r="AO994" t="n">
        <v>1</v>
      </c>
      <c r="AP994" t="n">
        <v>0</v>
      </c>
      <c r="AQ994" t="n">
        <v>0</v>
      </c>
      <c r="AR994" t="inlineStr">
        <is>
          <t>No</t>
        </is>
      </c>
      <c r="AS994" t="inlineStr">
        <is>
          <t>Yes</t>
        </is>
      </c>
      <c r="AT994">
        <f>HYPERLINK("http://catalog.hathitrust.org/Record/000301674","HathiTrust Record")</f>
        <v/>
      </c>
      <c r="AU994">
        <f>HYPERLINK("https://creighton-primo.hosted.exlibrisgroup.com/primo-explore/search?tab=default_tab&amp;search_scope=EVERYTHING&amp;vid=01CRU&amp;lang=en_US&amp;offset=0&amp;query=any,contains,991001385069702656","Catalog Record")</f>
        <v/>
      </c>
      <c r="AV994">
        <f>HYPERLINK("http://www.worldcat.org/oclc/5674461","WorldCat Record")</f>
        <v/>
      </c>
      <c r="AW994" t="inlineStr">
        <is>
          <t>18852464:eng</t>
        </is>
      </c>
      <c r="AX994" t="inlineStr">
        <is>
          <t>5674461</t>
        </is>
      </c>
      <c r="AY994" t="inlineStr">
        <is>
          <t>991001385069702656</t>
        </is>
      </c>
      <c r="AZ994" t="inlineStr">
        <is>
          <t>991001385069702656</t>
        </is>
      </c>
      <c r="BA994" t="inlineStr">
        <is>
          <t>2256408690002656</t>
        </is>
      </c>
      <c r="BB994" t="inlineStr">
        <is>
          <t>BOOK</t>
        </is>
      </c>
      <c r="BE994" t="inlineStr">
        <is>
          <t>30001000463556</t>
        </is>
      </c>
      <c r="BF994" t="inlineStr">
        <is>
          <t>893274064</t>
        </is>
      </c>
    </row>
    <row r="995">
      <c r="A995" t="inlineStr">
        <is>
          <t>No</t>
        </is>
      </c>
      <c r="B995" t="inlineStr">
        <is>
          <t>CUHSL</t>
        </is>
      </c>
      <c r="C995" t="inlineStr">
        <is>
          <t>SHELVES</t>
        </is>
      </c>
      <c r="D995" t="inlineStr">
        <is>
          <t>WY 100 N974c 1973</t>
        </is>
      </c>
      <c r="E995" t="inlineStr">
        <is>
          <t>0                      WY 0100000N  974c        1973</t>
        </is>
      </c>
      <c r="F995" t="inlineStr">
        <is>
          <t>Concept formalization in nursing : process and product / by the Nursing Development Conference Group.</t>
        </is>
      </c>
      <c r="H995" t="inlineStr">
        <is>
          <t>No</t>
        </is>
      </c>
      <c r="I995" t="inlineStr">
        <is>
          <t>1</t>
        </is>
      </c>
      <c r="J995" t="inlineStr">
        <is>
          <t>No</t>
        </is>
      </c>
      <c r="K995" t="inlineStr">
        <is>
          <t>Yes</t>
        </is>
      </c>
      <c r="L995" t="inlineStr">
        <is>
          <t>0</t>
        </is>
      </c>
      <c r="M995" t="inlineStr">
        <is>
          <t>Nursing Development Conference Group.</t>
        </is>
      </c>
      <c r="N995" t="inlineStr">
        <is>
          <t>Boston : Little, Brown, c1973.</t>
        </is>
      </c>
      <c r="O995" t="inlineStr">
        <is>
          <t>1973</t>
        </is>
      </c>
      <c r="P995" t="inlineStr">
        <is>
          <t>-- [1st ed.] --</t>
        </is>
      </c>
      <c r="Q995" t="inlineStr">
        <is>
          <t>eng</t>
        </is>
      </c>
      <c r="R995" t="inlineStr">
        <is>
          <t>mau</t>
        </is>
      </c>
      <c r="T995" t="inlineStr">
        <is>
          <t xml:space="preserve">WY </t>
        </is>
      </c>
      <c r="U995" t="n">
        <v>14</v>
      </c>
      <c r="V995" t="n">
        <v>14</v>
      </c>
      <c r="W995" t="inlineStr">
        <is>
          <t>2005-09-06</t>
        </is>
      </c>
      <c r="X995" t="inlineStr">
        <is>
          <t>2005-09-06</t>
        </is>
      </c>
      <c r="Y995" t="inlineStr">
        <is>
          <t>1988-02-29</t>
        </is>
      </c>
      <c r="Z995" t="inlineStr">
        <is>
          <t>1988-02-29</t>
        </is>
      </c>
      <c r="AA995" t="n">
        <v>203</v>
      </c>
      <c r="AB995" t="n">
        <v>165</v>
      </c>
      <c r="AC995" t="n">
        <v>316</v>
      </c>
      <c r="AD995" t="n">
        <v>3</v>
      </c>
      <c r="AE995" t="n">
        <v>4</v>
      </c>
      <c r="AF995" t="n">
        <v>8</v>
      </c>
      <c r="AG995" t="n">
        <v>12</v>
      </c>
      <c r="AH995" t="n">
        <v>1</v>
      </c>
      <c r="AI995" t="n">
        <v>2</v>
      </c>
      <c r="AJ995" t="n">
        <v>3</v>
      </c>
      <c r="AK995" t="n">
        <v>3</v>
      </c>
      <c r="AL995" t="n">
        <v>3</v>
      </c>
      <c r="AM995" t="n">
        <v>7</v>
      </c>
      <c r="AN995" t="n">
        <v>2</v>
      </c>
      <c r="AO995" t="n">
        <v>2</v>
      </c>
      <c r="AP995" t="n">
        <v>0</v>
      </c>
      <c r="AQ995" t="n">
        <v>0</v>
      </c>
      <c r="AR995" t="inlineStr">
        <is>
          <t>No</t>
        </is>
      </c>
      <c r="AS995" t="inlineStr">
        <is>
          <t>Yes</t>
        </is>
      </c>
      <c r="AT995">
        <f>HYPERLINK("http://catalog.hathitrust.org/Record/001574710","HathiTrust Record")</f>
        <v/>
      </c>
      <c r="AU995">
        <f>HYPERLINK("https://creighton-primo.hosted.exlibrisgroup.com/primo-explore/search?tab=default_tab&amp;search_scope=EVERYTHING&amp;vid=01CRU&amp;lang=en_US&amp;offset=0&amp;query=any,contains,991001148369702656","Catalog Record")</f>
        <v/>
      </c>
      <c r="AV995">
        <f>HYPERLINK("http://www.worldcat.org/oclc/609202","WorldCat Record")</f>
        <v/>
      </c>
      <c r="AW995" t="inlineStr">
        <is>
          <t>1635099:eng</t>
        </is>
      </c>
      <c r="AX995" t="inlineStr">
        <is>
          <t>609202</t>
        </is>
      </c>
      <c r="AY995" t="inlineStr">
        <is>
          <t>991001148369702656</t>
        </is>
      </c>
      <c r="AZ995" t="inlineStr">
        <is>
          <t>991001148369702656</t>
        </is>
      </c>
      <c r="BA995" t="inlineStr">
        <is>
          <t>2254813410002656</t>
        </is>
      </c>
      <c r="BB995" t="inlineStr">
        <is>
          <t>BOOK</t>
        </is>
      </c>
      <c r="BE995" t="inlineStr">
        <is>
          <t>30001000295032</t>
        </is>
      </c>
      <c r="BF995" t="inlineStr">
        <is>
          <t>893820989</t>
        </is>
      </c>
    </row>
    <row r="996">
      <c r="A996" t="inlineStr">
        <is>
          <t>No</t>
        </is>
      </c>
      <c r="B996" t="inlineStr">
        <is>
          <t>CUHSL</t>
        </is>
      </c>
      <c r="C996" t="inlineStr">
        <is>
          <t>SHELVES</t>
        </is>
      </c>
      <c r="D996" t="inlineStr">
        <is>
          <t>WY 100 N974c 1979</t>
        </is>
      </c>
      <c r="E996" t="inlineStr">
        <is>
          <t>0                      WY 0100000N  974c        1979</t>
        </is>
      </c>
      <c r="F996" t="inlineStr">
        <is>
          <t>Concept formalization in nursing : process and product / by the Nursing Development Conference Group ; edited by Dorothea E. Orem.</t>
        </is>
      </c>
      <c r="H996" t="inlineStr">
        <is>
          <t>No</t>
        </is>
      </c>
      <c r="I996" t="inlineStr">
        <is>
          <t>1</t>
        </is>
      </c>
      <c r="J996" t="inlineStr">
        <is>
          <t>No</t>
        </is>
      </c>
      <c r="K996" t="inlineStr">
        <is>
          <t>Yes</t>
        </is>
      </c>
      <c r="L996" t="inlineStr">
        <is>
          <t>0</t>
        </is>
      </c>
      <c r="M996" t="inlineStr">
        <is>
          <t>Nursing Development Conference Group.</t>
        </is>
      </c>
      <c r="N996" t="inlineStr">
        <is>
          <t>Boston : Little, Brown, c1979.</t>
        </is>
      </c>
      <c r="O996" t="inlineStr">
        <is>
          <t>1979</t>
        </is>
      </c>
      <c r="P996" t="inlineStr">
        <is>
          <t>2d ed.</t>
        </is>
      </c>
      <c r="Q996" t="inlineStr">
        <is>
          <t>eng</t>
        </is>
      </c>
      <c r="R996" t="inlineStr">
        <is>
          <t xml:space="preserve">xx </t>
        </is>
      </c>
      <c r="T996" t="inlineStr">
        <is>
          <t xml:space="preserve">WY </t>
        </is>
      </c>
      <c r="U996" t="n">
        <v>14</v>
      </c>
      <c r="V996" t="n">
        <v>14</v>
      </c>
      <c r="W996" t="inlineStr">
        <is>
          <t>2005-09-06</t>
        </is>
      </c>
      <c r="X996" t="inlineStr">
        <is>
          <t>2005-09-06</t>
        </is>
      </c>
      <c r="Y996" t="inlineStr">
        <is>
          <t>1988-02-29</t>
        </is>
      </c>
      <c r="Z996" t="inlineStr">
        <is>
          <t>1988-02-29</t>
        </is>
      </c>
      <c r="AA996" t="n">
        <v>276</v>
      </c>
      <c r="AB996" t="n">
        <v>246</v>
      </c>
      <c r="AC996" t="n">
        <v>316</v>
      </c>
      <c r="AD996" t="n">
        <v>2</v>
      </c>
      <c r="AE996" t="n">
        <v>4</v>
      </c>
      <c r="AF996" t="n">
        <v>9</v>
      </c>
      <c r="AG996" t="n">
        <v>12</v>
      </c>
      <c r="AH996" t="n">
        <v>2</v>
      </c>
      <c r="AI996" t="n">
        <v>2</v>
      </c>
      <c r="AJ996" t="n">
        <v>2</v>
      </c>
      <c r="AK996" t="n">
        <v>3</v>
      </c>
      <c r="AL996" t="n">
        <v>7</v>
      </c>
      <c r="AM996" t="n">
        <v>7</v>
      </c>
      <c r="AN996" t="n">
        <v>0</v>
      </c>
      <c r="AO996" t="n">
        <v>2</v>
      </c>
      <c r="AP996" t="n">
        <v>0</v>
      </c>
      <c r="AQ996" t="n">
        <v>0</v>
      </c>
      <c r="AR996" t="inlineStr">
        <is>
          <t>No</t>
        </is>
      </c>
      <c r="AS996" t="inlineStr">
        <is>
          <t>Yes</t>
        </is>
      </c>
      <c r="AT996">
        <f>HYPERLINK("http://catalog.hathitrust.org/Record/000145405","HathiTrust Record")</f>
        <v/>
      </c>
      <c r="AU996">
        <f>HYPERLINK("https://creighton-primo.hosted.exlibrisgroup.com/primo-explore/search?tab=default_tab&amp;search_scope=EVERYTHING&amp;vid=01CRU&amp;lang=en_US&amp;offset=0&amp;query=any,contains,991001148409702656","Catalog Record")</f>
        <v/>
      </c>
      <c r="AV996">
        <f>HYPERLINK("http://www.worldcat.org/oclc/5684589","WorldCat Record")</f>
        <v/>
      </c>
      <c r="AW996" t="inlineStr">
        <is>
          <t>1635099:eng</t>
        </is>
      </c>
      <c r="AX996" t="inlineStr">
        <is>
          <t>5684589</t>
        </is>
      </c>
      <c r="AY996" t="inlineStr">
        <is>
          <t>991001148409702656</t>
        </is>
      </c>
      <c r="AZ996" t="inlineStr">
        <is>
          <t>991001148409702656</t>
        </is>
      </c>
      <c r="BA996" t="inlineStr">
        <is>
          <t>2266432270002656</t>
        </is>
      </c>
      <c r="BB996" t="inlineStr">
        <is>
          <t>BOOK</t>
        </is>
      </c>
      <c r="BD996" t="inlineStr">
        <is>
          <t>9780316614214</t>
        </is>
      </c>
      <c r="BE996" t="inlineStr">
        <is>
          <t>30001000295040</t>
        </is>
      </c>
      <c r="BF996" t="inlineStr">
        <is>
          <t>893121205</t>
        </is>
      </c>
    </row>
    <row r="997">
      <c r="A997" t="inlineStr">
        <is>
          <t>No</t>
        </is>
      </c>
      <c r="B997" t="inlineStr">
        <is>
          <t>CUHSL</t>
        </is>
      </c>
      <c r="C997" t="inlineStr">
        <is>
          <t>SHELVES</t>
        </is>
      </c>
      <c r="D997" t="inlineStr">
        <is>
          <t>WY 100 N97523 1999</t>
        </is>
      </c>
      <c r="E997" t="inlineStr">
        <is>
          <t>0                      WY 0100000N  97523       1999</t>
        </is>
      </c>
      <c r="F997" t="inlineStr">
        <is>
          <t>Nursing interventions : effective nursing treatments / [edited by] Gloria M. Bulechek, Joanne C. McCloskey.</t>
        </is>
      </c>
      <c r="H997" t="inlineStr">
        <is>
          <t>No</t>
        </is>
      </c>
      <c r="I997" t="inlineStr">
        <is>
          <t>1</t>
        </is>
      </c>
      <c r="J997" t="inlineStr">
        <is>
          <t>No</t>
        </is>
      </c>
      <c r="K997" t="inlineStr">
        <is>
          <t>No</t>
        </is>
      </c>
      <c r="L997" t="inlineStr">
        <is>
          <t>0</t>
        </is>
      </c>
      <c r="N997" t="inlineStr">
        <is>
          <t>Philadelphia : Saunders, c1999.</t>
        </is>
      </c>
      <c r="O997" t="inlineStr">
        <is>
          <t>1999</t>
        </is>
      </c>
      <c r="P997" t="inlineStr">
        <is>
          <t>3rd ed.</t>
        </is>
      </c>
      <c r="Q997" t="inlineStr">
        <is>
          <t>eng</t>
        </is>
      </c>
      <c r="R997" t="inlineStr">
        <is>
          <t>pau</t>
        </is>
      </c>
      <c r="T997" t="inlineStr">
        <is>
          <t xml:space="preserve">WY </t>
        </is>
      </c>
      <c r="U997" t="n">
        <v>4</v>
      </c>
      <c r="V997" t="n">
        <v>4</v>
      </c>
      <c r="W997" t="inlineStr">
        <is>
          <t>2002-03-01</t>
        </is>
      </c>
      <c r="X997" t="inlineStr">
        <is>
          <t>2002-03-01</t>
        </is>
      </c>
      <c r="Y997" t="inlineStr">
        <is>
          <t>2000-03-03</t>
        </is>
      </c>
      <c r="Z997" t="inlineStr">
        <is>
          <t>2000-03-03</t>
        </is>
      </c>
      <c r="AA997" t="n">
        <v>258</v>
      </c>
      <c r="AB997" t="n">
        <v>194</v>
      </c>
      <c r="AC997" t="n">
        <v>201</v>
      </c>
      <c r="AD997" t="n">
        <v>2</v>
      </c>
      <c r="AE997" t="n">
        <v>2</v>
      </c>
      <c r="AF997" t="n">
        <v>8</v>
      </c>
      <c r="AG997" t="n">
        <v>8</v>
      </c>
      <c r="AH997" t="n">
        <v>3</v>
      </c>
      <c r="AI997" t="n">
        <v>3</v>
      </c>
      <c r="AJ997" t="n">
        <v>0</v>
      </c>
      <c r="AK997" t="n">
        <v>0</v>
      </c>
      <c r="AL997" t="n">
        <v>5</v>
      </c>
      <c r="AM997" t="n">
        <v>5</v>
      </c>
      <c r="AN997" t="n">
        <v>1</v>
      </c>
      <c r="AO997" t="n">
        <v>1</v>
      </c>
      <c r="AP997" t="n">
        <v>0</v>
      </c>
      <c r="AQ997" t="n">
        <v>0</v>
      </c>
      <c r="AR997" t="inlineStr">
        <is>
          <t>No</t>
        </is>
      </c>
      <c r="AS997" t="inlineStr">
        <is>
          <t>Yes</t>
        </is>
      </c>
      <c r="AT997">
        <f>HYPERLINK("http://catalog.hathitrust.org/Record/004066765","HathiTrust Record")</f>
        <v/>
      </c>
      <c r="AU997">
        <f>HYPERLINK("https://creighton-primo.hosted.exlibrisgroup.com/primo-explore/search?tab=default_tab&amp;search_scope=EVERYTHING&amp;vid=01CRU&amp;lang=en_US&amp;offset=0&amp;query=any,contains,991001441699702656","Catalog Record")</f>
        <v/>
      </c>
      <c r="AV997">
        <f>HYPERLINK("http://www.worldcat.org/oclc/40120328","WorldCat Record")</f>
        <v/>
      </c>
      <c r="AW997" t="inlineStr">
        <is>
          <t>9621773228:eng</t>
        </is>
      </c>
      <c r="AX997" t="inlineStr">
        <is>
          <t>40120328</t>
        </is>
      </c>
      <c r="AY997" t="inlineStr">
        <is>
          <t>991001441699702656</t>
        </is>
      </c>
      <c r="AZ997" t="inlineStr">
        <is>
          <t>991001441699702656</t>
        </is>
      </c>
      <c r="BA997" t="inlineStr">
        <is>
          <t>2264406700002656</t>
        </is>
      </c>
      <c r="BB997" t="inlineStr">
        <is>
          <t>BOOK</t>
        </is>
      </c>
      <c r="BD997" t="inlineStr">
        <is>
          <t>9780721677248</t>
        </is>
      </c>
      <c r="BE997" t="inlineStr">
        <is>
          <t>30001003882521</t>
        </is>
      </c>
      <c r="BF997" t="inlineStr">
        <is>
          <t>893743786</t>
        </is>
      </c>
    </row>
    <row r="998">
      <c r="A998" t="inlineStr">
        <is>
          <t>No</t>
        </is>
      </c>
      <c r="B998" t="inlineStr">
        <is>
          <t>CUHSL</t>
        </is>
      </c>
      <c r="C998" t="inlineStr">
        <is>
          <t>SHELVES</t>
        </is>
      </c>
      <c r="D998" t="inlineStr">
        <is>
          <t>WY 100 N9753 1989</t>
        </is>
      </c>
      <c r="E998" t="inlineStr">
        <is>
          <t>0                      WY 0100000N  9753        1989</t>
        </is>
      </c>
      <c r="F998" t="inlineStr">
        <is>
          <t>Nursing diagnosis &amp; intervention : planning for patient care / [edited by] Gertrude K. McFarland, Elizabeth A. McFarlane.</t>
        </is>
      </c>
      <c r="H998" t="inlineStr">
        <is>
          <t>No</t>
        </is>
      </c>
      <c r="I998" t="inlineStr">
        <is>
          <t>1</t>
        </is>
      </c>
      <c r="J998" t="inlineStr">
        <is>
          <t>No</t>
        </is>
      </c>
      <c r="K998" t="inlineStr">
        <is>
          <t>Yes</t>
        </is>
      </c>
      <c r="L998" t="inlineStr">
        <is>
          <t>0</t>
        </is>
      </c>
      <c r="N998" t="inlineStr">
        <is>
          <t>St. Louis : Mosby, c1989.</t>
        </is>
      </c>
      <c r="O998" t="inlineStr">
        <is>
          <t>1989</t>
        </is>
      </c>
      <c r="Q998" t="inlineStr">
        <is>
          <t>eng</t>
        </is>
      </c>
      <c r="R998" t="inlineStr">
        <is>
          <t>mou</t>
        </is>
      </c>
      <c r="T998" t="inlineStr">
        <is>
          <t xml:space="preserve">WY </t>
        </is>
      </c>
      <c r="U998" t="n">
        <v>17</v>
      </c>
      <c r="V998" t="n">
        <v>17</v>
      </c>
      <c r="W998" t="inlineStr">
        <is>
          <t>1999-11-14</t>
        </is>
      </c>
      <c r="X998" t="inlineStr">
        <is>
          <t>1999-11-14</t>
        </is>
      </c>
      <c r="Y998" t="inlineStr">
        <is>
          <t>1989-09-14</t>
        </is>
      </c>
      <c r="Z998" t="inlineStr">
        <is>
          <t>1989-09-14</t>
        </is>
      </c>
      <c r="AA998" t="n">
        <v>246</v>
      </c>
      <c r="AB998" t="n">
        <v>185</v>
      </c>
      <c r="AC998" t="n">
        <v>487</v>
      </c>
      <c r="AD998" t="n">
        <v>1</v>
      </c>
      <c r="AE998" t="n">
        <v>3</v>
      </c>
      <c r="AF998" t="n">
        <v>5</v>
      </c>
      <c r="AG998" t="n">
        <v>14</v>
      </c>
      <c r="AH998" t="n">
        <v>2</v>
      </c>
      <c r="AI998" t="n">
        <v>6</v>
      </c>
      <c r="AJ998" t="n">
        <v>0</v>
      </c>
      <c r="AK998" t="n">
        <v>2</v>
      </c>
      <c r="AL998" t="n">
        <v>4</v>
      </c>
      <c r="AM998" t="n">
        <v>9</v>
      </c>
      <c r="AN998" t="n">
        <v>0</v>
      </c>
      <c r="AO998" t="n">
        <v>1</v>
      </c>
      <c r="AP998" t="n">
        <v>0</v>
      </c>
      <c r="AQ998" t="n">
        <v>0</v>
      </c>
      <c r="AR998" t="inlineStr">
        <is>
          <t>No</t>
        </is>
      </c>
      <c r="AS998" t="inlineStr">
        <is>
          <t>Yes</t>
        </is>
      </c>
      <c r="AT998">
        <f>HYPERLINK("http://catalog.hathitrust.org/Record/001099014","HathiTrust Record")</f>
        <v/>
      </c>
      <c r="AU998">
        <f>HYPERLINK("https://creighton-primo.hosted.exlibrisgroup.com/primo-explore/search?tab=default_tab&amp;search_scope=EVERYTHING&amp;vid=01CRU&amp;lang=en_US&amp;offset=0&amp;query=any,contains,991001321909702656","Catalog Record")</f>
        <v/>
      </c>
      <c r="AV998">
        <f>HYPERLINK("http://www.worldcat.org/oclc/19125513","WorldCat Record")</f>
        <v/>
      </c>
      <c r="AW998" t="inlineStr">
        <is>
          <t>836900739:eng</t>
        </is>
      </c>
      <c r="AX998" t="inlineStr">
        <is>
          <t>19125513</t>
        </is>
      </c>
      <c r="AY998" t="inlineStr">
        <is>
          <t>991001321909702656</t>
        </is>
      </c>
      <c r="AZ998" t="inlineStr">
        <is>
          <t>991001321909702656</t>
        </is>
      </c>
      <c r="BA998" t="inlineStr">
        <is>
          <t>2269598320002656</t>
        </is>
      </c>
      <c r="BB998" t="inlineStr">
        <is>
          <t>BOOK</t>
        </is>
      </c>
      <c r="BD998" t="inlineStr">
        <is>
          <t>9780801632228</t>
        </is>
      </c>
      <c r="BE998" t="inlineStr">
        <is>
          <t>30001001753799</t>
        </is>
      </c>
      <c r="BF998" t="inlineStr">
        <is>
          <t>893451085</t>
        </is>
      </c>
    </row>
    <row r="999">
      <c r="A999" t="inlineStr">
        <is>
          <t>No</t>
        </is>
      </c>
      <c r="B999" t="inlineStr">
        <is>
          <t>CUHSL</t>
        </is>
      </c>
      <c r="C999" t="inlineStr">
        <is>
          <t>SHELVES</t>
        </is>
      </c>
      <c r="D999" t="inlineStr">
        <is>
          <t>WY 100 N97539 1997</t>
        </is>
      </c>
      <c r="E999" t="inlineStr">
        <is>
          <t>0                      WY 0100000N  97539       1997</t>
        </is>
      </c>
      <c r="F999" t="inlineStr">
        <is>
          <t>Nursing practice and outcomes measurement / the Joint Commission.</t>
        </is>
      </c>
      <c r="H999" t="inlineStr">
        <is>
          <t>No</t>
        </is>
      </c>
      <c r="I999" t="inlineStr">
        <is>
          <t>1</t>
        </is>
      </c>
      <c r="J999" t="inlineStr">
        <is>
          <t>No</t>
        </is>
      </c>
      <c r="K999" t="inlineStr">
        <is>
          <t>No</t>
        </is>
      </c>
      <c r="L999" t="inlineStr">
        <is>
          <t>0</t>
        </is>
      </c>
      <c r="N999" t="inlineStr">
        <is>
          <t>Oakbrook Terrace, IL : Joint Commission on Accreditation of Healthcare Organizations, c1997.</t>
        </is>
      </c>
      <c r="O999" t="inlineStr">
        <is>
          <t>1997</t>
        </is>
      </c>
      <c r="Q999" t="inlineStr">
        <is>
          <t>eng</t>
        </is>
      </c>
      <c r="R999" t="inlineStr">
        <is>
          <t>ilu</t>
        </is>
      </c>
      <c r="T999" t="inlineStr">
        <is>
          <t xml:space="preserve">WY </t>
        </is>
      </c>
      <c r="U999" t="n">
        <v>7</v>
      </c>
      <c r="V999" t="n">
        <v>7</v>
      </c>
      <c r="W999" t="inlineStr">
        <is>
          <t>2002-10-23</t>
        </is>
      </c>
      <c r="X999" t="inlineStr">
        <is>
          <t>2002-10-23</t>
        </is>
      </c>
      <c r="Y999" t="inlineStr">
        <is>
          <t>1997-12-18</t>
        </is>
      </c>
      <c r="Z999" t="inlineStr">
        <is>
          <t>1997-12-18</t>
        </is>
      </c>
      <c r="AA999" t="n">
        <v>84</v>
      </c>
      <c r="AB999" t="n">
        <v>79</v>
      </c>
      <c r="AC999" t="n">
        <v>82</v>
      </c>
      <c r="AD999" t="n">
        <v>1</v>
      </c>
      <c r="AE999" t="n">
        <v>1</v>
      </c>
      <c r="AF999" t="n">
        <v>3</v>
      </c>
      <c r="AG999" t="n">
        <v>3</v>
      </c>
      <c r="AH999" t="n">
        <v>2</v>
      </c>
      <c r="AI999" t="n">
        <v>2</v>
      </c>
      <c r="AJ999" t="n">
        <v>0</v>
      </c>
      <c r="AK999" t="n">
        <v>0</v>
      </c>
      <c r="AL999" t="n">
        <v>2</v>
      </c>
      <c r="AM999" t="n">
        <v>2</v>
      </c>
      <c r="AN999" t="n">
        <v>0</v>
      </c>
      <c r="AO999" t="n">
        <v>0</v>
      </c>
      <c r="AP999" t="n">
        <v>0</v>
      </c>
      <c r="AQ999" t="n">
        <v>0</v>
      </c>
      <c r="AR999" t="inlineStr">
        <is>
          <t>No</t>
        </is>
      </c>
      <c r="AS999" t="inlineStr">
        <is>
          <t>Yes</t>
        </is>
      </c>
      <c r="AT999">
        <f>HYPERLINK("http://catalog.hathitrust.org/Record/100071913","HathiTrust Record")</f>
        <v/>
      </c>
      <c r="AU999">
        <f>HYPERLINK("https://creighton-primo.hosted.exlibrisgroup.com/primo-explore/search?tab=default_tab&amp;search_scope=EVERYTHING&amp;vid=01CRU&amp;lang=en_US&amp;offset=0&amp;query=any,contains,991001563499702656","Catalog Record")</f>
        <v/>
      </c>
      <c r="AV999">
        <f>HYPERLINK("http://www.worldcat.org/oclc/35657911","WorldCat Record")</f>
        <v/>
      </c>
      <c r="AW999" t="inlineStr">
        <is>
          <t>40154391:eng</t>
        </is>
      </c>
      <c r="AX999" t="inlineStr">
        <is>
          <t>35657911</t>
        </is>
      </c>
      <c r="AY999" t="inlineStr">
        <is>
          <t>991001563499702656</t>
        </is>
      </c>
      <c r="AZ999" t="inlineStr">
        <is>
          <t>991001563499702656</t>
        </is>
      </c>
      <c r="BA999" t="inlineStr">
        <is>
          <t>2256887480002656</t>
        </is>
      </c>
      <c r="BB999" t="inlineStr">
        <is>
          <t>BOOK</t>
        </is>
      </c>
      <c r="BD999" t="inlineStr">
        <is>
          <t>9780866884990</t>
        </is>
      </c>
      <c r="BE999" t="inlineStr">
        <is>
          <t>30001003605039</t>
        </is>
      </c>
      <c r="BF999" t="inlineStr">
        <is>
          <t>893826871</t>
        </is>
      </c>
    </row>
    <row r="1000">
      <c r="A1000" t="inlineStr">
        <is>
          <t>No</t>
        </is>
      </c>
      <c r="B1000" t="inlineStr">
        <is>
          <t>CUHSL</t>
        </is>
      </c>
      <c r="C1000" t="inlineStr">
        <is>
          <t>SHELVES</t>
        </is>
      </c>
      <c r="D1000" t="inlineStr">
        <is>
          <t>WY 100 N976 1978</t>
        </is>
      </c>
      <c r="E1000" t="inlineStr">
        <is>
          <t>0                      WY 0100000N  976         1978</t>
        </is>
      </c>
      <c r="F1000" t="inlineStr">
        <is>
          <t>The nursing process : assessing, planning, implementing, evaluating / Helen Yura, Mary B. Walsh.</t>
        </is>
      </c>
      <c r="H1000" t="inlineStr">
        <is>
          <t>No</t>
        </is>
      </c>
      <c r="I1000" t="inlineStr">
        <is>
          <t>1</t>
        </is>
      </c>
      <c r="J1000" t="inlineStr">
        <is>
          <t>No</t>
        </is>
      </c>
      <c r="K1000" t="inlineStr">
        <is>
          <t>Yes</t>
        </is>
      </c>
      <c r="L1000" t="inlineStr">
        <is>
          <t>0</t>
        </is>
      </c>
      <c r="N1000" t="inlineStr">
        <is>
          <t>-- New York : Appleton-Century-Crofts, 1978.</t>
        </is>
      </c>
      <c r="O1000" t="inlineStr">
        <is>
          <t>1978</t>
        </is>
      </c>
      <c r="P1000" t="inlineStr">
        <is>
          <t>-- 3d ed.</t>
        </is>
      </c>
      <c r="Q1000" t="inlineStr">
        <is>
          <t>eng</t>
        </is>
      </c>
      <c r="R1000" t="inlineStr">
        <is>
          <t>nyu</t>
        </is>
      </c>
      <c r="T1000" t="inlineStr">
        <is>
          <t xml:space="preserve">WY </t>
        </is>
      </c>
      <c r="U1000" t="n">
        <v>6</v>
      </c>
      <c r="V1000" t="n">
        <v>6</v>
      </c>
      <c r="W1000" t="inlineStr">
        <is>
          <t>1989-07-09</t>
        </is>
      </c>
      <c r="X1000" t="inlineStr">
        <is>
          <t>1989-07-09</t>
        </is>
      </c>
      <c r="Y1000" t="inlineStr">
        <is>
          <t>1987-12-29</t>
        </is>
      </c>
      <c r="Z1000" t="inlineStr">
        <is>
          <t>1987-12-29</t>
        </is>
      </c>
      <c r="AA1000" t="n">
        <v>257</v>
      </c>
      <c r="AB1000" t="n">
        <v>176</v>
      </c>
      <c r="AC1000" t="n">
        <v>512</v>
      </c>
      <c r="AD1000" t="n">
        <v>2</v>
      </c>
      <c r="AE1000" t="n">
        <v>5</v>
      </c>
      <c r="AF1000" t="n">
        <v>7</v>
      </c>
      <c r="AG1000" t="n">
        <v>22</v>
      </c>
      <c r="AH1000" t="n">
        <v>2</v>
      </c>
      <c r="AI1000" t="n">
        <v>8</v>
      </c>
      <c r="AJ1000" t="n">
        <v>1</v>
      </c>
      <c r="AK1000" t="n">
        <v>6</v>
      </c>
      <c r="AL1000" t="n">
        <v>4</v>
      </c>
      <c r="AM1000" t="n">
        <v>10</v>
      </c>
      <c r="AN1000" t="n">
        <v>1</v>
      </c>
      <c r="AO1000" t="n">
        <v>3</v>
      </c>
      <c r="AP1000" t="n">
        <v>0</v>
      </c>
      <c r="AQ1000" t="n">
        <v>0</v>
      </c>
      <c r="AR1000" t="inlineStr">
        <is>
          <t>No</t>
        </is>
      </c>
      <c r="AS1000" t="inlineStr">
        <is>
          <t>Yes</t>
        </is>
      </c>
      <c r="AT1000">
        <f>HYPERLINK("http://catalog.hathitrust.org/Record/000143088","HathiTrust Record")</f>
        <v/>
      </c>
      <c r="AU1000">
        <f>HYPERLINK("https://creighton-primo.hosted.exlibrisgroup.com/primo-explore/search?tab=default_tab&amp;search_scope=EVERYTHING&amp;vid=01CRU&amp;lang=en_US&amp;offset=0&amp;query=any,contains,991001148479702656","Catalog Record")</f>
        <v/>
      </c>
      <c r="AV1000">
        <f>HYPERLINK("http://www.worldcat.org/oclc/3904794","WorldCat Record")</f>
        <v/>
      </c>
      <c r="AW1000" t="inlineStr">
        <is>
          <t>1690448:eng</t>
        </is>
      </c>
      <c r="AX1000" t="inlineStr">
        <is>
          <t>3904794</t>
        </is>
      </c>
      <c r="AY1000" t="inlineStr">
        <is>
          <t>991001148479702656</t>
        </is>
      </c>
      <c r="AZ1000" t="inlineStr">
        <is>
          <t>991001148479702656</t>
        </is>
      </c>
      <c r="BA1000" t="inlineStr">
        <is>
          <t>2261949570002656</t>
        </is>
      </c>
      <c r="BB1000" t="inlineStr">
        <is>
          <t>BOOK</t>
        </is>
      </c>
      <c r="BD1000" t="inlineStr">
        <is>
          <t>9780838570326</t>
        </is>
      </c>
      <c r="BE1000" t="inlineStr">
        <is>
          <t>30001000295065</t>
        </is>
      </c>
      <c r="BF1000" t="inlineStr">
        <is>
          <t>893638077</t>
        </is>
      </c>
    </row>
    <row r="1001">
      <c r="A1001" t="inlineStr">
        <is>
          <t>No</t>
        </is>
      </c>
      <c r="B1001" t="inlineStr">
        <is>
          <t>CUHSL</t>
        </is>
      </c>
      <c r="C1001" t="inlineStr">
        <is>
          <t>SHELVES</t>
        </is>
      </c>
      <c r="D1001" t="inlineStr">
        <is>
          <t>WY 100 N976 1979</t>
        </is>
      </c>
      <c r="E1001" t="inlineStr">
        <is>
          <t>0                      WY 0100000N  976         1979</t>
        </is>
      </c>
      <c r="F1001" t="inlineStr">
        <is>
          <t>The nursing process : a humanistic approach / Elaine Lynne La Monica.</t>
        </is>
      </c>
      <c r="H1001" t="inlineStr">
        <is>
          <t>No</t>
        </is>
      </c>
      <c r="I1001" t="inlineStr">
        <is>
          <t>1</t>
        </is>
      </c>
      <c r="J1001" t="inlineStr">
        <is>
          <t>No</t>
        </is>
      </c>
      <c r="K1001" t="inlineStr">
        <is>
          <t>No</t>
        </is>
      </c>
      <c r="L1001" t="inlineStr">
        <is>
          <t>0</t>
        </is>
      </c>
      <c r="N1001" t="inlineStr">
        <is>
          <t>Menlo Park, Calif. : Addison-Wesley Pub. Co., Medical/Nursing Division, c1979.</t>
        </is>
      </c>
      <c r="O1001" t="inlineStr">
        <is>
          <t>1979</t>
        </is>
      </c>
      <c r="Q1001" t="inlineStr">
        <is>
          <t>eng</t>
        </is>
      </c>
      <c r="R1001" t="inlineStr">
        <is>
          <t>cau</t>
        </is>
      </c>
      <c r="T1001" t="inlineStr">
        <is>
          <t xml:space="preserve">WY </t>
        </is>
      </c>
      <c r="U1001" t="n">
        <v>5</v>
      </c>
      <c r="V1001" t="n">
        <v>5</v>
      </c>
      <c r="W1001" t="inlineStr">
        <is>
          <t>1990-12-18</t>
        </is>
      </c>
      <c r="X1001" t="inlineStr">
        <is>
          <t>1990-12-18</t>
        </is>
      </c>
      <c r="Y1001" t="inlineStr">
        <is>
          <t>1987-10-22</t>
        </is>
      </c>
      <c r="Z1001" t="inlineStr">
        <is>
          <t>1987-10-22</t>
        </is>
      </c>
      <c r="AA1001" t="n">
        <v>266</v>
      </c>
      <c r="AB1001" t="n">
        <v>189</v>
      </c>
      <c r="AC1001" t="n">
        <v>196</v>
      </c>
      <c r="AD1001" t="n">
        <v>2</v>
      </c>
      <c r="AE1001" t="n">
        <v>2</v>
      </c>
      <c r="AF1001" t="n">
        <v>7</v>
      </c>
      <c r="AG1001" t="n">
        <v>7</v>
      </c>
      <c r="AH1001" t="n">
        <v>2</v>
      </c>
      <c r="AI1001" t="n">
        <v>2</v>
      </c>
      <c r="AJ1001" t="n">
        <v>1</v>
      </c>
      <c r="AK1001" t="n">
        <v>1</v>
      </c>
      <c r="AL1001" t="n">
        <v>4</v>
      </c>
      <c r="AM1001" t="n">
        <v>4</v>
      </c>
      <c r="AN1001" t="n">
        <v>1</v>
      </c>
      <c r="AO1001" t="n">
        <v>1</v>
      </c>
      <c r="AP1001" t="n">
        <v>0</v>
      </c>
      <c r="AQ1001" t="n">
        <v>0</v>
      </c>
      <c r="AR1001" t="inlineStr">
        <is>
          <t>No</t>
        </is>
      </c>
      <c r="AS1001" t="inlineStr">
        <is>
          <t>Yes</t>
        </is>
      </c>
      <c r="AT1001">
        <f>HYPERLINK("http://catalog.hathitrust.org/Record/000716803","HathiTrust Record")</f>
        <v/>
      </c>
      <c r="AU1001">
        <f>HYPERLINK("https://creighton-primo.hosted.exlibrisgroup.com/primo-explore/search?tab=default_tab&amp;search_scope=EVERYTHING&amp;vid=01CRU&amp;lang=en_US&amp;offset=0&amp;query=any,contains,991000737289702656","Catalog Record")</f>
        <v/>
      </c>
      <c r="AV1001">
        <f>HYPERLINK("http://www.worldcat.org/oclc/4639119","WorldCat Record")</f>
        <v/>
      </c>
      <c r="AW1001" t="inlineStr">
        <is>
          <t>425582427:eng</t>
        </is>
      </c>
      <c r="AX1001" t="inlineStr">
        <is>
          <t>4639119</t>
        </is>
      </c>
      <c r="AY1001" t="inlineStr">
        <is>
          <t>991000737289702656</t>
        </is>
      </c>
      <c r="AZ1001" t="inlineStr">
        <is>
          <t>991000737289702656</t>
        </is>
      </c>
      <c r="BA1001" t="inlineStr">
        <is>
          <t>2255454580002656</t>
        </is>
      </c>
      <c r="BB1001" t="inlineStr">
        <is>
          <t>BOOK</t>
        </is>
      </c>
      <c r="BD1001" t="inlineStr">
        <is>
          <t>9780201041385</t>
        </is>
      </c>
      <c r="BE1001" t="inlineStr">
        <is>
          <t>30001000042111</t>
        </is>
      </c>
      <c r="BF1001" t="inlineStr">
        <is>
          <t>893286912</t>
        </is>
      </c>
    </row>
    <row r="1002">
      <c r="A1002" t="inlineStr">
        <is>
          <t>No</t>
        </is>
      </c>
      <c r="B1002" t="inlineStr">
        <is>
          <t>CUHSL</t>
        </is>
      </c>
      <c r="C1002" t="inlineStr">
        <is>
          <t>SHELVES</t>
        </is>
      </c>
      <c r="D1002" t="inlineStr">
        <is>
          <t>WY 100 O66n 1995</t>
        </is>
      </c>
      <c r="E1002" t="inlineStr">
        <is>
          <t>0                      WY 0100000O  66n         1995</t>
        </is>
      </c>
      <c r="F1002" t="inlineStr">
        <is>
          <t>Nursing : concepts of practice / Dorothea E. Orem ; with a contributed chapter by Susan G. Taylor and Kathie McLaughlin Renpenning.</t>
        </is>
      </c>
      <c r="H1002" t="inlineStr">
        <is>
          <t>No</t>
        </is>
      </c>
      <c r="I1002" t="inlineStr">
        <is>
          <t>1</t>
        </is>
      </c>
      <c r="J1002" t="inlineStr">
        <is>
          <t>No</t>
        </is>
      </c>
      <c r="K1002" t="inlineStr">
        <is>
          <t>No</t>
        </is>
      </c>
      <c r="L1002" t="inlineStr">
        <is>
          <t>0</t>
        </is>
      </c>
      <c r="M1002" t="inlineStr">
        <is>
          <t>Orem, Dorothea E. (Dorothea Elizabeth), 1914-2007.</t>
        </is>
      </c>
      <c r="N1002" t="inlineStr">
        <is>
          <t>St. Louis : Mosby, c1995.</t>
        </is>
      </c>
      <c r="O1002" t="inlineStr">
        <is>
          <t>1995</t>
        </is>
      </c>
      <c r="P1002" t="inlineStr">
        <is>
          <t>5th ed.</t>
        </is>
      </c>
      <c r="Q1002" t="inlineStr">
        <is>
          <t>eng</t>
        </is>
      </c>
      <c r="R1002" t="inlineStr">
        <is>
          <t>mou</t>
        </is>
      </c>
      <c r="T1002" t="inlineStr">
        <is>
          <t xml:space="preserve">WY </t>
        </is>
      </c>
      <c r="U1002" t="n">
        <v>8</v>
      </c>
      <c r="V1002" t="n">
        <v>8</v>
      </c>
      <c r="W1002" t="inlineStr">
        <is>
          <t>2005-09-06</t>
        </is>
      </c>
      <c r="X1002" t="inlineStr">
        <is>
          <t>2005-09-06</t>
        </is>
      </c>
      <c r="Y1002" t="inlineStr">
        <is>
          <t>1997-09-29</t>
        </is>
      </c>
      <c r="Z1002" t="inlineStr">
        <is>
          <t>1997-09-29</t>
        </is>
      </c>
      <c r="AA1002" t="n">
        <v>403</v>
      </c>
      <c r="AB1002" t="n">
        <v>279</v>
      </c>
      <c r="AC1002" t="n">
        <v>947</v>
      </c>
      <c r="AD1002" t="n">
        <v>3</v>
      </c>
      <c r="AE1002" t="n">
        <v>10</v>
      </c>
      <c r="AF1002" t="n">
        <v>9</v>
      </c>
      <c r="AG1002" t="n">
        <v>36</v>
      </c>
      <c r="AH1002" t="n">
        <v>2</v>
      </c>
      <c r="AI1002" t="n">
        <v>16</v>
      </c>
      <c r="AJ1002" t="n">
        <v>1</v>
      </c>
      <c r="AK1002" t="n">
        <v>6</v>
      </c>
      <c r="AL1002" t="n">
        <v>6</v>
      </c>
      <c r="AM1002" t="n">
        <v>14</v>
      </c>
      <c r="AN1002" t="n">
        <v>2</v>
      </c>
      <c r="AO1002" t="n">
        <v>7</v>
      </c>
      <c r="AP1002" t="n">
        <v>0</v>
      </c>
      <c r="AQ1002" t="n">
        <v>0</v>
      </c>
      <c r="AR1002" t="inlineStr">
        <is>
          <t>No</t>
        </is>
      </c>
      <c r="AS1002" t="inlineStr">
        <is>
          <t>Yes</t>
        </is>
      </c>
      <c r="AT1002">
        <f>HYPERLINK("http://catalog.hathitrust.org/Record/002958594","HathiTrust Record")</f>
        <v/>
      </c>
      <c r="AU1002">
        <f>HYPERLINK("https://creighton-primo.hosted.exlibrisgroup.com/primo-explore/search?tab=default_tab&amp;search_scope=EVERYTHING&amp;vid=01CRU&amp;lang=en_US&amp;offset=0&amp;query=any,contains,991001138439702656","Catalog Record")</f>
        <v/>
      </c>
      <c r="AV1002">
        <f>HYPERLINK("http://www.worldcat.org/oclc/31737359","WorldCat Record")</f>
        <v/>
      </c>
      <c r="AW1002" t="inlineStr">
        <is>
          <t>4543218:eng</t>
        </is>
      </c>
      <c r="AX1002" t="inlineStr">
        <is>
          <t>31737359</t>
        </is>
      </c>
      <c r="AY1002" t="inlineStr">
        <is>
          <t>991001138439702656</t>
        </is>
      </c>
      <c r="AZ1002" t="inlineStr">
        <is>
          <t>991001138439702656</t>
        </is>
      </c>
      <c r="BA1002" t="inlineStr">
        <is>
          <t>2263553910002656</t>
        </is>
      </c>
      <c r="BB1002" t="inlineStr">
        <is>
          <t>BOOK</t>
        </is>
      </c>
      <c r="BD1002" t="inlineStr">
        <is>
          <t>9780815165521</t>
        </is>
      </c>
      <c r="BE1002" t="inlineStr">
        <is>
          <t>30001003627751</t>
        </is>
      </c>
      <c r="BF1002" t="inlineStr">
        <is>
          <t>893541047</t>
        </is>
      </c>
    </row>
    <row r="1003">
      <c r="A1003" t="inlineStr">
        <is>
          <t>No</t>
        </is>
      </c>
      <c r="B1003" t="inlineStr">
        <is>
          <t>CUHSL</t>
        </is>
      </c>
      <c r="C1003" t="inlineStr">
        <is>
          <t>SHELVES</t>
        </is>
      </c>
      <c r="D1003" t="inlineStr">
        <is>
          <t>WY 100 O74e 1983</t>
        </is>
      </c>
      <c r="E1003" t="inlineStr">
        <is>
          <t>0                      WY 0100000O  74e         1983</t>
        </is>
      </c>
      <c r="F1003" t="inlineStr">
        <is>
          <t>Ethnic nursing care : a multicultural approach / Modesta Soberano Orque, Bobbie Bloch, Lidia S. Ahumada Monrroy.</t>
        </is>
      </c>
      <c r="H1003" t="inlineStr">
        <is>
          <t>No</t>
        </is>
      </c>
      <c r="I1003" t="inlineStr">
        <is>
          <t>1</t>
        </is>
      </c>
      <c r="J1003" t="inlineStr">
        <is>
          <t>No</t>
        </is>
      </c>
      <c r="K1003" t="inlineStr">
        <is>
          <t>No</t>
        </is>
      </c>
      <c r="L1003" t="inlineStr">
        <is>
          <t>0</t>
        </is>
      </c>
      <c r="M1003" t="inlineStr">
        <is>
          <t>Orque, Modesta Soberano.</t>
        </is>
      </c>
      <c r="N1003" t="inlineStr">
        <is>
          <t>St. Louis : Mosby, c1983.</t>
        </is>
      </c>
      <c r="O1003" t="inlineStr">
        <is>
          <t>1983</t>
        </is>
      </c>
      <c r="Q1003" t="inlineStr">
        <is>
          <t>eng</t>
        </is>
      </c>
      <c r="R1003" t="inlineStr">
        <is>
          <t>xxu</t>
        </is>
      </c>
      <c r="T1003" t="inlineStr">
        <is>
          <t xml:space="preserve">WY </t>
        </is>
      </c>
      <c r="U1003" t="n">
        <v>8</v>
      </c>
      <c r="V1003" t="n">
        <v>8</v>
      </c>
      <c r="W1003" t="inlineStr">
        <is>
          <t>1995-10-30</t>
        </is>
      </c>
      <c r="X1003" t="inlineStr">
        <is>
          <t>1995-10-30</t>
        </is>
      </c>
      <c r="Y1003" t="inlineStr">
        <is>
          <t>1987-10-22</t>
        </is>
      </c>
      <c r="Z1003" t="inlineStr">
        <is>
          <t>1987-10-22</t>
        </is>
      </c>
      <c r="AA1003" t="n">
        <v>372</v>
      </c>
      <c r="AB1003" t="n">
        <v>318</v>
      </c>
      <c r="AC1003" t="n">
        <v>320</v>
      </c>
      <c r="AD1003" t="n">
        <v>5</v>
      </c>
      <c r="AE1003" t="n">
        <v>5</v>
      </c>
      <c r="AF1003" t="n">
        <v>20</v>
      </c>
      <c r="AG1003" t="n">
        <v>20</v>
      </c>
      <c r="AH1003" t="n">
        <v>8</v>
      </c>
      <c r="AI1003" t="n">
        <v>8</v>
      </c>
      <c r="AJ1003" t="n">
        <v>4</v>
      </c>
      <c r="AK1003" t="n">
        <v>4</v>
      </c>
      <c r="AL1003" t="n">
        <v>8</v>
      </c>
      <c r="AM1003" t="n">
        <v>8</v>
      </c>
      <c r="AN1003" t="n">
        <v>3</v>
      </c>
      <c r="AO1003" t="n">
        <v>3</v>
      </c>
      <c r="AP1003" t="n">
        <v>0</v>
      </c>
      <c r="AQ1003" t="n">
        <v>0</v>
      </c>
      <c r="AR1003" t="inlineStr">
        <is>
          <t>No</t>
        </is>
      </c>
      <c r="AS1003" t="inlineStr">
        <is>
          <t>Yes</t>
        </is>
      </c>
      <c r="AT1003">
        <f>HYPERLINK("http://catalog.hathitrust.org/Record/000153451","HathiTrust Record")</f>
        <v/>
      </c>
      <c r="AU1003">
        <f>HYPERLINK("https://creighton-primo.hosted.exlibrisgroup.com/primo-explore/search?tab=default_tab&amp;search_scope=EVERYTHING&amp;vid=01CRU&amp;lang=en_US&amp;offset=0&amp;query=any,contains,991000737249702656","Catalog Record")</f>
        <v/>
      </c>
      <c r="AV1003">
        <f>HYPERLINK("http://www.worldcat.org/oclc/8475542","WorldCat Record")</f>
        <v/>
      </c>
      <c r="AW1003" t="inlineStr">
        <is>
          <t>196504330:eng</t>
        </is>
      </c>
      <c r="AX1003" t="inlineStr">
        <is>
          <t>8475542</t>
        </is>
      </c>
      <c r="AY1003" t="inlineStr">
        <is>
          <t>991000737249702656</t>
        </is>
      </c>
      <c r="AZ1003" t="inlineStr">
        <is>
          <t>991000737249702656</t>
        </is>
      </c>
      <c r="BA1003" t="inlineStr">
        <is>
          <t>2271480790002656</t>
        </is>
      </c>
      <c r="BB1003" t="inlineStr">
        <is>
          <t>BOOK</t>
        </is>
      </c>
      <c r="BD1003" t="inlineStr">
        <is>
          <t>9780801637421</t>
        </is>
      </c>
      <c r="BE1003" t="inlineStr">
        <is>
          <t>30001000042095</t>
        </is>
      </c>
      <c r="BF1003" t="inlineStr">
        <is>
          <t>893283580</t>
        </is>
      </c>
    </row>
    <row r="1004">
      <c r="A1004" t="inlineStr">
        <is>
          <t>No</t>
        </is>
      </c>
      <c r="B1004" t="inlineStr">
        <is>
          <t>CUHSL</t>
        </is>
      </c>
      <c r="C1004" t="inlineStr">
        <is>
          <t>SHELVES</t>
        </is>
      </c>
      <c r="D1004" t="inlineStr">
        <is>
          <t>WY 100 P144 1985</t>
        </is>
      </c>
      <c r="E1004" t="inlineStr">
        <is>
          <t>0                      WY 0100000P  144         1985</t>
        </is>
      </c>
      <c r="F1004" t="inlineStr">
        <is>
          <t>Pain.</t>
        </is>
      </c>
      <c r="H1004" t="inlineStr">
        <is>
          <t>No</t>
        </is>
      </c>
      <c r="I1004" t="inlineStr">
        <is>
          <t>1</t>
        </is>
      </c>
      <c r="J1004" t="inlineStr">
        <is>
          <t>No</t>
        </is>
      </c>
      <c r="K1004" t="inlineStr">
        <is>
          <t>No</t>
        </is>
      </c>
      <c r="L1004" t="inlineStr">
        <is>
          <t>0</t>
        </is>
      </c>
      <c r="N1004" t="inlineStr">
        <is>
          <t>Springhouse, Pa. : Springhouse Corp., c1985.</t>
        </is>
      </c>
      <c r="O1004" t="inlineStr">
        <is>
          <t>1985</t>
        </is>
      </c>
      <c r="Q1004" t="inlineStr">
        <is>
          <t>eng</t>
        </is>
      </c>
      <c r="R1004" t="inlineStr">
        <is>
          <t>xxu</t>
        </is>
      </c>
      <c r="S1004" t="inlineStr">
        <is>
          <t>Nursing now</t>
        </is>
      </c>
      <c r="T1004" t="inlineStr">
        <is>
          <t xml:space="preserve">WY </t>
        </is>
      </c>
      <c r="U1004" t="n">
        <v>3</v>
      </c>
      <c r="V1004" t="n">
        <v>3</v>
      </c>
      <c r="W1004" t="inlineStr">
        <is>
          <t>1992-02-15</t>
        </is>
      </c>
      <c r="X1004" t="inlineStr">
        <is>
          <t>1992-02-15</t>
        </is>
      </c>
      <c r="Y1004" t="inlineStr">
        <is>
          <t>1990-10-23</t>
        </is>
      </c>
      <c r="Z1004" t="inlineStr">
        <is>
          <t>1990-10-23</t>
        </is>
      </c>
      <c r="AA1004" t="n">
        <v>320</v>
      </c>
      <c r="AB1004" t="n">
        <v>288</v>
      </c>
      <c r="AC1004" t="n">
        <v>295</v>
      </c>
      <c r="AD1004" t="n">
        <v>3</v>
      </c>
      <c r="AE1004" t="n">
        <v>3</v>
      </c>
      <c r="AF1004" t="n">
        <v>7</v>
      </c>
      <c r="AG1004" t="n">
        <v>7</v>
      </c>
      <c r="AH1004" t="n">
        <v>1</v>
      </c>
      <c r="AI1004" t="n">
        <v>1</v>
      </c>
      <c r="AJ1004" t="n">
        <v>1</v>
      </c>
      <c r="AK1004" t="n">
        <v>1</v>
      </c>
      <c r="AL1004" t="n">
        <v>4</v>
      </c>
      <c r="AM1004" t="n">
        <v>4</v>
      </c>
      <c r="AN1004" t="n">
        <v>1</v>
      </c>
      <c r="AO1004" t="n">
        <v>1</v>
      </c>
      <c r="AP1004" t="n">
        <v>0</v>
      </c>
      <c r="AQ1004" t="n">
        <v>0</v>
      </c>
      <c r="AR1004" t="inlineStr">
        <is>
          <t>No</t>
        </is>
      </c>
      <c r="AS1004" t="inlineStr">
        <is>
          <t>Yes</t>
        </is>
      </c>
      <c r="AT1004">
        <f>HYPERLINK("http://catalog.hathitrust.org/Record/000625997","HathiTrust Record")</f>
        <v/>
      </c>
      <c r="AU1004">
        <f>HYPERLINK("https://creighton-primo.hosted.exlibrisgroup.com/primo-explore/search?tab=default_tab&amp;search_scope=EVERYTHING&amp;vid=01CRU&amp;lang=en_US&amp;offset=0&amp;query=any,contains,991000771349702656","Catalog Record")</f>
        <v/>
      </c>
      <c r="AV1004">
        <f>HYPERLINK("http://www.worldcat.org/oclc/11519030","WorldCat Record")</f>
        <v/>
      </c>
      <c r="AW1004" t="inlineStr">
        <is>
          <t>54682629:eng</t>
        </is>
      </c>
      <c r="AX1004" t="inlineStr">
        <is>
          <t>11519030</t>
        </is>
      </c>
      <c r="AY1004" t="inlineStr">
        <is>
          <t>991000771349702656</t>
        </is>
      </c>
      <c r="AZ1004" t="inlineStr">
        <is>
          <t>991000771349702656</t>
        </is>
      </c>
      <c r="BA1004" t="inlineStr">
        <is>
          <t>2261781230002656</t>
        </is>
      </c>
      <c r="BB1004" t="inlineStr">
        <is>
          <t>BOOK</t>
        </is>
      </c>
      <c r="BD1004" t="inlineStr">
        <is>
          <t>9780916730819</t>
        </is>
      </c>
      <c r="BE1004" t="inlineStr">
        <is>
          <t>30001002062208</t>
        </is>
      </c>
      <c r="BF1004" t="inlineStr">
        <is>
          <t>893459806</t>
        </is>
      </c>
    </row>
    <row r="1005">
      <c r="A1005" t="inlineStr">
        <is>
          <t>No</t>
        </is>
      </c>
      <c r="B1005" t="inlineStr">
        <is>
          <t>CUHSL</t>
        </is>
      </c>
      <c r="C1005" t="inlineStr">
        <is>
          <t>SHELVES</t>
        </is>
      </c>
      <c r="D1005" t="inlineStr">
        <is>
          <t>WY100 P2937 2003</t>
        </is>
      </c>
      <c r="E1005" t="inlineStr">
        <is>
          <t>0                      WY 0100000P  2937        2003</t>
        </is>
      </c>
      <c r="F1005" t="inlineStr">
        <is>
          <t>Pathophysiological phenomena in nursing : human responses to illness / Virginia Carrieri-Kohlman, Ada M. Lindsey, Claudia M. West.</t>
        </is>
      </c>
      <c r="H1005" t="inlineStr">
        <is>
          <t>No</t>
        </is>
      </c>
      <c r="I1005" t="inlineStr">
        <is>
          <t>1</t>
        </is>
      </c>
      <c r="J1005" t="inlineStr">
        <is>
          <t>No</t>
        </is>
      </c>
      <c r="K1005" t="inlineStr">
        <is>
          <t>No</t>
        </is>
      </c>
      <c r="L1005" t="inlineStr">
        <is>
          <t>0</t>
        </is>
      </c>
      <c r="N1005" t="inlineStr">
        <is>
          <t>Philadelphia : Saunders, c2003.</t>
        </is>
      </c>
      <c r="O1005" t="inlineStr">
        <is>
          <t>2003</t>
        </is>
      </c>
      <c r="P1005" t="inlineStr">
        <is>
          <t>3rd ed.</t>
        </is>
      </c>
      <c r="Q1005" t="inlineStr">
        <is>
          <t>eng</t>
        </is>
      </c>
      <c r="R1005" t="inlineStr">
        <is>
          <t>pau</t>
        </is>
      </c>
      <c r="T1005" t="inlineStr">
        <is>
          <t xml:space="preserve">WY </t>
        </is>
      </c>
      <c r="U1005" t="n">
        <v>7</v>
      </c>
      <c r="V1005" t="n">
        <v>7</v>
      </c>
      <c r="W1005" t="inlineStr">
        <is>
          <t>2008-11-14</t>
        </is>
      </c>
      <c r="X1005" t="inlineStr">
        <is>
          <t>2008-11-14</t>
        </is>
      </c>
      <c r="Y1005" t="inlineStr">
        <is>
          <t>2003-11-04</t>
        </is>
      </c>
      <c r="Z1005" t="inlineStr">
        <is>
          <t>2003-11-04</t>
        </is>
      </c>
      <c r="AA1005" t="n">
        <v>200</v>
      </c>
      <c r="AB1005" t="n">
        <v>133</v>
      </c>
      <c r="AC1005" t="n">
        <v>406</v>
      </c>
      <c r="AD1005" t="n">
        <v>3</v>
      </c>
      <c r="AE1005" t="n">
        <v>5</v>
      </c>
      <c r="AF1005" t="n">
        <v>13</v>
      </c>
      <c r="AG1005" t="n">
        <v>22</v>
      </c>
      <c r="AH1005" t="n">
        <v>2</v>
      </c>
      <c r="AI1005" t="n">
        <v>6</v>
      </c>
      <c r="AJ1005" t="n">
        <v>3</v>
      </c>
      <c r="AK1005" t="n">
        <v>5</v>
      </c>
      <c r="AL1005" t="n">
        <v>8</v>
      </c>
      <c r="AM1005" t="n">
        <v>12</v>
      </c>
      <c r="AN1005" t="n">
        <v>2</v>
      </c>
      <c r="AO1005" t="n">
        <v>4</v>
      </c>
      <c r="AP1005" t="n">
        <v>0</v>
      </c>
      <c r="AQ1005" t="n">
        <v>0</v>
      </c>
      <c r="AR1005" t="inlineStr">
        <is>
          <t>No</t>
        </is>
      </c>
      <c r="AS1005" t="inlineStr">
        <is>
          <t>Yes</t>
        </is>
      </c>
      <c r="AT1005">
        <f>HYPERLINK("http://catalog.hathitrust.org/Record/004324089","HathiTrust Record")</f>
        <v/>
      </c>
      <c r="AU1005">
        <f>HYPERLINK("https://creighton-primo.hosted.exlibrisgroup.com/primo-explore/search?tab=default_tab&amp;search_scope=EVERYTHING&amp;vid=01CRU&amp;lang=en_US&amp;offset=0&amp;query=any,contains,991000360079702656","Catalog Record")</f>
        <v/>
      </c>
      <c r="AV1005">
        <f>HYPERLINK("http://www.worldcat.org/oclc/50598137","WorldCat Record")</f>
        <v/>
      </c>
      <c r="AW1005" t="inlineStr">
        <is>
          <t>836751191:eng</t>
        </is>
      </c>
      <c r="AX1005" t="inlineStr">
        <is>
          <t>50598137</t>
        </is>
      </c>
      <c r="AY1005" t="inlineStr">
        <is>
          <t>991000360079702656</t>
        </is>
      </c>
      <c r="AZ1005" t="inlineStr">
        <is>
          <t>991000360079702656</t>
        </is>
      </c>
      <c r="BA1005" t="inlineStr">
        <is>
          <t>2265942830002656</t>
        </is>
      </c>
      <c r="BB1005" t="inlineStr">
        <is>
          <t>BOOK</t>
        </is>
      </c>
      <c r="BD1005" t="inlineStr">
        <is>
          <t>9780721684536</t>
        </is>
      </c>
      <c r="BE1005" t="inlineStr">
        <is>
          <t>30001004507630</t>
        </is>
      </c>
      <c r="BF1005" t="inlineStr">
        <is>
          <t>893644315</t>
        </is>
      </c>
    </row>
    <row r="1006">
      <c r="A1006" t="inlineStr">
        <is>
          <t>No</t>
        </is>
      </c>
      <c r="B1006" t="inlineStr">
        <is>
          <t>CUHSL</t>
        </is>
      </c>
      <c r="C1006" t="inlineStr">
        <is>
          <t>SHELVES</t>
        </is>
      </c>
      <c r="D1006" t="inlineStr">
        <is>
          <t>WY 100 P294 1997</t>
        </is>
      </c>
      <c r="E1006" t="inlineStr">
        <is>
          <t>0                      WY 0100000P  294         1997</t>
        </is>
      </c>
      <c r="F1006" t="inlineStr">
        <is>
          <t>Pathways of care / edited by Sue Johnson.</t>
        </is>
      </c>
      <c r="H1006" t="inlineStr">
        <is>
          <t>No</t>
        </is>
      </c>
      <c r="I1006" t="inlineStr">
        <is>
          <t>1</t>
        </is>
      </c>
      <c r="J1006" t="inlineStr">
        <is>
          <t>No</t>
        </is>
      </c>
      <c r="K1006" t="inlineStr">
        <is>
          <t>No</t>
        </is>
      </c>
      <c r="L1006" t="inlineStr">
        <is>
          <t>0</t>
        </is>
      </c>
      <c r="N1006" t="inlineStr">
        <is>
          <t>Cambridge, MA : Blackwell Science, c1997.</t>
        </is>
      </c>
      <c r="O1006" t="inlineStr">
        <is>
          <t>1997</t>
        </is>
      </c>
      <c r="Q1006" t="inlineStr">
        <is>
          <t>eng</t>
        </is>
      </c>
      <c r="R1006" t="inlineStr">
        <is>
          <t>mau</t>
        </is>
      </c>
      <c r="T1006" t="inlineStr">
        <is>
          <t xml:space="preserve">WY </t>
        </is>
      </c>
      <c r="U1006" t="n">
        <v>8</v>
      </c>
      <c r="V1006" t="n">
        <v>8</v>
      </c>
      <c r="W1006" t="inlineStr">
        <is>
          <t>2002-10-23</t>
        </is>
      </c>
      <c r="X1006" t="inlineStr">
        <is>
          <t>2002-10-23</t>
        </is>
      </c>
      <c r="Y1006" t="inlineStr">
        <is>
          <t>1999-04-13</t>
        </is>
      </c>
      <c r="Z1006" t="inlineStr">
        <is>
          <t>1999-04-13</t>
        </is>
      </c>
      <c r="AA1006" t="n">
        <v>137</v>
      </c>
      <c r="AB1006" t="n">
        <v>51</v>
      </c>
      <c r="AC1006" t="n">
        <v>80</v>
      </c>
      <c r="AD1006" t="n">
        <v>1</v>
      </c>
      <c r="AE1006" t="n">
        <v>1</v>
      </c>
      <c r="AF1006" t="n">
        <v>1</v>
      </c>
      <c r="AG1006" t="n">
        <v>2</v>
      </c>
      <c r="AH1006" t="n">
        <v>0</v>
      </c>
      <c r="AI1006" t="n">
        <v>1</v>
      </c>
      <c r="AJ1006" t="n">
        <v>0</v>
      </c>
      <c r="AK1006" t="n">
        <v>1</v>
      </c>
      <c r="AL1006" t="n">
        <v>1</v>
      </c>
      <c r="AM1006" t="n">
        <v>1</v>
      </c>
      <c r="AN1006" t="n">
        <v>0</v>
      </c>
      <c r="AO1006" t="n">
        <v>0</v>
      </c>
      <c r="AP1006" t="n">
        <v>0</v>
      </c>
      <c r="AQ1006" t="n">
        <v>0</v>
      </c>
      <c r="AR1006" t="inlineStr">
        <is>
          <t>No</t>
        </is>
      </c>
      <c r="AS1006" t="inlineStr">
        <is>
          <t>No</t>
        </is>
      </c>
      <c r="AU1006">
        <f>HYPERLINK("https://creighton-primo.hosted.exlibrisgroup.com/primo-explore/search?tab=default_tab&amp;search_scope=EVERYTHING&amp;vid=01CRU&amp;lang=en_US&amp;offset=0&amp;query=any,contains,991000783719702656","Catalog Record")</f>
        <v/>
      </c>
      <c r="AV1006">
        <f>HYPERLINK("http://www.worldcat.org/oclc/34996153","WorldCat Record")</f>
        <v/>
      </c>
      <c r="AW1006" t="inlineStr">
        <is>
          <t>56080833:eng</t>
        </is>
      </c>
      <c r="AX1006" t="inlineStr">
        <is>
          <t>34996153</t>
        </is>
      </c>
      <c r="AY1006" t="inlineStr">
        <is>
          <t>991000783719702656</t>
        </is>
      </c>
      <c r="AZ1006" t="inlineStr">
        <is>
          <t>991000783719702656</t>
        </is>
      </c>
      <c r="BA1006" t="inlineStr">
        <is>
          <t>2267640250002656</t>
        </is>
      </c>
      <c r="BB1006" t="inlineStr">
        <is>
          <t>BOOK</t>
        </is>
      </c>
      <c r="BD1006" t="inlineStr">
        <is>
          <t>9780632040766</t>
        </is>
      </c>
      <c r="BE1006" t="inlineStr">
        <is>
          <t>30001004071033</t>
        </is>
      </c>
      <c r="BF1006" t="inlineStr">
        <is>
          <t>893815434</t>
        </is>
      </c>
    </row>
    <row r="1007">
      <c r="A1007" t="inlineStr">
        <is>
          <t>No</t>
        </is>
      </c>
      <c r="B1007" t="inlineStr">
        <is>
          <t>CUHSL</t>
        </is>
      </c>
      <c r="C1007" t="inlineStr">
        <is>
          <t>SHELVES</t>
        </is>
      </c>
      <c r="D1007" t="inlineStr">
        <is>
          <t>WY 100 P295 1976</t>
        </is>
      </c>
      <c r="E1007" t="inlineStr">
        <is>
          <t>0                      WY 0100000P  295         1976</t>
        </is>
      </c>
      <c r="F1007" t="inlineStr">
        <is>
          <t>Pathways to quality care.</t>
        </is>
      </c>
      <c r="H1007" t="inlineStr">
        <is>
          <t>No</t>
        </is>
      </c>
      <c r="I1007" t="inlineStr">
        <is>
          <t>1</t>
        </is>
      </c>
      <c r="J1007" t="inlineStr">
        <is>
          <t>No</t>
        </is>
      </c>
      <c r="K1007" t="inlineStr">
        <is>
          <t>No</t>
        </is>
      </c>
      <c r="L1007" t="inlineStr">
        <is>
          <t>0</t>
        </is>
      </c>
      <c r="N1007" t="inlineStr">
        <is>
          <t>New York : National League for Nursing, c1976.</t>
        </is>
      </c>
      <c r="O1007" t="inlineStr">
        <is>
          <t>1976</t>
        </is>
      </c>
      <c r="Q1007" t="inlineStr">
        <is>
          <t>eng</t>
        </is>
      </c>
      <c r="R1007" t="inlineStr">
        <is>
          <t>xxu</t>
        </is>
      </c>
      <c r="S1007" t="inlineStr">
        <is>
          <t>NLN pub. no. 20-1636</t>
        </is>
      </c>
      <c r="T1007" t="inlineStr">
        <is>
          <t xml:space="preserve">WY </t>
        </is>
      </c>
      <c r="U1007" t="n">
        <v>3</v>
      </c>
      <c r="V1007" t="n">
        <v>3</v>
      </c>
      <c r="W1007" t="inlineStr">
        <is>
          <t>2003-02-17</t>
        </is>
      </c>
      <c r="X1007" t="inlineStr">
        <is>
          <t>2003-02-17</t>
        </is>
      </c>
      <c r="Y1007" t="inlineStr">
        <is>
          <t>1987-11-04</t>
        </is>
      </c>
      <c r="Z1007" t="inlineStr">
        <is>
          <t>1987-11-04</t>
        </is>
      </c>
      <c r="AA1007" t="n">
        <v>96</v>
      </c>
      <c r="AB1007" t="n">
        <v>84</v>
      </c>
      <c r="AC1007" t="n">
        <v>86</v>
      </c>
      <c r="AD1007" t="n">
        <v>2</v>
      </c>
      <c r="AE1007" t="n">
        <v>2</v>
      </c>
      <c r="AF1007" t="n">
        <v>3</v>
      </c>
      <c r="AG1007" t="n">
        <v>3</v>
      </c>
      <c r="AH1007" t="n">
        <v>0</v>
      </c>
      <c r="AI1007" t="n">
        <v>0</v>
      </c>
      <c r="AJ1007" t="n">
        <v>0</v>
      </c>
      <c r="AK1007" t="n">
        <v>0</v>
      </c>
      <c r="AL1007" t="n">
        <v>2</v>
      </c>
      <c r="AM1007" t="n">
        <v>2</v>
      </c>
      <c r="AN1007" t="n">
        <v>1</v>
      </c>
      <c r="AO1007" t="n">
        <v>1</v>
      </c>
      <c r="AP1007" t="n">
        <v>0</v>
      </c>
      <c r="AQ1007" t="n">
        <v>0</v>
      </c>
      <c r="AR1007" t="inlineStr">
        <is>
          <t>No</t>
        </is>
      </c>
      <c r="AS1007" t="inlineStr">
        <is>
          <t>Yes</t>
        </is>
      </c>
      <c r="AT1007">
        <f>HYPERLINK("http://catalog.hathitrust.org/Record/000214158","HathiTrust Record")</f>
        <v/>
      </c>
      <c r="AU1007">
        <f>HYPERLINK("https://creighton-primo.hosted.exlibrisgroup.com/primo-explore/search?tab=default_tab&amp;search_scope=EVERYTHING&amp;vid=01CRU&amp;lang=en_US&amp;offset=0&amp;query=any,contains,991001384739702656","Catalog Record")</f>
        <v/>
      </c>
      <c r="AV1007">
        <f>HYPERLINK("http://www.worldcat.org/oclc/2968286","WorldCat Record")</f>
        <v/>
      </c>
      <c r="AW1007" t="inlineStr">
        <is>
          <t>6642278:eng</t>
        </is>
      </c>
      <c r="AX1007" t="inlineStr">
        <is>
          <t>2968286</t>
        </is>
      </c>
      <c r="AY1007" t="inlineStr">
        <is>
          <t>991001384739702656</t>
        </is>
      </c>
      <c r="AZ1007" t="inlineStr">
        <is>
          <t>991001384739702656</t>
        </is>
      </c>
      <c r="BA1007" t="inlineStr">
        <is>
          <t>2265631860002656</t>
        </is>
      </c>
      <c r="BB1007" t="inlineStr">
        <is>
          <t>BOOK</t>
        </is>
      </c>
      <c r="BE1007" t="inlineStr">
        <is>
          <t>30001000463499</t>
        </is>
      </c>
      <c r="BF1007" t="inlineStr">
        <is>
          <t>893161927</t>
        </is>
      </c>
    </row>
    <row r="1008">
      <c r="A1008" t="inlineStr">
        <is>
          <t>No</t>
        </is>
      </c>
      <c r="B1008" t="inlineStr">
        <is>
          <t>CUHSL</t>
        </is>
      </c>
      <c r="C1008" t="inlineStr">
        <is>
          <t>SHELVES</t>
        </is>
      </c>
      <c r="D1008" t="inlineStr">
        <is>
          <t>WY 100 P297 1988</t>
        </is>
      </c>
      <c r="E1008" t="inlineStr">
        <is>
          <t>0                      WY 0100000P  297         1988</t>
        </is>
      </c>
      <c r="F1008" t="inlineStr">
        <is>
          <t>Patient care standards : nursing process, diagnosis, and outcome / Susan Martin Tucker ... [et al.].</t>
        </is>
      </c>
      <c r="H1008" t="inlineStr">
        <is>
          <t>No</t>
        </is>
      </c>
      <c r="I1008" t="inlineStr">
        <is>
          <t>1</t>
        </is>
      </c>
      <c r="J1008" t="inlineStr">
        <is>
          <t>No</t>
        </is>
      </c>
      <c r="K1008" t="inlineStr">
        <is>
          <t>No</t>
        </is>
      </c>
      <c r="L1008" t="inlineStr">
        <is>
          <t>0</t>
        </is>
      </c>
      <c r="N1008" t="inlineStr">
        <is>
          <t>St. Louis : Mosby, c1988.</t>
        </is>
      </c>
      <c r="O1008" t="inlineStr">
        <is>
          <t>1988</t>
        </is>
      </c>
      <c r="P1008" t="inlineStr">
        <is>
          <t>4th ed.</t>
        </is>
      </c>
      <c r="Q1008" t="inlineStr">
        <is>
          <t>eng</t>
        </is>
      </c>
      <c r="R1008" t="inlineStr">
        <is>
          <t>xxu</t>
        </is>
      </c>
      <c r="T1008" t="inlineStr">
        <is>
          <t xml:space="preserve">WY </t>
        </is>
      </c>
      <c r="U1008" t="n">
        <v>6</v>
      </c>
      <c r="V1008" t="n">
        <v>6</v>
      </c>
      <c r="W1008" t="inlineStr">
        <is>
          <t>2008-03-04</t>
        </is>
      </c>
      <c r="X1008" t="inlineStr">
        <is>
          <t>2008-03-04</t>
        </is>
      </c>
      <c r="Y1008" t="inlineStr">
        <is>
          <t>1988-04-29</t>
        </is>
      </c>
      <c r="Z1008" t="inlineStr">
        <is>
          <t>1988-04-29</t>
        </is>
      </c>
      <c r="AA1008" t="n">
        <v>318</v>
      </c>
      <c r="AB1008" t="n">
        <v>273</v>
      </c>
      <c r="AC1008" t="n">
        <v>490</v>
      </c>
      <c r="AD1008" t="n">
        <v>4</v>
      </c>
      <c r="AE1008" t="n">
        <v>4</v>
      </c>
      <c r="AF1008" t="n">
        <v>7</v>
      </c>
      <c r="AG1008" t="n">
        <v>11</v>
      </c>
      <c r="AH1008" t="n">
        <v>1</v>
      </c>
      <c r="AI1008" t="n">
        <v>2</v>
      </c>
      <c r="AJ1008" t="n">
        <v>1</v>
      </c>
      <c r="AK1008" t="n">
        <v>2</v>
      </c>
      <c r="AL1008" t="n">
        <v>4</v>
      </c>
      <c r="AM1008" t="n">
        <v>7</v>
      </c>
      <c r="AN1008" t="n">
        <v>2</v>
      </c>
      <c r="AO1008" t="n">
        <v>2</v>
      </c>
      <c r="AP1008" t="n">
        <v>0</v>
      </c>
      <c r="AQ1008" t="n">
        <v>0</v>
      </c>
      <c r="AR1008" t="inlineStr">
        <is>
          <t>No</t>
        </is>
      </c>
      <c r="AS1008" t="inlineStr">
        <is>
          <t>Yes</t>
        </is>
      </c>
      <c r="AT1008">
        <f>HYPERLINK("http://catalog.hathitrust.org/Record/000879388","HathiTrust Record")</f>
        <v/>
      </c>
      <c r="AU1008">
        <f>HYPERLINK("https://creighton-primo.hosted.exlibrisgroup.com/primo-explore/search?tab=default_tab&amp;search_scope=EVERYTHING&amp;vid=01CRU&amp;lang=en_US&amp;offset=0&amp;query=any,contains,991001189519702656","Catalog Record")</f>
        <v/>
      </c>
      <c r="AV1008">
        <f>HYPERLINK("http://www.worldcat.org/oclc/16802357","WorldCat Record")</f>
        <v/>
      </c>
      <c r="AW1008" t="inlineStr">
        <is>
          <t>3943313874:eng</t>
        </is>
      </c>
      <c r="AX1008" t="inlineStr">
        <is>
          <t>16802357</t>
        </is>
      </c>
      <c r="AY1008" t="inlineStr">
        <is>
          <t>991001189519702656</t>
        </is>
      </c>
      <c r="AZ1008" t="inlineStr">
        <is>
          <t>991001189519702656</t>
        </is>
      </c>
      <c r="BA1008" t="inlineStr">
        <is>
          <t>2262097650002656</t>
        </is>
      </c>
      <c r="BB1008" t="inlineStr">
        <is>
          <t>BOOK</t>
        </is>
      </c>
      <c r="BD1008" t="inlineStr">
        <is>
          <t>9780801651335</t>
        </is>
      </c>
      <c r="BE1008" t="inlineStr">
        <is>
          <t>30001000979015</t>
        </is>
      </c>
      <c r="BF1008" t="inlineStr">
        <is>
          <t>893369182</t>
        </is>
      </c>
    </row>
    <row r="1009">
      <c r="A1009" t="inlineStr">
        <is>
          <t>No</t>
        </is>
      </c>
      <c r="B1009" t="inlineStr">
        <is>
          <t>CUHSL</t>
        </is>
      </c>
      <c r="C1009" t="inlineStr">
        <is>
          <t>SHELVES</t>
        </is>
      </c>
      <c r="D1009" t="inlineStr">
        <is>
          <t>WY 100 P297 1996</t>
        </is>
      </c>
      <c r="E1009" t="inlineStr">
        <is>
          <t>0                      WY 0100000P  297         1996</t>
        </is>
      </c>
      <c r="F1009" t="inlineStr">
        <is>
          <t>Patient care standards : collaborative practice planning guides / Susan Martin Tucker ... [et al.].</t>
        </is>
      </c>
      <c r="H1009" t="inlineStr">
        <is>
          <t>No</t>
        </is>
      </c>
      <c r="I1009" t="inlineStr">
        <is>
          <t>1</t>
        </is>
      </c>
      <c r="J1009" t="inlineStr">
        <is>
          <t>No</t>
        </is>
      </c>
      <c r="K1009" t="inlineStr">
        <is>
          <t>No</t>
        </is>
      </c>
      <c r="L1009" t="inlineStr">
        <is>
          <t>0</t>
        </is>
      </c>
      <c r="N1009" t="inlineStr">
        <is>
          <t>St. Louis, Mo. : Mosby Year Book, c1996.</t>
        </is>
      </c>
      <c r="O1009" t="inlineStr">
        <is>
          <t>1996</t>
        </is>
      </c>
      <c r="P1009" t="inlineStr">
        <is>
          <t>6th ed.</t>
        </is>
      </c>
      <c r="Q1009" t="inlineStr">
        <is>
          <t>eng</t>
        </is>
      </c>
      <c r="R1009" t="inlineStr">
        <is>
          <t>mou</t>
        </is>
      </c>
      <c r="T1009" t="inlineStr">
        <is>
          <t xml:space="preserve">WY </t>
        </is>
      </c>
      <c r="U1009" t="n">
        <v>10</v>
      </c>
      <c r="V1009" t="n">
        <v>10</v>
      </c>
      <c r="W1009" t="inlineStr">
        <is>
          <t>2000-04-22</t>
        </is>
      </c>
      <c r="X1009" t="inlineStr">
        <is>
          <t>2000-04-22</t>
        </is>
      </c>
      <c r="Y1009" t="inlineStr">
        <is>
          <t>1997-06-04</t>
        </is>
      </c>
      <c r="Z1009" t="inlineStr">
        <is>
          <t>1997-06-04</t>
        </is>
      </c>
      <c r="AA1009" t="n">
        <v>353</v>
      </c>
      <c r="AB1009" t="n">
        <v>302</v>
      </c>
      <c r="AC1009" t="n">
        <v>309</v>
      </c>
      <c r="AD1009" t="n">
        <v>2</v>
      </c>
      <c r="AE1009" t="n">
        <v>2</v>
      </c>
      <c r="AF1009" t="n">
        <v>3</v>
      </c>
      <c r="AG1009" t="n">
        <v>3</v>
      </c>
      <c r="AH1009" t="n">
        <v>3</v>
      </c>
      <c r="AI1009" t="n">
        <v>3</v>
      </c>
      <c r="AJ1009" t="n">
        <v>0</v>
      </c>
      <c r="AK1009" t="n">
        <v>0</v>
      </c>
      <c r="AL1009" t="n">
        <v>2</v>
      </c>
      <c r="AM1009" t="n">
        <v>2</v>
      </c>
      <c r="AN1009" t="n">
        <v>0</v>
      </c>
      <c r="AO1009" t="n">
        <v>0</v>
      </c>
      <c r="AP1009" t="n">
        <v>0</v>
      </c>
      <c r="AQ1009" t="n">
        <v>0</v>
      </c>
      <c r="AR1009" t="inlineStr">
        <is>
          <t>No</t>
        </is>
      </c>
      <c r="AS1009" t="inlineStr">
        <is>
          <t>Yes</t>
        </is>
      </c>
      <c r="AT1009">
        <f>HYPERLINK("http://catalog.hathitrust.org/Record/003055311","HathiTrust Record")</f>
        <v/>
      </c>
      <c r="AU1009">
        <f>HYPERLINK("https://creighton-primo.hosted.exlibrisgroup.com/primo-explore/search?tab=default_tab&amp;search_scope=EVERYTHING&amp;vid=01CRU&amp;lang=en_US&amp;offset=0&amp;query=any,contains,991001249589702656","Catalog Record")</f>
        <v/>
      </c>
      <c r="AV1009">
        <f>HYPERLINK("http://www.worldcat.org/oclc/33838228","WorldCat Record")</f>
        <v/>
      </c>
      <c r="AW1009" t="inlineStr">
        <is>
          <t>3901555040:eng</t>
        </is>
      </c>
      <c r="AX1009" t="inlineStr">
        <is>
          <t>33838228</t>
        </is>
      </c>
      <c r="AY1009" t="inlineStr">
        <is>
          <t>991001249589702656</t>
        </is>
      </c>
      <c r="AZ1009" t="inlineStr">
        <is>
          <t>991001249589702656</t>
        </is>
      </c>
      <c r="BA1009" t="inlineStr">
        <is>
          <t>2259444800002656</t>
        </is>
      </c>
      <c r="BB1009" t="inlineStr">
        <is>
          <t>BOOK</t>
        </is>
      </c>
      <c r="BD1009" t="inlineStr">
        <is>
          <t>9780815188568</t>
        </is>
      </c>
      <c r="BE1009" t="inlineStr">
        <is>
          <t>30001003682558</t>
        </is>
      </c>
      <c r="BF1009" t="inlineStr">
        <is>
          <t>893273932</t>
        </is>
      </c>
    </row>
    <row r="1010">
      <c r="A1010" t="inlineStr">
        <is>
          <t>No</t>
        </is>
      </c>
      <c r="B1010" t="inlineStr">
        <is>
          <t>CUHSL</t>
        </is>
      </c>
      <c r="C1010" t="inlineStr">
        <is>
          <t>SHELVES</t>
        </is>
      </c>
      <c r="D1010" t="inlineStr">
        <is>
          <t>WY100 P297 2000</t>
        </is>
      </c>
      <c r="E1010" t="inlineStr">
        <is>
          <t>0                      WY 0100000P  297         2000</t>
        </is>
      </c>
      <c r="F1010" t="inlineStr">
        <is>
          <t>Patient care standards : collaborative planning and nursing interventions / Susan Martin Tucker ... [et al.].</t>
        </is>
      </c>
      <c r="H1010" t="inlineStr">
        <is>
          <t>No</t>
        </is>
      </c>
      <c r="I1010" t="inlineStr">
        <is>
          <t>1</t>
        </is>
      </c>
      <c r="J1010" t="inlineStr">
        <is>
          <t>No</t>
        </is>
      </c>
      <c r="K1010" t="inlineStr">
        <is>
          <t>Yes</t>
        </is>
      </c>
      <c r="L1010" t="inlineStr">
        <is>
          <t>0</t>
        </is>
      </c>
      <c r="N1010" t="inlineStr">
        <is>
          <t>St. Louis, Mo. : Mosby, c2000.</t>
        </is>
      </c>
      <c r="O1010" t="inlineStr">
        <is>
          <t>2000</t>
        </is>
      </c>
      <c r="P1010" t="inlineStr">
        <is>
          <t>7th ed.</t>
        </is>
      </c>
      <c r="Q1010" t="inlineStr">
        <is>
          <t>eng</t>
        </is>
      </c>
      <c r="R1010" t="inlineStr">
        <is>
          <t>mou</t>
        </is>
      </c>
      <c r="T1010" t="inlineStr">
        <is>
          <t xml:space="preserve">WY </t>
        </is>
      </c>
      <c r="U1010" t="n">
        <v>0</v>
      </c>
      <c r="V1010" t="n">
        <v>0</v>
      </c>
      <c r="W1010" t="inlineStr">
        <is>
          <t>2002-10-17</t>
        </is>
      </c>
      <c r="X1010" t="inlineStr">
        <is>
          <t>2002-10-17</t>
        </is>
      </c>
      <c r="Y1010" t="inlineStr">
        <is>
          <t>2002-06-11</t>
        </is>
      </c>
      <c r="Z1010" t="inlineStr">
        <is>
          <t>2002-06-11</t>
        </is>
      </c>
      <c r="AA1010" t="n">
        <v>524</v>
      </c>
      <c r="AB1010" t="n">
        <v>430</v>
      </c>
      <c r="AC1010" t="n">
        <v>703</v>
      </c>
      <c r="AD1010" t="n">
        <v>2</v>
      </c>
      <c r="AE1010" t="n">
        <v>5</v>
      </c>
      <c r="AF1010" t="n">
        <v>15</v>
      </c>
      <c r="AG1010" t="n">
        <v>21</v>
      </c>
      <c r="AH1010" t="n">
        <v>5</v>
      </c>
      <c r="AI1010" t="n">
        <v>6</v>
      </c>
      <c r="AJ1010" t="n">
        <v>3</v>
      </c>
      <c r="AK1010" t="n">
        <v>3</v>
      </c>
      <c r="AL1010" t="n">
        <v>8</v>
      </c>
      <c r="AM1010" t="n">
        <v>10</v>
      </c>
      <c r="AN1010" t="n">
        <v>1</v>
      </c>
      <c r="AO1010" t="n">
        <v>4</v>
      </c>
      <c r="AP1010" t="n">
        <v>0</v>
      </c>
      <c r="AQ1010" t="n">
        <v>0</v>
      </c>
      <c r="AR1010" t="inlineStr">
        <is>
          <t>No</t>
        </is>
      </c>
      <c r="AS1010" t="inlineStr">
        <is>
          <t>No</t>
        </is>
      </c>
      <c r="AU1010">
        <f>HYPERLINK("https://creighton-primo.hosted.exlibrisgroup.com/primo-explore/search?tab=default_tab&amp;search_scope=EVERYTHING&amp;vid=01CRU&amp;lang=en_US&amp;offset=0&amp;query=any,contains,991000313279702656","Catalog Record")</f>
        <v/>
      </c>
      <c r="AV1010">
        <f>HYPERLINK("http://www.worldcat.org/oclc/42022650","WorldCat Record")</f>
        <v/>
      </c>
      <c r="AW1010" t="inlineStr">
        <is>
          <t>1881846255:eng</t>
        </is>
      </c>
      <c r="AX1010" t="inlineStr">
        <is>
          <t>42022650</t>
        </is>
      </c>
      <c r="AY1010" t="inlineStr">
        <is>
          <t>991000313279702656</t>
        </is>
      </c>
      <c r="AZ1010" t="inlineStr">
        <is>
          <t>991000313279702656</t>
        </is>
      </c>
      <c r="BA1010" t="inlineStr">
        <is>
          <t>2266258290002656</t>
        </is>
      </c>
      <c r="BB1010" t="inlineStr">
        <is>
          <t>BOOK</t>
        </is>
      </c>
      <c r="BD1010" t="inlineStr">
        <is>
          <t>9780323009966</t>
        </is>
      </c>
      <c r="BE1010" t="inlineStr">
        <is>
          <t>30001004238764</t>
        </is>
      </c>
      <c r="BF1010" t="inlineStr">
        <is>
          <t>893375468</t>
        </is>
      </c>
    </row>
    <row r="1011">
      <c r="A1011" t="inlineStr">
        <is>
          <t>No</t>
        </is>
      </c>
      <c r="B1011" t="inlineStr">
        <is>
          <t>CUHSL</t>
        </is>
      </c>
      <c r="C1011" t="inlineStr">
        <is>
          <t>SHELVES</t>
        </is>
      </c>
      <c r="D1011" t="inlineStr">
        <is>
          <t>WY 100 P2975 1990</t>
        </is>
      </c>
      <c r="E1011" t="inlineStr">
        <is>
          <t>0                      WY 0100000P  2975        1990</t>
        </is>
      </c>
      <c r="F1011" t="inlineStr">
        <is>
          <t>Patient care delivery models / edited by Gloria Gilbert Mayer, Mary Jane Madden, Eunice Lawrenz.</t>
        </is>
      </c>
      <c r="H1011" t="inlineStr">
        <is>
          <t>No</t>
        </is>
      </c>
      <c r="I1011" t="inlineStr">
        <is>
          <t>1</t>
        </is>
      </c>
      <c r="J1011" t="inlineStr">
        <is>
          <t>No</t>
        </is>
      </c>
      <c r="K1011" t="inlineStr">
        <is>
          <t>No</t>
        </is>
      </c>
      <c r="L1011" t="inlineStr">
        <is>
          <t>0</t>
        </is>
      </c>
      <c r="N1011" t="inlineStr">
        <is>
          <t>Rockville, Md. : Aspen Publishers, c1990.</t>
        </is>
      </c>
      <c r="O1011" t="inlineStr">
        <is>
          <t>1990</t>
        </is>
      </c>
      <c r="Q1011" t="inlineStr">
        <is>
          <t>eng</t>
        </is>
      </c>
      <c r="R1011" t="inlineStr">
        <is>
          <t>xxu</t>
        </is>
      </c>
      <c r="T1011" t="inlineStr">
        <is>
          <t xml:space="preserve">WY </t>
        </is>
      </c>
      <c r="U1011" t="n">
        <v>13</v>
      </c>
      <c r="V1011" t="n">
        <v>13</v>
      </c>
      <c r="W1011" t="inlineStr">
        <is>
          <t>2002-09-26</t>
        </is>
      </c>
      <c r="X1011" t="inlineStr">
        <is>
          <t>2002-09-26</t>
        </is>
      </c>
      <c r="Y1011" t="inlineStr">
        <is>
          <t>1991-09-18</t>
        </is>
      </c>
      <c r="Z1011" t="inlineStr">
        <is>
          <t>1991-09-18</t>
        </is>
      </c>
      <c r="AA1011" t="n">
        <v>346</v>
      </c>
      <c r="AB1011" t="n">
        <v>300</v>
      </c>
      <c r="AC1011" t="n">
        <v>304</v>
      </c>
      <c r="AD1011" t="n">
        <v>1</v>
      </c>
      <c r="AE1011" t="n">
        <v>1</v>
      </c>
      <c r="AF1011" t="n">
        <v>14</v>
      </c>
      <c r="AG1011" t="n">
        <v>14</v>
      </c>
      <c r="AH1011" t="n">
        <v>3</v>
      </c>
      <c r="AI1011" t="n">
        <v>3</v>
      </c>
      <c r="AJ1011" t="n">
        <v>5</v>
      </c>
      <c r="AK1011" t="n">
        <v>5</v>
      </c>
      <c r="AL1011" t="n">
        <v>11</v>
      </c>
      <c r="AM1011" t="n">
        <v>11</v>
      </c>
      <c r="AN1011" t="n">
        <v>0</v>
      </c>
      <c r="AO1011" t="n">
        <v>0</v>
      </c>
      <c r="AP1011" t="n">
        <v>0</v>
      </c>
      <c r="AQ1011" t="n">
        <v>0</v>
      </c>
      <c r="AR1011" t="inlineStr">
        <is>
          <t>No</t>
        </is>
      </c>
      <c r="AS1011" t="inlineStr">
        <is>
          <t>Yes</t>
        </is>
      </c>
      <c r="AT1011">
        <f>HYPERLINK("http://catalog.hathitrust.org/Record/001823006","HathiTrust Record")</f>
        <v/>
      </c>
      <c r="AU1011">
        <f>HYPERLINK("https://creighton-primo.hosted.exlibrisgroup.com/primo-explore/search?tab=default_tab&amp;search_scope=EVERYTHING&amp;vid=01CRU&amp;lang=en_US&amp;offset=0&amp;query=any,contains,991000947389702656","Catalog Record")</f>
        <v/>
      </c>
      <c r="AV1011">
        <f>HYPERLINK("http://www.worldcat.org/oclc/20220542","WorldCat Record")</f>
        <v/>
      </c>
      <c r="AW1011" t="inlineStr">
        <is>
          <t>22163380:eng</t>
        </is>
      </c>
      <c r="AX1011" t="inlineStr">
        <is>
          <t>20220542</t>
        </is>
      </c>
      <c r="AY1011" t="inlineStr">
        <is>
          <t>991000947389702656</t>
        </is>
      </c>
      <c r="AZ1011" t="inlineStr">
        <is>
          <t>991000947389702656</t>
        </is>
      </c>
      <c r="BA1011" t="inlineStr">
        <is>
          <t>2255322140002656</t>
        </is>
      </c>
      <c r="BB1011" t="inlineStr">
        <is>
          <t>BOOK</t>
        </is>
      </c>
      <c r="BD1011" t="inlineStr">
        <is>
          <t>9780834200975</t>
        </is>
      </c>
      <c r="BE1011" t="inlineStr">
        <is>
          <t>30001002194159</t>
        </is>
      </c>
      <c r="BF1011" t="inlineStr">
        <is>
          <t>893284165</t>
        </is>
      </c>
    </row>
    <row r="1012">
      <c r="A1012" t="inlineStr">
        <is>
          <t>No</t>
        </is>
      </c>
      <c r="B1012" t="inlineStr">
        <is>
          <t>CUHSL</t>
        </is>
      </c>
      <c r="C1012" t="inlineStr">
        <is>
          <t>SHELVES</t>
        </is>
      </c>
      <c r="D1012" t="inlineStr">
        <is>
          <t>WY 100 P298 1960</t>
        </is>
      </c>
      <c r="E1012" t="inlineStr">
        <is>
          <t>0                      WY 0100000P  298         1960</t>
        </is>
      </c>
      <c r="F1012" t="inlineStr">
        <is>
          <t>Patient-centered approaches to nursing / Faye G. Abdellah ... [et al.].</t>
        </is>
      </c>
      <c r="H1012" t="inlineStr">
        <is>
          <t>No</t>
        </is>
      </c>
      <c r="I1012" t="inlineStr">
        <is>
          <t>1</t>
        </is>
      </c>
      <c r="J1012" t="inlineStr">
        <is>
          <t>No</t>
        </is>
      </c>
      <c r="K1012" t="inlineStr">
        <is>
          <t>No</t>
        </is>
      </c>
      <c r="L1012" t="inlineStr">
        <is>
          <t>0</t>
        </is>
      </c>
      <c r="N1012" t="inlineStr">
        <is>
          <t>New York : Macmillan, c1960.</t>
        </is>
      </c>
      <c r="O1012" t="inlineStr">
        <is>
          <t>1960</t>
        </is>
      </c>
      <c r="Q1012" t="inlineStr">
        <is>
          <t>eng</t>
        </is>
      </c>
      <c r="R1012" t="inlineStr">
        <is>
          <t>nyu</t>
        </is>
      </c>
      <c r="T1012" t="inlineStr">
        <is>
          <t xml:space="preserve">WY </t>
        </is>
      </c>
      <c r="U1012" t="n">
        <v>6</v>
      </c>
      <c r="V1012" t="n">
        <v>6</v>
      </c>
      <c r="W1012" t="inlineStr">
        <is>
          <t>1990-11-14</t>
        </is>
      </c>
      <c r="X1012" t="inlineStr">
        <is>
          <t>1990-11-14</t>
        </is>
      </c>
      <c r="Y1012" t="inlineStr">
        <is>
          <t>1987-10-22</t>
        </is>
      </c>
      <c r="Z1012" t="inlineStr">
        <is>
          <t>1987-10-22</t>
        </is>
      </c>
      <c r="AA1012" t="n">
        <v>293</v>
      </c>
      <c r="AB1012" t="n">
        <v>258</v>
      </c>
      <c r="AC1012" t="n">
        <v>267</v>
      </c>
      <c r="AD1012" t="n">
        <v>1</v>
      </c>
      <c r="AE1012" t="n">
        <v>1</v>
      </c>
      <c r="AF1012" t="n">
        <v>11</v>
      </c>
      <c r="AG1012" t="n">
        <v>11</v>
      </c>
      <c r="AH1012" t="n">
        <v>4</v>
      </c>
      <c r="AI1012" t="n">
        <v>4</v>
      </c>
      <c r="AJ1012" t="n">
        <v>1</v>
      </c>
      <c r="AK1012" t="n">
        <v>1</v>
      </c>
      <c r="AL1012" t="n">
        <v>7</v>
      </c>
      <c r="AM1012" t="n">
        <v>7</v>
      </c>
      <c r="AN1012" t="n">
        <v>0</v>
      </c>
      <c r="AO1012" t="n">
        <v>0</v>
      </c>
      <c r="AP1012" t="n">
        <v>0</v>
      </c>
      <c r="AQ1012" t="n">
        <v>0</v>
      </c>
      <c r="AR1012" t="inlineStr">
        <is>
          <t>No</t>
        </is>
      </c>
      <c r="AS1012" t="inlineStr">
        <is>
          <t>Yes</t>
        </is>
      </c>
      <c r="AT1012">
        <f>HYPERLINK("http://catalog.hathitrust.org/Record/001579418","HathiTrust Record")</f>
        <v/>
      </c>
      <c r="AU1012">
        <f>HYPERLINK("https://creighton-primo.hosted.exlibrisgroup.com/primo-explore/search?tab=default_tab&amp;search_scope=EVERYTHING&amp;vid=01CRU&amp;lang=en_US&amp;offset=0&amp;query=any,contains,991000737179702656","Catalog Record")</f>
        <v/>
      </c>
      <c r="AV1012">
        <f>HYPERLINK("http://www.worldcat.org/oclc/710704","WorldCat Record")</f>
        <v/>
      </c>
      <c r="AW1012" t="inlineStr">
        <is>
          <t>1653674:eng</t>
        </is>
      </c>
      <c r="AX1012" t="inlineStr">
        <is>
          <t>710704</t>
        </is>
      </c>
      <c r="AY1012" t="inlineStr">
        <is>
          <t>991000737179702656</t>
        </is>
      </c>
      <c r="AZ1012" t="inlineStr">
        <is>
          <t>991000737179702656</t>
        </is>
      </c>
      <c r="BA1012" t="inlineStr">
        <is>
          <t>2262496480002656</t>
        </is>
      </c>
      <c r="BB1012" t="inlineStr">
        <is>
          <t>BOOK</t>
        </is>
      </c>
      <c r="BE1012" t="inlineStr">
        <is>
          <t>30001000042079</t>
        </is>
      </c>
      <c r="BF1012" t="inlineStr">
        <is>
          <t>893450171</t>
        </is>
      </c>
    </row>
    <row r="1013">
      <c r="A1013" t="inlineStr">
        <is>
          <t>No</t>
        </is>
      </c>
      <c r="B1013" t="inlineStr">
        <is>
          <t>CUHSL</t>
        </is>
      </c>
      <c r="C1013" t="inlineStr">
        <is>
          <t>SHELVES</t>
        </is>
      </c>
      <c r="D1013" t="inlineStr">
        <is>
          <t>WY 100 P739 1984</t>
        </is>
      </c>
      <c r="E1013" t="inlineStr">
        <is>
          <t>0                      WY 0100000P  739         1984</t>
        </is>
      </c>
      <c r="F1013" t="inlineStr">
        <is>
          <t>Pocket guide to nursing diagnoses / edited by Mi Ja Kim, Gertrude K. McFarland, Audrey M. McLane.</t>
        </is>
      </c>
      <c r="H1013" t="inlineStr">
        <is>
          <t>No</t>
        </is>
      </c>
      <c r="I1013" t="inlineStr">
        <is>
          <t>1</t>
        </is>
      </c>
      <c r="J1013" t="inlineStr">
        <is>
          <t>No</t>
        </is>
      </c>
      <c r="K1013" t="inlineStr">
        <is>
          <t>Yes</t>
        </is>
      </c>
      <c r="L1013" t="inlineStr">
        <is>
          <t>0</t>
        </is>
      </c>
      <c r="N1013" t="inlineStr">
        <is>
          <t>St. Louis : Mosby, c1984.</t>
        </is>
      </c>
      <c r="O1013" t="inlineStr">
        <is>
          <t>1984</t>
        </is>
      </c>
      <c r="Q1013" t="inlineStr">
        <is>
          <t>eng</t>
        </is>
      </c>
      <c r="R1013" t="inlineStr">
        <is>
          <t>xxu</t>
        </is>
      </c>
      <c r="T1013" t="inlineStr">
        <is>
          <t xml:space="preserve">WY </t>
        </is>
      </c>
      <c r="U1013" t="n">
        <v>2</v>
      </c>
      <c r="V1013" t="n">
        <v>2</v>
      </c>
      <c r="W1013" t="inlineStr">
        <is>
          <t>1991-01-18</t>
        </is>
      </c>
      <c r="X1013" t="inlineStr">
        <is>
          <t>1991-01-18</t>
        </is>
      </c>
      <c r="Y1013" t="inlineStr">
        <is>
          <t>1987-10-22</t>
        </is>
      </c>
      <c r="Z1013" t="inlineStr">
        <is>
          <t>1987-10-22</t>
        </is>
      </c>
      <c r="AA1013" t="n">
        <v>155</v>
      </c>
      <c r="AB1013" t="n">
        <v>127</v>
      </c>
      <c r="AC1013" t="n">
        <v>423</v>
      </c>
      <c r="AD1013" t="n">
        <v>1</v>
      </c>
      <c r="AE1013" t="n">
        <v>2</v>
      </c>
      <c r="AF1013" t="n">
        <v>2</v>
      </c>
      <c r="AG1013" t="n">
        <v>10</v>
      </c>
      <c r="AH1013" t="n">
        <v>0</v>
      </c>
      <c r="AI1013" t="n">
        <v>3</v>
      </c>
      <c r="AJ1013" t="n">
        <v>1</v>
      </c>
      <c r="AK1013" t="n">
        <v>3</v>
      </c>
      <c r="AL1013" t="n">
        <v>2</v>
      </c>
      <c r="AM1013" t="n">
        <v>7</v>
      </c>
      <c r="AN1013" t="n">
        <v>0</v>
      </c>
      <c r="AO1013" t="n">
        <v>0</v>
      </c>
      <c r="AP1013" t="n">
        <v>0</v>
      </c>
      <c r="AQ1013" t="n">
        <v>0</v>
      </c>
      <c r="AR1013" t="inlineStr">
        <is>
          <t>No</t>
        </is>
      </c>
      <c r="AS1013" t="inlineStr">
        <is>
          <t>Yes</t>
        </is>
      </c>
      <c r="AT1013">
        <f>HYPERLINK("http://catalog.hathitrust.org/Record/000125613","HathiTrust Record")</f>
        <v/>
      </c>
      <c r="AU1013">
        <f>HYPERLINK("https://creighton-primo.hosted.exlibrisgroup.com/primo-explore/search?tab=default_tab&amp;search_scope=EVERYTHING&amp;vid=01CRU&amp;lang=en_US&amp;offset=0&amp;query=any,contains,991000737069702656","Catalog Record")</f>
        <v/>
      </c>
      <c r="AV1013">
        <f>HYPERLINK("http://www.worldcat.org/oclc/10123637","WorldCat Record")</f>
        <v/>
      </c>
      <c r="AW1013" t="inlineStr">
        <is>
          <t>351417363:eng</t>
        </is>
      </c>
      <c r="AX1013" t="inlineStr">
        <is>
          <t>10123637</t>
        </is>
      </c>
      <c r="AY1013" t="inlineStr">
        <is>
          <t>991000737069702656</t>
        </is>
      </c>
      <c r="AZ1013" t="inlineStr">
        <is>
          <t>991000737069702656</t>
        </is>
      </c>
      <c r="BA1013" t="inlineStr">
        <is>
          <t>2266236250002656</t>
        </is>
      </c>
      <c r="BB1013" t="inlineStr">
        <is>
          <t>BOOK</t>
        </is>
      </c>
      <c r="BD1013" t="inlineStr">
        <is>
          <t>9780801626722</t>
        </is>
      </c>
      <c r="BE1013" t="inlineStr">
        <is>
          <t>30001000042046</t>
        </is>
      </c>
      <c r="BF1013" t="inlineStr">
        <is>
          <t>893637254</t>
        </is>
      </c>
    </row>
    <row r="1014">
      <c r="A1014" t="inlineStr">
        <is>
          <t>No</t>
        </is>
      </c>
      <c r="B1014" t="inlineStr">
        <is>
          <t>CUHSL</t>
        </is>
      </c>
      <c r="C1014" t="inlineStr">
        <is>
          <t>SHELVES</t>
        </is>
      </c>
      <c r="D1014" t="inlineStr">
        <is>
          <t>WY 100 P868f 1997</t>
        </is>
      </c>
      <c r="E1014" t="inlineStr">
        <is>
          <t>0                      WY 0100000P  868f        1997</t>
        </is>
      </c>
      <c r="F1014" t="inlineStr">
        <is>
          <t>Fundamentals of nursing : concepts, process, and practice / Patricia A. Potter, Anne Griffin Perry.</t>
        </is>
      </c>
      <c r="H1014" t="inlineStr">
        <is>
          <t>No</t>
        </is>
      </c>
      <c r="I1014" t="inlineStr">
        <is>
          <t>1</t>
        </is>
      </c>
      <c r="J1014" t="inlineStr">
        <is>
          <t>No</t>
        </is>
      </c>
      <c r="K1014" t="inlineStr">
        <is>
          <t>Yes</t>
        </is>
      </c>
      <c r="L1014" t="inlineStr">
        <is>
          <t>0</t>
        </is>
      </c>
      <c r="M1014" t="inlineStr">
        <is>
          <t>Potter, Patricia Ann.</t>
        </is>
      </c>
      <c r="N1014" t="inlineStr">
        <is>
          <t>St. Louis : Mosby, c1997.</t>
        </is>
      </c>
      <c r="O1014" t="inlineStr">
        <is>
          <t>1997</t>
        </is>
      </c>
      <c r="P1014" t="inlineStr">
        <is>
          <t>4th ed.</t>
        </is>
      </c>
      <c r="Q1014" t="inlineStr">
        <is>
          <t>eng</t>
        </is>
      </c>
      <c r="R1014" t="inlineStr">
        <is>
          <t>mou</t>
        </is>
      </c>
      <c r="T1014" t="inlineStr">
        <is>
          <t xml:space="preserve">WY </t>
        </is>
      </c>
      <c r="U1014" t="n">
        <v>15</v>
      </c>
      <c r="V1014" t="n">
        <v>15</v>
      </c>
      <c r="W1014" t="inlineStr">
        <is>
          <t>2000-04-27</t>
        </is>
      </c>
      <c r="X1014" t="inlineStr">
        <is>
          <t>2000-04-27</t>
        </is>
      </c>
      <c r="Y1014" t="inlineStr">
        <is>
          <t>1998-05-01</t>
        </is>
      </c>
      <c r="Z1014" t="inlineStr">
        <is>
          <t>1998-05-01</t>
        </is>
      </c>
      <c r="AA1014" t="n">
        <v>309</v>
      </c>
      <c r="AB1014" t="n">
        <v>224</v>
      </c>
      <c r="AC1014" t="n">
        <v>1402</v>
      </c>
      <c r="AD1014" t="n">
        <v>1</v>
      </c>
      <c r="AE1014" t="n">
        <v>7</v>
      </c>
      <c r="AF1014" t="n">
        <v>3</v>
      </c>
      <c r="AG1014" t="n">
        <v>32</v>
      </c>
      <c r="AH1014" t="n">
        <v>1</v>
      </c>
      <c r="AI1014" t="n">
        <v>11</v>
      </c>
      <c r="AJ1014" t="n">
        <v>0</v>
      </c>
      <c r="AK1014" t="n">
        <v>7</v>
      </c>
      <c r="AL1014" t="n">
        <v>2</v>
      </c>
      <c r="AM1014" t="n">
        <v>14</v>
      </c>
      <c r="AN1014" t="n">
        <v>0</v>
      </c>
      <c r="AO1014" t="n">
        <v>5</v>
      </c>
      <c r="AP1014" t="n">
        <v>0</v>
      </c>
      <c r="AQ1014" t="n">
        <v>0</v>
      </c>
      <c r="AR1014" t="inlineStr">
        <is>
          <t>No</t>
        </is>
      </c>
      <c r="AS1014" t="inlineStr">
        <is>
          <t>No</t>
        </is>
      </c>
      <c r="AU1014">
        <f>HYPERLINK("https://creighton-primo.hosted.exlibrisgroup.com/primo-explore/search?tab=default_tab&amp;search_scope=EVERYTHING&amp;vid=01CRU&amp;lang=en_US&amp;offset=0&amp;query=any,contains,991000901099702656","Catalog Record")</f>
        <v/>
      </c>
      <c r="AV1014">
        <f>HYPERLINK("http://www.worldcat.org/oclc/34663327","WorldCat Record")</f>
        <v/>
      </c>
      <c r="AW1014" t="inlineStr">
        <is>
          <t>4922000618:eng</t>
        </is>
      </c>
      <c r="AX1014" t="inlineStr">
        <is>
          <t>34663327</t>
        </is>
      </c>
      <c r="AY1014" t="inlineStr">
        <is>
          <t>991000901099702656</t>
        </is>
      </c>
      <c r="AZ1014" t="inlineStr">
        <is>
          <t>991000901099702656</t>
        </is>
      </c>
      <c r="BA1014" t="inlineStr">
        <is>
          <t>2262697380002656</t>
        </is>
      </c>
      <c r="BB1014" t="inlineStr">
        <is>
          <t>BOOK</t>
        </is>
      </c>
      <c r="BD1014" t="inlineStr">
        <is>
          <t>9780815169093</t>
        </is>
      </c>
      <c r="BE1014" t="inlineStr">
        <is>
          <t>30001004176279</t>
        </is>
      </c>
      <c r="BF1014" t="inlineStr">
        <is>
          <t>893820713</t>
        </is>
      </c>
    </row>
    <row r="1015">
      <c r="A1015" t="inlineStr">
        <is>
          <t>No</t>
        </is>
      </c>
      <c r="B1015" t="inlineStr">
        <is>
          <t>CUHSL</t>
        </is>
      </c>
      <c r="C1015" t="inlineStr">
        <is>
          <t>SHELVES</t>
        </is>
      </c>
      <c r="D1015" t="inlineStr">
        <is>
          <t>WY100 P868f 2005</t>
        </is>
      </c>
      <c r="E1015" t="inlineStr">
        <is>
          <t>0                      WY 0100000P  868f        2005</t>
        </is>
      </c>
      <c r="F1015" t="inlineStr">
        <is>
          <t>Fundamentals of nursing / Patricia A. Potter, Anne Griffin Perry.</t>
        </is>
      </c>
      <c r="H1015" t="inlineStr">
        <is>
          <t>No</t>
        </is>
      </c>
      <c r="I1015" t="inlineStr">
        <is>
          <t>2</t>
        </is>
      </c>
      <c r="J1015" t="inlineStr">
        <is>
          <t>No</t>
        </is>
      </c>
      <c r="K1015" t="inlineStr">
        <is>
          <t>Yes</t>
        </is>
      </c>
      <c r="L1015" t="inlineStr">
        <is>
          <t>0</t>
        </is>
      </c>
      <c r="M1015" t="inlineStr">
        <is>
          <t>Potter, Patricia Ann.</t>
        </is>
      </c>
      <c r="N1015" t="inlineStr">
        <is>
          <t>St. Louis, Mo. : Elsevier Mosby, c2005.</t>
        </is>
      </c>
      <c r="O1015" t="inlineStr">
        <is>
          <t>2005</t>
        </is>
      </c>
      <c r="P1015" t="inlineStr">
        <is>
          <t>6th ed.</t>
        </is>
      </c>
      <c r="Q1015" t="inlineStr">
        <is>
          <t>eng</t>
        </is>
      </c>
      <c r="R1015" t="inlineStr">
        <is>
          <t>mou</t>
        </is>
      </c>
      <c r="T1015" t="inlineStr">
        <is>
          <t xml:space="preserve">WY </t>
        </is>
      </c>
      <c r="U1015" t="n">
        <v>0</v>
      </c>
      <c r="V1015" t="n">
        <v>0</v>
      </c>
      <c r="W1015" t="inlineStr">
        <is>
          <t>2008-01-22</t>
        </is>
      </c>
      <c r="X1015" t="inlineStr">
        <is>
          <t>2008-01-22</t>
        </is>
      </c>
      <c r="Y1015" t="inlineStr">
        <is>
          <t>2007-09-12</t>
        </is>
      </c>
      <c r="Z1015" t="inlineStr">
        <is>
          <t>2007-09-12</t>
        </is>
      </c>
      <c r="AA1015" t="n">
        <v>414</v>
      </c>
      <c r="AB1015" t="n">
        <v>317</v>
      </c>
      <c r="AC1015" t="n">
        <v>1402</v>
      </c>
      <c r="AD1015" t="n">
        <v>1</v>
      </c>
      <c r="AE1015" t="n">
        <v>7</v>
      </c>
      <c r="AF1015" t="n">
        <v>7</v>
      </c>
      <c r="AG1015" t="n">
        <v>32</v>
      </c>
      <c r="AH1015" t="n">
        <v>3</v>
      </c>
      <c r="AI1015" t="n">
        <v>11</v>
      </c>
      <c r="AJ1015" t="n">
        <v>2</v>
      </c>
      <c r="AK1015" t="n">
        <v>7</v>
      </c>
      <c r="AL1015" t="n">
        <v>4</v>
      </c>
      <c r="AM1015" t="n">
        <v>14</v>
      </c>
      <c r="AN1015" t="n">
        <v>0</v>
      </c>
      <c r="AO1015" t="n">
        <v>5</v>
      </c>
      <c r="AP1015" t="n">
        <v>0</v>
      </c>
      <c r="AQ1015" t="n">
        <v>0</v>
      </c>
      <c r="AR1015" t="inlineStr">
        <is>
          <t>No</t>
        </is>
      </c>
      <c r="AS1015" t="inlineStr">
        <is>
          <t>Yes</t>
        </is>
      </c>
      <c r="AT1015">
        <f>HYPERLINK("http://catalog.hathitrust.org/Record/004735849","HathiTrust Record")</f>
        <v/>
      </c>
      <c r="AU1015">
        <f>HYPERLINK("https://creighton-primo.hosted.exlibrisgroup.com/primo-explore/search?tab=default_tab&amp;search_scope=EVERYTHING&amp;vid=01CRU&amp;lang=en_US&amp;offset=0&amp;query=any,contains,991001728439702656","Catalog Record")</f>
        <v/>
      </c>
      <c r="AV1015">
        <f>HYPERLINK("http://www.worldcat.org/oclc/55686932","WorldCat Record")</f>
        <v/>
      </c>
      <c r="AW1015" t="inlineStr">
        <is>
          <t>4922000618:eng</t>
        </is>
      </c>
      <c r="AX1015" t="inlineStr">
        <is>
          <t>55686932</t>
        </is>
      </c>
      <c r="AY1015" t="inlineStr">
        <is>
          <t>991001728439702656</t>
        </is>
      </c>
      <c r="AZ1015" t="inlineStr">
        <is>
          <t>991001728439702656</t>
        </is>
      </c>
      <c r="BA1015" t="inlineStr">
        <is>
          <t>2256817870002656</t>
        </is>
      </c>
      <c r="BB1015" t="inlineStr">
        <is>
          <t>BOOK</t>
        </is>
      </c>
      <c r="BD1015" t="inlineStr">
        <is>
          <t>9780323025867</t>
        </is>
      </c>
      <c r="BE1015" t="inlineStr">
        <is>
          <t>30001005230307</t>
        </is>
      </c>
      <c r="BF1015" t="inlineStr">
        <is>
          <t>893552709</t>
        </is>
      </c>
    </row>
    <row r="1016">
      <c r="A1016" t="inlineStr">
        <is>
          <t>No</t>
        </is>
      </c>
      <c r="B1016" t="inlineStr">
        <is>
          <t>CUHSL</t>
        </is>
      </c>
      <c r="C1016" t="inlineStr">
        <is>
          <t>SHELVES</t>
        </is>
      </c>
      <c r="D1016" t="inlineStr">
        <is>
          <t>WY 100 P886c 2000</t>
        </is>
      </c>
      <c r="E1016" t="inlineStr">
        <is>
          <t>0                      WY 0100000P  886c        2000</t>
        </is>
      </c>
      <c r="F1016" t="inlineStr">
        <is>
          <t>Case management : a practical guide to success in managed care / Suzanne K. Powell.</t>
        </is>
      </c>
      <c r="H1016" t="inlineStr">
        <is>
          <t>No</t>
        </is>
      </c>
      <c r="I1016" t="inlineStr">
        <is>
          <t>1</t>
        </is>
      </c>
      <c r="J1016" t="inlineStr">
        <is>
          <t>No</t>
        </is>
      </c>
      <c r="K1016" t="inlineStr">
        <is>
          <t>Yes</t>
        </is>
      </c>
      <c r="L1016" t="inlineStr">
        <is>
          <t>0</t>
        </is>
      </c>
      <c r="M1016" t="inlineStr">
        <is>
          <t>Powell, Suzanne K.</t>
        </is>
      </c>
      <c r="N1016" t="inlineStr">
        <is>
          <t>Philadelphia : Lippincott, c2000.</t>
        </is>
      </c>
      <c r="O1016" t="inlineStr">
        <is>
          <t>2000</t>
        </is>
      </c>
      <c r="P1016" t="inlineStr">
        <is>
          <t>2nd ed.</t>
        </is>
      </c>
      <c r="Q1016" t="inlineStr">
        <is>
          <t>eng</t>
        </is>
      </c>
      <c r="R1016" t="inlineStr">
        <is>
          <t>pau</t>
        </is>
      </c>
      <c r="T1016" t="inlineStr">
        <is>
          <t xml:space="preserve">WY </t>
        </is>
      </c>
      <c r="U1016" t="n">
        <v>3</v>
      </c>
      <c r="V1016" t="n">
        <v>3</v>
      </c>
      <c r="W1016" t="inlineStr">
        <is>
          <t>2003-11-14</t>
        </is>
      </c>
      <c r="X1016" t="inlineStr">
        <is>
          <t>2003-11-14</t>
        </is>
      </c>
      <c r="Y1016" t="inlineStr">
        <is>
          <t>1999-11-23</t>
        </is>
      </c>
      <c r="Z1016" t="inlineStr">
        <is>
          <t>1999-11-23</t>
        </is>
      </c>
      <c r="AA1016" t="n">
        <v>325</v>
      </c>
      <c r="AB1016" t="n">
        <v>261</v>
      </c>
      <c r="AC1016" t="n">
        <v>594</v>
      </c>
      <c r="AD1016" t="n">
        <v>1</v>
      </c>
      <c r="AE1016" t="n">
        <v>4</v>
      </c>
      <c r="AF1016" t="n">
        <v>9</v>
      </c>
      <c r="AG1016" t="n">
        <v>23</v>
      </c>
      <c r="AH1016" t="n">
        <v>4</v>
      </c>
      <c r="AI1016" t="n">
        <v>9</v>
      </c>
      <c r="AJ1016" t="n">
        <v>1</v>
      </c>
      <c r="AK1016" t="n">
        <v>4</v>
      </c>
      <c r="AL1016" t="n">
        <v>5</v>
      </c>
      <c r="AM1016" t="n">
        <v>14</v>
      </c>
      <c r="AN1016" t="n">
        <v>0</v>
      </c>
      <c r="AO1016" t="n">
        <v>2</v>
      </c>
      <c r="AP1016" t="n">
        <v>0</v>
      </c>
      <c r="AQ1016" t="n">
        <v>0</v>
      </c>
      <c r="AR1016" t="inlineStr">
        <is>
          <t>No</t>
        </is>
      </c>
      <c r="AS1016" t="inlineStr">
        <is>
          <t>No</t>
        </is>
      </c>
      <c r="AU1016">
        <f>HYPERLINK("https://creighton-primo.hosted.exlibrisgroup.com/primo-explore/search?tab=default_tab&amp;search_scope=EVERYTHING&amp;vid=01CRU&amp;lang=en_US&amp;offset=0&amp;query=any,contains,991001410269702656","Catalog Record")</f>
        <v/>
      </c>
      <c r="AV1016">
        <f>HYPERLINK("http://www.worldcat.org/oclc/41982276","WorldCat Record")</f>
        <v/>
      </c>
      <c r="AW1016" t="inlineStr">
        <is>
          <t>796302971:eng</t>
        </is>
      </c>
      <c r="AX1016" t="inlineStr">
        <is>
          <t>41982276</t>
        </is>
      </c>
      <c r="AY1016" t="inlineStr">
        <is>
          <t>991001410269702656</t>
        </is>
      </c>
      <c r="AZ1016" t="inlineStr">
        <is>
          <t>991001410269702656</t>
        </is>
      </c>
      <c r="BA1016" t="inlineStr">
        <is>
          <t>2261315030002656</t>
        </is>
      </c>
      <c r="BB1016" t="inlineStr">
        <is>
          <t>BOOK</t>
        </is>
      </c>
      <c r="BD1016" t="inlineStr">
        <is>
          <t>9780781718837</t>
        </is>
      </c>
      <c r="BE1016" t="inlineStr">
        <is>
          <t>30001003831056</t>
        </is>
      </c>
      <c r="BF1016" t="inlineStr">
        <is>
          <t>893826731</t>
        </is>
      </c>
    </row>
    <row r="1017">
      <c r="A1017" t="inlineStr">
        <is>
          <t>No</t>
        </is>
      </c>
      <c r="B1017" t="inlineStr">
        <is>
          <t>CUHSL</t>
        </is>
      </c>
      <c r="C1017" t="inlineStr">
        <is>
          <t>SHELVES</t>
        </is>
      </c>
      <c r="D1017" t="inlineStr">
        <is>
          <t>WY 100 P886n 1996</t>
        </is>
      </c>
      <c r="E1017" t="inlineStr">
        <is>
          <t>0                      WY 0100000P  886n        1996</t>
        </is>
      </c>
      <c r="F1017" t="inlineStr">
        <is>
          <t>Nursing case management : a practical guide to success in managed care / Suzanne K. Powell, in consultation with Patty M. Wekell.</t>
        </is>
      </c>
      <c r="H1017" t="inlineStr">
        <is>
          <t>No</t>
        </is>
      </c>
      <c r="I1017" t="inlineStr">
        <is>
          <t>1</t>
        </is>
      </c>
      <c r="J1017" t="inlineStr">
        <is>
          <t>No</t>
        </is>
      </c>
      <c r="K1017" t="inlineStr">
        <is>
          <t>Yes</t>
        </is>
      </c>
      <c r="L1017" t="inlineStr">
        <is>
          <t>0</t>
        </is>
      </c>
      <c r="M1017" t="inlineStr">
        <is>
          <t>Powell, Suzanne K.</t>
        </is>
      </c>
      <c r="N1017" t="inlineStr">
        <is>
          <t>Philadelphia : Lippincott₋Raven, c1996.</t>
        </is>
      </c>
      <c r="O1017" t="inlineStr">
        <is>
          <t>1996</t>
        </is>
      </c>
      <c r="Q1017" t="inlineStr">
        <is>
          <t>eng</t>
        </is>
      </c>
      <c r="R1017" t="inlineStr">
        <is>
          <t>pau</t>
        </is>
      </c>
      <c r="T1017" t="inlineStr">
        <is>
          <t xml:space="preserve">WY </t>
        </is>
      </c>
      <c r="U1017" t="n">
        <v>7</v>
      </c>
      <c r="V1017" t="n">
        <v>7</v>
      </c>
      <c r="W1017" t="inlineStr">
        <is>
          <t>2005-09-26</t>
        </is>
      </c>
      <c r="X1017" t="inlineStr">
        <is>
          <t>2005-09-26</t>
        </is>
      </c>
      <c r="Y1017" t="inlineStr">
        <is>
          <t>1998-01-16</t>
        </is>
      </c>
      <c r="Z1017" t="inlineStr">
        <is>
          <t>1998-01-16</t>
        </is>
      </c>
      <c r="AA1017" t="n">
        <v>358</v>
      </c>
      <c r="AB1017" t="n">
        <v>297</v>
      </c>
      <c r="AC1017" t="n">
        <v>594</v>
      </c>
      <c r="AD1017" t="n">
        <v>2</v>
      </c>
      <c r="AE1017" t="n">
        <v>4</v>
      </c>
      <c r="AF1017" t="n">
        <v>11</v>
      </c>
      <c r="AG1017" t="n">
        <v>23</v>
      </c>
      <c r="AH1017" t="n">
        <v>5</v>
      </c>
      <c r="AI1017" t="n">
        <v>9</v>
      </c>
      <c r="AJ1017" t="n">
        <v>2</v>
      </c>
      <c r="AK1017" t="n">
        <v>4</v>
      </c>
      <c r="AL1017" t="n">
        <v>7</v>
      </c>
      <c r="AM1017" t="n">
        <v>14</v>
      </c>
      <c r="AN1017" t="n">
        <v>0</v>
      </c>
      <c r="AO1017" t="n">
        <v>2</v>
      </c>
      <c r="AP1017" t="n">
        <v>0</v>
      </c>
      <c r="AQ1017" t="n">
        <v>0</v>
      </c>
      <c r="AR1017" t="inlineStr">
        <is>
          <t>No</t>
        </is>
      </c>
      <c r="AS1017" t="inlineStr">
        <is>
          <t>Yes</t>
        </is>
      </c>
      <c r="AT1017">
        <f>HYPERLINK("http://catalog.hathitrust.org/Record/003013551","HathiTrust Record")</f>
        <v/>
      </c>
      <c r="AU1017">
        <f>HYPERLINK("https://creighton-primo.hosted.exlibrisgroup.com/primo-explore/search?tab=default_tab&amp;search_scope=EVERYTHING&amp;vid=01CRU&amp;lang=en_US&amp;offset=0&amp;query=any,contains,991001557849702656","Catalog Record")</f>
        <v/>
      </c>
      <c r="AV1017">
        <f>HYPERLINK("http://www.worldcat.org/oclc/32823979","WorldCat Record")</f>
        <v/>
      </c>
      <c r="AW1017" t="inlineStr">
        <is>
          <t>796302971:eng</t>
        </is>
      </c>
      <c r="AX1017" t="inlineStr">
        <is>
          <t>32823979</t>
        </is>
      </c>
      <c r="AY1017" t="inlineStr">
        <is>
          <t>991001557849702656</t>
        </is>
      </c>
      <c r="AZ1017" t="inlineStr">
        <is>
          <t>991001557849702656</t>
        </is>
      </c>
      <c r="BA1017" t="inlineStr">
        <is>
          <t>2262085820002656</t>
        </is>
      </c>
      <c r="BB1017" t="inlineStr">
        <is>
          <t>BOOK</t>
        </is>
      </c>
      <c r="BD1017" t="inlineStr">
        <is>
          <t>9780397552344</t>
        </is>
      </c>
      <c r="BE1017" t="inlineStr">
        <is>
          <t>30001003669647</t>
        </is>
      </c>
      <c r="BF1017" t="inlineStr">
        <is>
          <t>893826863</t>
        </is>
      </c>
    </row>
    <row r="1018">
      <c r="A1018" t="inlineStr">
        <is>
          <t>No</t>
        </is>
      </c>
      <c r="B1018" t="inlineStr">
        <is>
          <t>CUHSL</t>
        </is>
      </c>
      <c r="C1018" t="inlineStr">
        <is>
          <t>SHELVES</t>
        </is>
      </c>
      <c r="D1018" t="inlineStr">
        <is>
          <t>WY 100 P963 1961</t>
        </is>
      </c>
      <c r="E1018" t="inlineStr">
        <is>
          <t>0                      WY 0100000P  963         1961</t>
        </is>
      </c>
      <c r="F1018" t="inlineStr">
        <is>
          <t>A process for identifying essential content in nursing / developed by a Subcommittee on Maternal and Child Nursing Content.</t>
        </is>
      </c>
      <c r="H1018" t="inlineStr">
        <is>
          <t>No</t>
        </is>
      </c>
      <c r="I1018" t="inlineStr">
        <is>
          <t>1</t>
        </is>
      </c>
      <c r="J1018" t="inlineStr">
        <is>
          <t>No</t>
        </is>
      </c>
      <c r="K1018" t="inlineStr">
        <is>
          <t>No</t>
        </is>
      </c>
      <c r="L1018" t="inlineStr">
        <is>
          <t>0</t>
        </is>
      </c>
      <c r="N1018" t="inlineStr">
        <is>
          <t>New York : National League for Nursing, 1961.</t>
        </is>
      </c>
      <c r="O1018" t="inlineStr">
        <is>
          <t>1961</t>
        </is>
      </c>
      <c r="Q1018" t="inlineStr">
        <is>
          <t>eng</t>
        </is>
      </c>
      <c r="R1018" t="inlineStr">
        <is>
          <t xml:space="preserve">xx </t>
        </is>
      </c>
      <c r="S1018" t="inlineStr">
        <is>
          <t>NLN pub. no. 15-832</t>
        </is>
      </c>
      <c r="T1018" t="inlineStr">
        <is>
          <t xml:space="preserve">WY </t>
        </is>
      </c>
      <c r="U1018" t="n">
        <v>1</v>
      </c>
      <c r="V1018" t="n">
        <v>1</v>
      </c>
      <c r="W1018" t="inlineStr">
        <is>
          <t>1990-04-20</t>
        </is>
      </c>
      <c r="X1018" t="inlineStr">
        <is>
          <t>1990-04-20</t>
        </is>
      </c>
      <c r="Y1018" t="inlineStr">
        <is>
          <t>1987-10-20</t>
        </is>
      </c>
      <c r="Z1018" t="inlineStr">
        <is>
          <t>1987-10-20</t>
        </is>
      </c>
      <c r="AA1018" t="n">
        <v>43</v>
      </c>
      <c r="AB1018" t="n">
        <v>35</v>
      </c>
      <c r="AC1018" t="n">
        <v>42</v>
      </c>
      <c r="AD1018" t="n">
        <v>1</v>
      </c>
      <c r="AE1018" t="n">
        <v>1</v>
      </c>
      <c r="AF1018" t="n">
        <v>1</v>
      </c>
      <c r="AG1018" t="n">
        <v>1</v>
      </c>
      <c r="AH1018" t="n">
        <v>0</v>
      </c>
      <c r="AI1018" t="n">
        <v>0</v>
      </c>
      <c r="AJ1018" t="n">
        <v>0</v>
      </c>
      <c r="AK1018" t="n">
        <v>0</v>
      </c>
      <c r="AL1018" t="n">
        <v>1</v>
      </c>
      <c r="AM1018" t="n">
        <v>1</v>
      </c>
      <c r="AN1018" t="n">
        <v>0</v>
      </c>
      <c r="AO1018" t="n">
        <v>0</v>
      </c>
      <c r="AP1018" t="n">
        <v>0</v>
      </c>
      <c r="AQ1018" t="n">
        <v>0</v>
      </c>
      <c r="AR1018" t="inlineStr">
        <is>
          <t>Yes</t>
        </is>
      </c>
      <c r="AS1018" t="inlineStr">
        <is>
          <t>No</t>
        </is>
      </c>
      <c r="AT1018">
        <f>HYPERLINK("http://catalog.hathitrust.org/Record/002072152","HathiTrust Record")</f>
        <v/>
      </c>
      <c r="AU1018">
        <f>HYPERLINK("https://creighton-primo.hosted.exlibrisgroup.com/primo-explore/search?tab=default_tab&amp;search_scope=EVERYTHING&amp;vid=01CRU&amp;lang=en_US&amp;offset=0&amp;query=any,contains,991001364419702656","Catalog Record")</f>
        <v/>
      </c>
      <c r="AV1018">
        <f>HYPERLINK("http://www.worldcat.org/oclc/2920438","WorldCat Record")</f>
        <v/>
      </c>
      <c r="AW1018" t="inlineStr">
        <is>
          <t>6631284:eng</t>
        </is>
      </c>
      <c r="AX1018" t="inlineStr">
        <is>
          <t>2920438</t>
        </is>
      </c>
      <c r="AY1018" t="inlineStr">
        <is>
          <t>991001364419702656</t>
        </is>
      </c>
      <c r="AZ1018" t="inlineStr">
        <is>
          <t>991001364419702656</t>
        </is>
      </c>
      <c r="BA1018" t="inlineStr">
        <is>
          <t>2263578470002656</t>
        </is>
      </c>
      <c r="BB1018" t="inlineStr">
        <is>
          <t>BOOK</t>
        </is>
      </c>
      <c r="BE1018" t="inlineStr">
        <is>
          <t>30001000461162</t>
        </is>
      </c>
      <c r="BF1018" t="inlineStr">
        <is>
          <t>893741072</t>
        </is>
      </c>
    </row>
    <row r="1019">
      <c r="A1019" t="inlineStr">
        <is>
          <t>No</t>
        </is>
      </c>
      <c r="B1019" t="inlineStr">
        <is>
          <t>CUHSL</t>
        </is>
      </c>
      <c r="C1019" t="inlineStr">
        <is>
          <t>SHELVES</t>
        </is>
      </c>
      <c r="D1019" t="inlineStr">
        <is>
          <t>WY 100 P965 1989</t>
        </is>
      </c>
      <c r="E1019" t="inlineStr">
        <is>
          <t>0                      WY 0100000P  965         1989</t>
        </is>
      </c>
      <c r="F1019" t="inlineStr">
        <is>
          <t>Promoting wellness : a nurse's handbook / edited by Patricia A. Swinford, Judith A. Webster.</t>
        </is>
      </c>
      <c r="H1019" t="inlineStr">
        <is>
          <t>No</t>
        </is>
      </c>
      <c r="I1019" t="inlineStr">
        <is>
          <t>1</t>
        </is>
      </c>
      <c r="J1019" t="inlineStr">
        <is>
          <t>No</t>
        </is>
      </c>
      <c r="K1019" t="inlineStr">
        <is>
          <t>No</t>
        </is>
      </c>
      <c r="L1019" t="inlineStr">
        <is>
          <t>0</t>
        </is>
      </c>
      <c r="N1019" t="inlineStr">
        <is>
          <t>Rockville, Md. : Aspen Publishers, 1989 [1988 printing]</t>
        </is>
      </c>
      <c r="O1019" t="inlineStr">
        <is>
          <t>1989</t>
        </is>
      </c>
      <c r="Q1019" t="inlineStr">
        <is>
          <t>eng</t>
        </is>
      </c>
      <c r="R1019" t="inlineStr">
        <is>
          <t>xxu</t>
        </is>
      </c>
      <c r="T1019" t="inlineStr">
        <is>
          <t xml:space="preserve">WY </t>
        </is>
      </c>
      <c r="U1019" t="n">
        <v>11</v>
      </c>
      <c r="V1019" t="n">
        <v>11</v>
      </c>
      <c r="W1019" t="inlineStr">
        <is>
          <t>1998-11-03</t>
        </is>
      </c>
      <c r="X1019" t="inlineStr">
        <is>
          <t>1998-11-03</t>
        </is>
      </c>
      <c r="Y1019" t="inlineStr">
        <is>
          <t>1990-07-25</t>
        </is>
      </c>
      <c r="Z1019" t="inlineStr">
        <is>
          <t>1990-07-25</t>
        </is>
      </c>
      <c r="AA1019" t="n">
        <v>281</v>
      </c>
      <c r="AB1019" t="n">
        <v>241</v>
      </c>
      <c r="AC1019" t="n">
        <v>248</v>
      </c>
      <c r="AD1019" t="n">
        <v>2</v>
      </c>
      <c r="AE1019" t="n">
        <v>2</v>
      </c>
      <c r="AF1019" t="n">
        <v>13</v>
      </c>
      <c r="AG1019" t="n">
        <v>13</v>
      </c>
      <c r="AH1019" t="n">
        <v>7</v>
      </c>
      <c r="AI1019" t="n">
        <v>7</v>
      </c>
      <c r="AJ1019" t="n">
        <v>2</v>
      </c>
      <c r="AK1019" t="n">
        <v>2</v>
      </c>
      <c r="AL1019" t="n">
        <v>6</v>
      </c>
      <c r="AM1019" t="n">
        <v>6</v>
      </c>
      <c r="AN1019" t="n">
        <v>1</v>
      </c>
      <c r="AO1019" t="n">
        <v>1</v>
      </c>
      <c r="AP1019" t="n">
        <v>0</v>
      </c>
      <c r="AQ1019" t="n">
        <v>0</v>
      </c>
      <c r="AR1019" t="inlineStr">
        <is>
          <t>No</t>
        </is>
      </c>
      <c r="AS1019" t="inlineStr">
        <is>
          <t>Yes</t>
        </is>
      </c>
      <c r="AT1019">
        <f>HYPERLINK("http://catalog.hathitrust.org/Record/000944693","HathiTrust Record")</f>
        <v/>
      </c>
      <c r="AU1019">
        <f>HYPERLINK("https://creighton-primo.hosted.exlibrisgroup.com/primo-explore/search?tab=default_tab&amp;search_scope=EVERYTHING&amp;vid=01CRU&amp;lang=en_US&amp;offset=0&amp;query=any,contains,991001449839702656","Catalog Record")</f>
        <v/>
      </c>
      <c r="AV1019">
        <f>HYPERLINK("http://www.worldcat.org/oclc/18379013","WorldCat Record")</f>
        <v/>
      </c>
      <c r="AW1019" t="inlineStr">
        <is>
          <t>867077182:eng</t>
        </is>
      </c>
      <c r="AX1019" t="inlineStr">
        <is>
          <t>18379013</t>
        </is>
      </c>
      <c r="AY1019" t="inlineStr">
        <is>
          <t>991001449839702656</t>
        </is>
      </c>
      <c r="AZ1019" t="inlineStr">
        <is>
          <t>991001449839702656</t>
        </is>
      </c>
      <c r="BA1019" t="inlineStr">
        <is>
          <t>2260236620002656</t>
        </is>
      </c>
      <c r="BB1019" t="inlineStr">
        <is>
          <t>BOOK</t>
        </is>
      </c>
      <c r="BD1019" t="inlineStr">
        <is>
          <t>9780834200005</t>
        </is>
      </c>
      <c r="BE1019" t="inlineStr">
        <is>
          <t>30001001882598</t>
        </is>
      </c>
      <c r="BF1019" t="inlineStr">
        <is>
          <t>893816425</t>
        </is>
      </c>
    </row>
    <row r="1020">
      <c r="A1020" t="inlineStr">
        <is>
          <t>No</t>
        </is>
      </c>
      <c r="B1020" t="inlineStr">
        <is>
          <t>CUHSL</t>
        </is>
      </c>
      <c r="C1020" t="inlineStr">
        <is>
          <t>SHELVES</t>
        </is>
      </c>
      <c r="D1020" t="inlineStr">
        <is>
          <t>WY 100 P969 1976</t>
        </is>
      </c>
      <c r="E1020" t="inlineStr">
        <is>
          <t>0                      WY 0100000P  969         1976</t>
        </is>
      </c>
      <c r="F1020" t="inlineStr">
        <is>
          <t>Providing safe nursing care for ethnic people of color / editors, Marie Foster Branch, Phyllis Perry Paxton ; foreword by Barbara Rhodes.</t>
        </is>
      </c>
      <c r="H1020" t="inlineStr">
        <is>
          <t>No</t>
        </is>
      </c>
      <c r="I1020" t="inlineStr">
        <is>
          <t>1</t>
        </is>
      </c>
      <c r="J1020" t="inlineStr">
        <is>
          <t>No</t>
        </is>
      </c>
      <c r="K1020" t="inlineStr">
        <is>
          <t>No</t>
        </is>
      </c>
      <c r="L1020" t="inlineStr">
        <is>
          <t>0</t>
        </is>
      </c>
      <c r="N1020" t="inlineStr">
        <is>
          <t>New York : Appleton-Century-Crofts, c1976.</t>
        </is>
      </c>
      <c r="O1020" t="inlineStr">
        <is>
          <t>1976</t>
        </is>
      </c>
      <c r="Q1020" t="inlineStr">
        <is>
          <t>eng</t>
        </is>
      </c>
      <c r="R1020" t="inlineStr">
        <is>
          <t>nyu</t>
        </is>
      </c>
      <c r="T1020" t="inlineStr">
        <is>
          <t xml:space="preserve">WY </t>
        </is>
      </c>
      <c r="U1020" t="n">
        <v>7</v>
      </c>
      <c r="V1020" t="n">
        <v>7</v>
      </c>
      <c r="W1020" t="inlineStr">
        <is>
          <t>1995-10-30</t>
        </is>
      </c>
      <c r="X1020" t="inlineStr">
        <is>
          <t>1995-10-30</t>
        </is>
      </c>
      <c r="Y1020" t="inlineStr">
        <is>
          <t>1987-11-10</t>
        </is>
      </c>
      <c r="Z1020" t="inlineStr">
        <is>
          <t>1987-11-10</t>
        </is>
      </c>
      <c r="AA1020" t="n">
        <v>336</v>
      </c>
      <c r="AB1020" t="n">
        <v>316</v>
      </c>
      <c r="AC1020" t="n">
        <v>318</v>
      </c>
      <c r="AD1020" t="n">
        <v>5</v>
      </c>
      <c r="AE1020" t="n">
        <v>5</v>
      </c>
      <c r="AF1020" t="n">
        <v>17</v>
      </c>
      <c r="AG1020" t="n">
        <v>17</v>
      </c>
      <c r="AH1020" t="n">
        <v>8</v>
      </c>
      <c r="AI1020" t="n">
        <v>8</v>
      </c>
      <c r="AJ1020" t="n">
        <v>4</v>
      </c>
      <c r="AK1020" t="n">
        <v>4</v>
      </c>
      <c r="AL1020" t="n">
        <v>7</v>
      </c>
      <c r="AM1020" t="n">
        <v>7</v>
      </c>
      <c r="AN1020" t="n">
        <v>2</v>
      </c>
      <c r="AO1020" t="n">
        <v>2</v>
      </c>
      <c r="AP1020" t="n">
        <v>0</v>
      </c>
      <c r="AQ1020" t="n">
        <v>0</v>
      </c>
      <c r="AR1020" t="inlineStr">
        <is>
          <t>No</t>
        </is>
      </c>
      <c r="AS1020" t="inlineStr">
        <is>
          <t>Yes</t>
        </is>
      </c>
      <c r="AT1020">
        <f>HYPERLINK("http://catalog.hathitrust.org/Record/000727157","HathiTrust Record")</f>
        <v/>
      </c>
      <c r="AU1020">
        <f>HYPERLINK("https://creighton-primo.hosted.exlibrisgroup.com/primo-explore/search?tab=default_tab&amp;search_scope=EVERYTHING&amp;vid=01CRU&amp;lang=en_US&amp;offset=0&amp;query=any,contains,991000736979702656","Catalog Record")</f>
        <v/>
      </c>
      <c r="AV1020">
        <f>HYPERLINK("http://www.worldcat.org/oclc/2091445","WorldCat Record")</f>
        <v/>
      </c>
      <c r="AW1020" t="inlineStr">
        <is>
          <t>4187380:eng</t>
        </is>
      </c>
      <c r="AX1020" t="inlineStr">
        <is>
          <t>2091445</t>
        </is>
      </c>
      <c r="AY1020" t="inlineStr">
        <is>
          <t>991000736979702656</t>
        </is>
      </c>
      <c r="AZ1020" t="inlineStr">
        <is>
          <t>991000736979702656</t>
        </is>
      </c>
      <c r="BA1020" t="inlineStr">
        <is>
          <t>2269276090002656</t>
        </is>
      </c>
      <c r="BB1020" t="inlineStr">
        <is>
          <t>BOOK</t>
        </is>
      </c>
      <c r="BD1020" t="inlineStr">
        <is>
          <t>9780838579435</t>
        </is>
      </c>
      <c r="BE1020" t="inlineStr">
        <is>
          <t>30001000042020</t>
        </is>
      </c>
      <c r="BF1020" t="inlineStr">
        <is>
          <t>893362945</t>
        </is>
      </c>
    </row>
    <row r="1021">
      <c r="A1021" t="inlineStr">
        <is>
          <t>No</t>
        </is>
      </c>
      <c r="B1021" t="inlineStr">
        <is>
          <t>CUHSL</t>
        </is>
      </c>
      <c r="C1021" t="inlineStr">
        <is>
          <t>SHELVES</t>
        </is>
      </c>
      <c r="D1021" t="inlineStr">
        <is>
          <t>WY 100 P993g 1978</t>
        </is>
      </c>
      <c r="E1021" t="inlineStr">
        <is>
          <t>0                      WY 0100000P  993g        1978</t>
        </is>
      </c>
      <c r="F1021" t="inlineStr">
        <is>
          <t>General systems theory applied to nursing / Arlene M. Putt.</t>
        </is>
      </c>
      <c r="H1021" t="inlineStr">
        <is>
          <t>No</t>
        </is>
      </c>
      <c r="I1021" t="inlineStr">
        <is>
          <t>1</t>
        </is>
      </c>
      <c r="J1021" t="inlineStr">
        <is>
          <t>No</t>
        </is>
      </c>
      <c r="K1021" t="inlineStr">
        <is>
          <t>No</t>
        </is>
      </c>
      <c r="L1021" t="inlineStr">
        <is>
          <t>0</t>
        </is>
      </c>
      <c r="M1021" t="inlineStr">
        <is>
          <t>Putt, Arlene M.</t>
        </is>
      </c>
      <c r="N1021" t="inlineStr">
        <is>
          <t>Boston : Little, Brown, c1978.</t>
        </is>
      </c>
      <c r="O1021" t="inlineStr">
        <is>
          <t>1978</t>
        </is>
      </c>
      <c r="P1021" t="inlineStr">
        <is>
          <t>-- 1st ed. --</t>
        </is>
      </c>
      <c r="Q1021" t="inlineStr">
        <is>
          <t>eng</t>
        </is>
      </c>
      <c r="R1021" t="inlineStr">
        <is>
          <t>mau</t>
        </is>
      </c>
      <c r="T1021" t="inlineStr">
        <is>
          <t xml:space="preserve">WY </t>
        </is>
      </c>
      <c r="U1021" t="n">
        <v>5</v>
      </c>
      <c r="V1021" t="n">
        <v>5</v>
      </c>
      <c r="W1021" t="inlineStr">
        <is>
          <t>1994-03-16</t>
        </is>
      </c>
      <c r="X1021" t="inlineStr">
        <is>
          <t>1994-03-16</t>
        </is>
      </c>
      <c r="Y1021" t="inlineStr">
        <is>
          <t>1987-10-22</t>
        </is>
      </c>
      <c r="Z1021" t="inlineStr">
        <is>
          <t>1987-10-22</t>
        </is>
      </c>
      <c r="AA1021" t="n">
        <v>360</v>
      </c>
      <c r="AB1021" t="n">
        <v>320</v>
      </c>
      <c r="AC1021" t="n">
        <v>331</v>
      </c>
      <c r="AD1021" t="n">
        <v>4</v>
      </c>
      <c r="AE1021" t="n">
        <v>4</v>
      </c>
      <c r="AF1021" t="n">
        <v>17</v>
      </c>
      <c r="AG1021" t="n">
        <v>17</v>
      </c>
      <c r="AH1021" t="n">
        <v>7</v>
      </c>
      <c r="AI1021" t="n">
        <v>7</v>
      </c>
      <c r="AJ1021" t="n">
        <v>4</v>
      </c>
      <c r="AK1021" t="n">
        <v>4</v>
      </c>
      <c r="AL1021" t="n">
        <v>6</v>
      </c>
      <c r="AM1021" t="n">
        <v>6</v>
      </c>
      <c r="AN1021" t="n">
        <v>3</v>
      </c>
      <c r="AO1021" t="n">
        <v>3</v>
      </c>
      <c r="AP1021" t="n">
        <v>0</v>
      </c>
      <c r="AQ1021" t="n">
        <v>0</v>
      </c>
      <c r="AR1021" t="inlineStr">
        <is>
          <t>No</t>
        </is>
      </c>
      <c r="AS1021" t="inlineStr">
        <is>
          <t>Yes</t>
        </is>
      </c>
      <c r="AT1021">
        <f>HYPERLINK("http://catalog.hathitrust.org/Record/000218032","HathiTrust Record")</f>
        <v/>
      </c>
      <c r="AU1021">
        <f>HYPERLINK("https://creighton-primo.hosted.exlibrisgroup.com/primo-explore/search?tab=default_tab&amp;search_scope=EVERYTHING&amp;vid=01CRU&amp;lang=en_US&amp;offset=0&amp;query=any,contains,991000737009702656","Catalog Record")</f>
        <v/>
      </c>
      <c r="AV1021">
        <f>HYPERLINK("http://www.worldcat.org/oclc/4291969","WorldCat Record")</f>
        <v/>
      </c>
      <c r="AW1021" t="inlineStr">
        <is>
          <t>448656:eng</t>
        </is>
      </c>
      <c r="AX1021" t="inlineStr">
        <is>
          <t>4291969</t>
        </is>
      </c>
      <c r="AY1021" t="inlineStr">
        <is>
          <t>991000737009702656</t>
        </is>
      </c>
      <c r="AZ1021" t="inlineStr">
        <is>
          <t>991000737009702656</t>
        </is>
      </c>
      <c r="BA1021" t="inlineStr">
        <is>
          <t>2270603150002656</t>
        </is>
      </c>
      <c r="BB1021" t="inlineStr">
        <is>
          <t>BOOK</t>
        </is>
      </c>
      <c r="BD1021" t="inlineStr">
        <is>
          <t>9780316723008</t>
        </is>
      </c>
      <c r="BE1021" t="inlineStr">
        <is>
          <t>30001000042038</t>
        </is>
      </c>
      <c r="BF1021" t="inlineStr">
        <is>
          <t>893357460</t>
        </is>
      </c>
    </row>
    <row r="1022">
      <c r="A1022" t="inlineStr">
        <is>
          <t>No</t>
        </is>
      </c>
      <c r="B1022" t="inlineStr">
        <is>
          <t>CUHSL</t>
        </is>
      </c>
      <c r="C1022" t="inlineStr">
        <is>
          <t>SHELVES</t>
        </is>
      </c>
      <c r="D1022" t="inlineStr">
        <is>
          <t>WY 100 Q104 1975</t>
        </is>
      </c>
      <c r="E1022" t="inlineStr">
        <is>
          <t>0                      WY 0100000Q  104         1975</t>
        </is>
      </c>
      <c r="F1022" t="inlineStr">
        <is>
          <t>Quality assurance : a joint venture : papers presented at an open forum / sponsored by the Council of Baccalaureate and Higher Degree Programs, the Council of Home Health Agencies and Community Health Services, and the Council of Hospital and Related Institutional Nursing Services at the 1975 NLN Convention, New Orleans ; chairperson, Mary Woody.</t>
        </is>
      </c>
      <c r="H1022" t="inlineStr">
        <is>
          <t>No</t>
        </is>
      </c>
      <c r="I1022" t="inlineStr">
        <is>
          <t>1</t>
        </is>
      </c>
      <c r="J1022" t="inlineStr">
        <is>
          <t>No</t>
        </is>
      </c>
      <c r="K1022" t="inlineStr">
        <is>
          <t>No</t>
        </is>
      </c>
      <c r="L1022" t="inlineStr">
        <is>
          <t>0</t>
        </is>
      </c>
      <c r="N1022" t="inlineStr">
        <is>
          <t>New York : Dept. of Baccalaureate and Higher Degree Programs, National League for Nursing, c1975.</t>
        </is>
      </c>
      <c r="O1022" t="inlineStr">
        <is>
          <t>1975</t>
        </is>
      </c>
      <c r="Q1022" t="inlineStr">
        <is>
          <t>eng</t>
        </is>
      </c>
      <c r="R1022" t="inlineStr">
        <is>
          <t>nyu</t>
        </is>
      </c>
      <c r="S1022" t="inlineStr">
        <is>
          <t>NLN pub. no. 15-1595</t>
        </is>
      </c>
      <c r="T1022" t="inlineStr">
        <is>
          <t xml:space="preserve">WY </t>
        </is>
      </c>
      <c r="U1022" t="n">
        <v>2</v>
      </c>
      <c r="V1022" t="n">
        <v>2</v>
      </c>
      <c r="W1022" t="inlineStr">
        <is>
          <t>1990-04-06</t>
        </is>
      </c>
      <c r="X1022" t="inlineStr">
        <is>
          <t>1990-04-06</t>
        </is>
      </c>
      <c r="Y1022" t="inlineStr">
        <is>
          <t>1987-10-21</t>
        </is>
      </c>
      <c r="Z1022" t="inlineStr">
        <is>
          <t>1987-10-21</t>
        </is>
      </c>
      <c r="AA1022" t="n">
        <v>56</v>
      </c>
      <c r="AB1022" t="n">
        <v>53</v>
      </c>
      <c r="AC1022" t="n">
        <v>53</v>
      </c>
      <c r="AD1022" t="n">
        <v>2</v>
      </c>
      <c r="AE1022" t="n">
        <v>2</v>
      </c>
      <c r="AF1022" t="n">
        <v>3</v>
      </c>
      <c r="AG1022" t="n">
        <v>3</v>
      </c>
      <c r="AH1022" t="n">
        <v>0</v>
      </c>
      <c r="AI1022" t="n">
        <v>0</v>
      </c>
      <c r="AJ1022" t="n">
        <v>0</v>
      </c>
      <c r="AK1022" t="n">
        <v>0</v>
      </c>
      <c r="AL1022" t="n">
        <v>2</v>
      </c>
      <c r="AM1022" t="n">
        <v>2</v>
      </c>
      <c r="AN1022" t="n">
        <v>1</v>
      </c>
      <c r="AO1022" t="n">
        <v>1</v>
      </c>
      <c r="AP1022" t="n">
        <v>0</v>
      </c>
      <c r="AQ1022" t="n">
        <v>0</v>
      </c>
      <c r="AR1022" t="inlineStr">
        <is>
          <t>No</t>
        </is>
      </c>
      <c r="AS1022" t="inlineStr">
        <is>
          <t>No</t>
        </is>
      </c>
      <c r="AU1022">
        <f>HYPERLINK("https://creighton-primo.hosted.exlibrisgroup.com/primo-explore/search?tab=default_tab&amp;search_scope=EVERYTHING&amp;vid=01CRU&amp;lang=en_US&amp;offset=0&amp;query=any,contains,991001368999702656","Catalog Record")</f>
        <v/>
      </c>
      <c r="AV1022">
        <f>HYPERLINK("http://www.worldcat.org/oclc/14434452","WorldCat Record")</f>
        <v/>
      </c>
      <c r="AW1022" t="inlineStr">
        <is>
          <t>3943360869:eng</t>
        </is>
      </c>
      <c r="AX1022" t="inlineStr">
        <is>
          <t>14434452</t>
        </is>
      </c>
      <c r="AY1022" t="inlineStr">
        <is>
          <t>991001368999702656</t>
        </is>
      </c>
      <c r="AZ1022" t="inlineStr">
        <is>
          <t>991001368999702656</t>
        </is>
      </c>
      <c r="BA1022" t="inlineStr">
        <is>
          <t>2264183000002656</t>
        </is>
      </c>
      <c r="BB1022" t="inlineStr">
        <is>
          <t>BOOK</t>
        </is>
      </c>
      <c r="BE1022" t="inlineStr">
        <is>
          <t>30001000461568</t>
        </is>
      </c>
      <c r="BF1022" t="inlineStr">
        <is>
          <t>893451116</t>
        </is>
      </c>
    </row>
    <row r="1023">
      <c r="A1023" t="inlineStr">
        <is>
          <t>No</t>
        </is>
      </c>
      <c r="B1023" t="inlineStr">
        <is>
          <t>CUHSL</t>
        </is>
      </c>
      <c r="C1023" t="inlineStr">
        <is>
          <t>SHELVES</t>
        </is>
      </c>
      <c r="D1023" t="inlineStr">
        <is>
          <t>WY 100 R167a 1984</t>
        </is>
      </c>
      <c r="E1023" t="inlineStr">
        <is>
          <t>0                      WY 0100000R  167a        1984</t>
        </is>
      </c>
      <c r="F1023" t="inlineStr">
        <is>
          <t>Adaptation nursing : assessment and intervention / by Beverly J. Rambo.</t>
        </is>
      </c>
      <c r="H1023" t="inlineStr">
        <is>
          <t>No</t>
        </is>
      </c>
      <c r="I1023" t="inlineStr">
        <is>
          <t>1</t>
        </is>
      </c>
      <c r="J1023" t="inlineStr">
        <is>
          <t>No</t>
        </is>
      </c>
      <c r="K1023" t="inlineStr">
        <is>
          <t>No</t>
        </is>
      </c>
      <c r="L1023" t="inlineStr">
        <is>
          <t>0</t>
        </is>
      </c>
      <c r="M1023" t="inlineStr">
        <is>
          <t>Rambo, Beverly J.</t>
        </is>
      </c>
      <c r="N1023" t="inlineStr">
        <is>
          <t>Philadelphia, Pa. : Saunders, c1984.</t>
        </is>
      </c>
      <c r="O1023" t="inlineStr">
        <is>
          <t>1984</t>
        </is>
      </c>
      <c r="Q1023" t="inlineStr">
        <is>
          <t>eng</t>
        </is>
      </c>
      <c r="R1023" t="inlineStr">
        <is>
          <t>xxu</t>
        </is>
      </c>
      <c r="T1023" t="inlineStr">
        <is>
          <t xml:space="preserve">WY </t>
        </is>
      </c>
      <c r="U1023" t="n">
        <v>19</v>
      </c>
      <c r="V1023" t="n">
        <v>19</v>
      </c>
      <c r="W1023" t="inlineStr">
        <is>
          <t>1994-12-08</t>
        </is>
      </c>
      <c r="X1023" t="inlineStr">
        <is>
          <t>1994-12-08</t>
        </is>
      </c>
      <c r="Y1023" t="inlineStr">
        <is>
          <t>1987-12-29</t>
        </is>
      </c>
      <c r="Z1023" t="inlineStr">
        <is>
          <t>1987-12-29</t>
        </is>
      </c>
      <c r="AA1023" t="n">
        <v>268</v>
      </c>
      <c r="AB1023" t="n">
        <v>188</v>
      </c>
      <c r="AC1023" t="n">
        <v>195</v>
      </c>
      <c r="AD1023" t="n">
        <v>1</v>
      </c>
      <c r="AE1023" t="n">
        <v>1</v>
      </c>
      <c r="AF1023" t="n">
        <v>5</v>
      </c>
      <c r="AG1023" t="n">
        <v>5</v>
      </c>
      <c r="AH1023" t="n">
        <v>3</v>
      </c>
      <c r="AI1023" t="n">
        <v>3</v>
      </c>
      <c r="AJ1023" t="n">
        <v>0</v>
      </c>
      <c r="AK1023" t="n">
        <v>0</v>
      </c>
      <c r="AL1023" t="n">
        <v>3</v>
      </c>
      <c r="AM1023" t="n">
        <v>3</v>
      </c>
      <c r="AN1023" t="n">
        <v>0</v>
      </c>
      <c r="AO1023" t="n">
        <v>0</v>
      </c>
      <c r="AP1023" t="n">
        <v>0</v>
      </c>
      <c r="AQ1023" t="n">
        <v>0</v>
      </c>
      <c r="AR1023" t="inlineStr">
        <is>
          <t>No</t>
        </is>
      </c>
      <c r="AS1023" t="inlineStr">
        <is>
          <t>Yes</t>
        </is>
      </c>
      <c r="AT1023">
        <f>HYPERLINK("http://catalog.hathitrust.org/Record/000285301","HathiTrust Record")</f>
        <v/>
      </c>
      <c r="AU1023">
        <f>HYPERLINK("https://creighton-primo.hosted.exlibrisgroup.com/primo-explore/search?tab=default_tab&amp;search_scope=EVERYTHING&amp;vid=01CRU&amp;lang=en_US&amp;offset=0&amp;query=any,contains,991001149129702656","Catalog Record")</f>
        <v/>
      </c>
      <c r="AV1023">
        <f>HYPERLINK("http://www.worldcat.org/oclc/9197951","WorldCat Record")</f>
        <v/>
      </c>
      <c r="AW1023" t="inlineStr">
        <is>
          <t>375241212:eng</t>
        </is>
      </c>
      <c r="AX1023" t="inlineStr">
        <is>
          <t>9197951</t>
        </is>
      </c>
      <c r="AY1023" t="inlineStr">
        <is>
          <t>991001149129702656</t>
        </is>
      </c>
      <c r="AZ1023" t="inlineStr">
        <is>
          <t>991001149129702656</t>
        </is>
      </c>
      <c r="BA1023" t="inlineStr">
        <is>
          <t>2266630040002656</t>
        </is>
      </c>
      <c r="BB1023" t="inlineStr">
        <is>
          <t>BOOK</t>
        </is>
      </c>
      <c r="BD1023" t="inlineStr">
        <is>
          <t>9780721610481</t>
        </is>
      </c>
      <c r="BE1023" t="inlineStr">
        <is>
          <t>30001000295370</t>
        </is>
      </c>
      <c r="BF1023" t="inlineStr">
        <is>
          <t>893134289</t>
        </is>
      </c>
    </row>
    <row r="1024">
      <c r="A1024" t="inlineStr">
        <is>
          <t>No</t>
        </is>
      </c>
      <c r="B1024" t="inlineStr">
        <is>
          <t>CUHSL</t>
        </is>
      </c>
      <c r="C1024" t="inlineStr">
        <is>
          <t>SHELVES</t>
        </is>
      </c>
      <c r="D1024" t="inlineStr">
        <is>
          <t>WY 100 R175c 2006</t>
        </is>
      </c>
      <c r="E1024" t="inlineStr">
        <is>
          <t>0                      WY 0100000R  175c        2006</t>
        </is>
      </c>
      <c r="F1024" t="inlineStr">
        <is>
          <t>Comprehensive nursing care / Roberta Pavy Ramont, Dolores Maldonado Niedringhaus, Mary Ann Towle.</t>
        </is>
      </c>
      <c r="H1024" t="inlineStr">
        <is>
          <t>No</t>
        </is>
      </c>
      <c r="I1024" t="inlineStr">
        <is>
          <t>1</t>
        </is>
      </c>
      <c r="J1024" t="inlineStr">
        <is>
          <t>No</t>
        </is>
      </c>
      <c r="K1024" t="inlineStr">
        <is>
          <t>No</t>
        </is>
      </c>
      <c r="L1024" t="inlineStr">
        <is>
          <t>0</t>
        </is>
      </c>
      <c r="M1024" t="inlineStr">
        <is>
          <t>Ramont, Roberta Pavy.</t>
        </is>
      </c>
      <c r="N1024" t="inlineStr">
        <is>
          <t>Upper Saddle River, N.J. : Pearson Prentice Hall, 2005.</t>
        </is>
      </c>
      <c r="O1024" t="inlineStr">
        <is>
          <t>2005</t>
        </is>
      </c>
      <c r="Q1024" t="inlineStr">
        <is>
          <t>eng</t>
        </is>
      </c>
      <c r="R1024" t="inlineStr">
        <is>
          <t>nju</t>
        </is>
      </c>
      <c r="T1024" t="inlineStr">
        <is>
          <t xml:space="preserve">WY </t>
        </is>
      </c>
      <c r="U1024" t="n">
        <v>6</v>
      </c>
      <c r="V1024" t="n">
        <v>6</v>
      </c>
      <c r="W1024" t="inlineStr">
        <is>
          <t>2009-06-24</t>
        </is>
      </c>
      <c r="X1024" t="inlineStr">
        <is>
          <t>2009-06-24</t>
        </is>
      </c>
      <c r="Y1024" t="inlineStr">
        <is>
          <t>2007-01-22</t>
        </is>
      </c>
      <c r="Z1024" t="inlineStr">
        <is>
          <t>2007-01-22</t>
        </is>
      </c>
      <c r="AA1024" t="n">
        <v>109</v>
      </c>
      <c r="AB1024" t="n">
        <v>76</v>
      </c>
      <c r="AC1024" t="n">
        <v>184</v>
      </c>
      <c r="AD1024" t="n">
        <v>1</v>
      </c>
      <c r="AE1024" t="n">
        <v>2</v>
      </c>
      <c r="AF1024" t="n">
        <v>2</v>
      </c>
      <c r="AG1024" t="n">
        <v>3</v>
      </c>
      <c r="AH1024" t="n">
        <v>1</v>
      </c>
      <c r="AI1024" t="n">
        <v>1</v>
      </c>
      <c r="AJ1024" t="n">
        <v>0</v>
      </c>
      <c r="AK1024" t="n">
        <v>0</v>
      </c>
      <c r="AL1024" t="n">
        <v>1</v>
      </c>
      <c r="AM1024" t="n">
        <v>2</v>
      </c>
      <c r="AN1024" t="n">
        <v>0</v>
      </c>
      <c r="AO1024" t="n">
        <v>0</v>
      </c>
      <c r="AP1024" t="n">
        <v>0</v>
      </c>
      <c r="AQ1024" t="n">
        <v>0</v>
      </c>
      <c r="AR1024" t="inlineStr">
        <is>
          <t>No</t>
        </is>
      </c>
      <c r="AS1024" t="inlineStr">
        <is>
          <t>Yes</t>
        </is>
      </c>
      <c r="AT1024">
        <f>HYPERLINK("http://catalog.hathitrust.org/Record/005055677","HathiTrust Record")</f>
        <v/>
      </c>
      <c r="AU1024">
        <f>HYPERLINK("https://creighton-primo.hosted.exlibrisgroup.com/primo-explore/search?tab=default_tab&amp;search_scope=EVERYTHING&amp;vid=01CRU&amp;lang=en_US&amp;offset=0&amp;query=any,contains,991000585239702656","Catalog Record")</f>
        <v/>
      </c>
      <c r="AV1024">
        <f>HYPERLINK("http://www.worldcat.org/oclc/60245535","WorldCat Record")</f>
        <v/>
      </c>
      <c r="AW1024" t="inlineStr">
        <is>
          <t>872264:eng</t>
        </is>
      </c>
      <c r="AX1024" t="inlineStr">
        <is>
          <t>60245535</t>
        </is>
      </c>
      <c r="AY1024" t="inlineStr">
        <is>
          <t>991000585239702656</t>
        </is>
      </c>
      <c r="AZ1024" t="inlineStr">
        <is>
          <t>991000585239702656</t>
        </is>
      </c>
      <c r="BA1024" t="inlineStr">
        <is>
          <t>2269042140002656</t>
        </is>
      </c>
      <c r="BB1024" t="inlineStr">
        <is>
          <t>BOOK</t>
        </is>
      </c>
      <c r="BD1024" t="inlineStr">
        <is>
          <t>9780130990884</t>
        </is>
      </c>
      <c r="BE1024" t="inlineStr">
        <is>
          <t>30001005175361</t>
        </is>
      </c>
      <c r="BF1024" t="inlineStr">
        <is>
          <t>893117905</t>
        </is>
      </c>
    </row>
    <row r="1025">
      <c r="A1025" t="inlineStr">
        <is>
          <t>No</t>
        </is>
      </c>
      <c r="B1025" t="inlineStr">
        <is>
          <t>CUHSL</t>
        </is>
      </c>
      <c r="C1025" t="inlineStr">
        <is>
          <t>SHELVES</t>
        </is>
      </c>
      <c r="D1025" t="inlineStr">
        <is>
          <t>WY 100 R188a 1982</t>
        </is>
      </c>
      <c r="E1025" t="inlineStr">
        <is>
          <t>0                      WY 0100000R  188a        1982</t>
        </is>
      </c>
      <c r="F1025" t="inlineStr">
        <is>
          <t>Adaptation nursing : the Roy conceptual model applied / Brooke Randell, Mary Tedrow Poush, Joyce Van Landingham.</t>
        </is>
      </c>
      <c r="H1025" t="inlineStr">
        <is>
          <t>No</t>
        </is>
      </c>
      <c r="I1025" t="inlineStr">
        <is>
          <t>1</t>
        </is>
      </c>
      <c r="J1025" t="inlineStr">
        <is>
          <t>No</t>
        </is>
      </c>
      <c r="K1025" t="inlineStr">
        <is>
          <t>No</t>
        </is>
      </c>
      <c r="L1025" t="inlineStr">
        <is>
          <t>0</t>
        </is>
      </c>
      <c r="M1025" t="inlineStr">
        <is>
          <t>Randell, Brooke.</t>
        </is>
      </c>
      <c r="N1025" t="inlineStr">
        <is>
          <t>St. Louis : Mosby, c1982.</t>
        </is>
      </c>
      <c r="O1025" t="inlineStr">
        <is>
          <t>1982</t>
        </is>
      </c>
      <c r="Q1025" t="inlineStr">
        <is>
          <t>eng</t>
        </is>
      </c>
      <c r="R1025" t="inlineStr">
        <is>
          <t>xxu</t>
        </is>
      </c>
      <c r="T1025" t="inlineStr">
        <is>
          <t xml:space="preserve">WY </t>
        </is>
      </c>
      <c r="U1025" t="n">
        <v>24</v>
      </c>
      <c r="V1025" t="n">
        <v>24</v>
      </c>
      <c r="W1025" t="inlineStr">
        <is>
          <t>1996-10-24</t>
        </is>
      </c>
      <c r="X1025" t="inlineStr">
        <is>
          <t>1996-10-24</t>
        </is>
      </c>
      <c r="Y1025" t="inlineStr">
        <is>
          <t>1987-12-30</t>
        </is>
      </c>
      <c r="Z1025" t="inlineStr">
        <is>
          <t>1987-12-30</t>
        </is>
      </c>
      <c r="AA1025" t="n">
        <v>287</v>
      </c>
      <c r="AB1025" t="n">
        <v>221</v>
      </c>
      <c r="AC1025" t="n">
        <v>228</v>
      </c>
      <c r="AD1025" t="n">
        <v>3</v>
      </c>
      <c r="AE1025" t="n">
        <v>3</v>
      </c>
      <c r="AF1025" t="n">
        <v>10</v>
      </c>
      <c r="AG1025" t="n">
        <v>10</v>
      </c>
      <c r="AH1025" t="n">
        <v>5</v>
      </c>
      <c r="AI1025" t="n">
        <v>5</v>
      </c>
      <c r="AJ1025" t="n">
        <v>1</v>
      </c>
      <c r="AK1025" t="n">
        <v>1</v>
      </c>
      <c r="AL1025" t="n">
        <v>4</v>
      </c>
      <c r="AM1025" t="n">
        <v>4</v>
      </c>
      <c r="AN1025" t="n">
        <v>2</v>
      </c>
      <c r="AO1025" t="n">
        <v>2</v>
      </c>
      <c r="AP1025" t="n">
        <v>0</v>
      </c>
      <c r="AQ1025" t="n">
        <v>0</v>
      </c>
      <c r="AR1025" t="inlineStr">
        <is>
          <t>No</t>
        </is>
      </c>
      <c r="AS1025" t="inlineStr">
        <is>
          <t>Yes</t>
        </is>
      </c>
      <c r="AT1025">
        <f>HYPERLINK("http://catalog.hathitrust.org/Record/000241158","HathiTrust Record")</f>
        <v/>
      </c>
      <c r="AU1025">
        <f>HYPERLINK("https://creighton-primo.hosted.exlibrisgroup.com/primo-explore/search?tab=default_tab&amp;search_scope=EVERYTHING&amp;vid=01CRU&amp;lang=en_US&amp;offset=0&amp;query=any,contains,991001149169702656","Catalog Record")</f>
        <v/>
      </c>
      <c r="AV1025">
        <f>HYPERLINK("http://www.worldcat.org/oclc/7998406","WorldCat Record")</f>
        <v/>
      </c>
      <c r="AW1025" t="inlineStr">
        <is>
          <t>308058993:eng</t>
        </is>
      </c>
      <c r="AX1025" t="inlineStr">
        <is>
          <t>7998406</t>
        </is>
      </c>
      <c r="AY1025" t="inlineStr">
        <is>
          <t>991001149169702656</t>
        </is>
      </c>
      <c r="AZ1025" t="inlineStr">
        <is>
          <t>991001149169702656</t>
        </is>
      </c>
      <c r="BA1025" t="inlineStr">
        <is>
          <t>2271108630002656</t>
        </is>
      </c>
      <c r="BB1025" t="inlineStr">
        <is>
          <t>BOOK</t>
        </is>
      </c>
      <c r="BD1025" t="inlineStr">
        <is>
          <t>9780801640247</t>
        </is>
      </c>
      <c r="BE1025" t="inlineStr">
        <is>
          <t>30001000295396</t>
        </is>
      </c>
      <c r="BF1025" t="inlineStr">
        <is>
          <t>893740815</t>
        </is>
      </c>
    </row>
    <row r="1026">
      <c r="A1026" t="inlineStr">
        <is>
          <t>No</t>
        </is>
      </c>
      <c r="B1026" t="inlineStr">
        <is>
          <t>CUHSL</t>
        </is>
      </c>
      <c r="C1026" t="inlineStr">
        <is>
          <t>SHELVES</t>
        </is>
      </c>
      <c r="D1026" t="inlineStr">
        <is>
          <t>WY100 R211p 2001</t>
        </is>
      </c>
      <c r="E1026" t="inlineStr">
        <is>
          <t>0                      WY 0100000R  211p        2001</t>
        </is>
      </c>
      <c r="F1026" t="inlineStr">
        <is>
          <t>Patient education : principles &amp; practice / Sally H. Rankin, Karen Duffy Stallings.</t>
        </is>
      </c>
      <c r="H1026" t="inlineStr">
        <is>
          <t>No</t>
        </is>
      </c>
      <c r="I1026" t="inlineStr">
        <is>
          <t>1</t>
        </is>
      </c>
      <c r="J1026" t="inlineStr">
        <is>
          <t>No</t>
        </is>
      </c>
      <c r="K1026" t="inlineStr">
        <is>
          <t>No</t>
        </is>
      </c>
      <c r="L1026" t="inlineStr">
        <is>
          <t>0</t>
        </is>
      </c>
      <c r="M1026" t="inlineStr">
        <is>
          <t>Rankin, Sally H.</t>
        </is>
      </c>
      <c r="N1026" t="inlineStr">
        <is>
          <t>Philadelphia, PA : Lippincott, c2001.</t>
        </is>
      </c>
      <c r="O1026" t="inlineStr">
        <is>
          <t>2001</t>
        </is>
      </c>
      <c r="P1026" t="inlineStr">
        <is>
          <t>4th ed.</t>
        </is>
      </c>
      <c r="Q1026" t="inlineStr">
        <is>
          <t>eng</t>
        </is>
      </c>
      <c r="R1026" t="inlineStr">
        <is>
          <t>pau</t>
        </is>
      </c>
      <c r="T1026" t="inlineStr">
        <is>
          <t xml:space="preserve">WY </t>
        </is>
      </c>
      <c r="U1026" t="n">
        <v>5</v>
      </c>
      <c r="V1026" t="n">
        <v>5</v>
      </c>
      <c r="W1026" t="inlineStr">
        <is>
          <t>2007-07-08</t>
        </is>
      </c>
      <c r="X1026" t="inlineStr">
        <is>
          <t>2007-07-08</t>
        </is>
      </c>
      <c r="Y1026" t="inlineStr">
        <is>
          <t>2002-04-23</t>
        </is>
      </c>
      <c r="Z1026" t="inlineStr">
        <is>
          <t>2002-04-23</t>
        </is>
      </c>
      <c r="AA1026" t="n">
        <v>362</v>
      </c>
      <c r="AB1026" t="n">
        <v>255</v>
      </c>
      <c r="AC1026" t="n">
        <v>575</v>
      </c>
      <c r="AD1026" t="n">
        <v>1</v>
      </c>
      <c r="AE1026" t="n">
        <v>2</v>
      </c>
      <c r="AF1026" t="n">
        <v>6</v>
      </c>
      <c r="AG1026" t="n">
        <v>16</v>
      </c>
      <c r="AH1026" t="n">
        <v>5</v>
      </c>
      <c r="AI1026" t="n">
        <v>8</v>
      </c>
      <c r="AJ1026" t="n">
        <v>0</v>
      </c>
      <c r="AK1026" t="n">
        <v>3</v>
      </c>
      <c r="AL1026" t="n">
        <v>2</v>
      </c>
      <c r="AM1026" t="n">
        <v>8</v>
      </c>
      <c r="AN1026" t="n">
        <v>0</v>
      </c>
      <c r="AO1026" t="n">
        <v>1</v>
      </c>
      <c r="AP1026" t="n">
        <v>0</v>
      </c>
      <c r="AQ1026" t="n">
        <v>0</v>
      </c>
      <c r="AR1026" t="inlineStr">
        <is>
          <t>No</t>
        </is>
      </c>
      <c r="AS1026" t="inlineStr">
        <is>
          <t>Yes</t>
        </is>
      </c>
      <c r="AT1026">
        <f>HYPERLINK("http://catalog.hathitrust.org/Record/004155578","HathiTrust Record")</f>
        <v/>
      </c>
      <c r="AU1026">
        <f>HYPERLINK("https://creighton-primo.hosted.exlibrisgroup.com/primo-explore/search?tab=default_tab&amp;search_scope=EVERYTHING&amp;vid=01CRU&amp;lang=en_US&amp;offset=0&amp;query=any,contains,991001713389702656","Catalog Record")</f>
        <v/>
      </c>
      <c r="AV1026">
        <f>HYPERLINK("http://www.worldcat.org/oclc/44979687","WorldCat Record")</f>
        <v/>
      </c>
      <c r="AW1026" t="inlineStr">
        <is>
          <t>22665325:eng</t>
        </is>
      </c>
      <c r="AX1026" t="inlineStr">
        <is>
          <t>44979687</t>
        </is>
      </c>
      <c r="AY1026" t="inlineStr">
        <is>
          <t>991001713389702656</t>
        </is>
      </c>
      <c r="AZ1026" t="inlineStr">
        <is>
          <t>991001713389702656</t>
        </is>
      </c>
      <c r="BA1026" t="inlineStr">
        <is>
          <t>2267068930002656</t>
        </is>
      </c>
      <c r="BB1026" t="inlineStr">
        <is>
          <t>BOOK</t>
        </is>
      </c>
      <c r="BD1026" t="inlineStr">
        <is>
          <t>9780781720229</t>
        </is>
      </c>
      <c r="BE1026" t="inlineStr">
        <is>
          <t>30001004237550</t>
        </is>
      </c>
      <c r="BF1026" t="inlineStr">
        <is>
          <t>893285012</t>
        </is>
      </c>
    </row>
    <row r="1027">
      <c r="A1027" t="inlineStr">
        <is>
          <t>No</t>
        </is>
      </c>
      <c r="B1027" t="inlineStr">
        <is>
          <t>CUHSL</t>
        </is>
      </c>
      <c r="C1027" t="inlineStr">
        <is>
          <t>SHELVES</t>
        </is>
      </c>
      <c r="D1027" t="inlineStr">
        <is>
          <t>WY100 R211p 2005</t>
        </is>
      </c>
      <c r="E1027" t="inlineStr">
        <is>
          <t>0                      WY 0100000R  211p        2005</t>
        </is>
      </c>
      <c r="F1027" t="inlineStr">
        <is>
          <t>Patient education in health and illness / Sally H. Rankin, Karen Duffy Stallings, Fran London.</t>
        </is>
      </c>
      <c r="H1027" t="inlineStr">
        <is>
          <t>No</t>
        </is>
      </c>
      <c r="I1027" t="inlineStr">
        <is>
          <t>1</t>
        </is>
      </c>
      <c r="J1027" t="inlineStr">
        <is>
          <t>No</t>
        </is>
      </c>
      <c r="K1027" t="inlineStr">
        <is>
          <t>No</t>
        </is>
      </c>
      <c r="L1027" t="inlineStr">
        <is>
          <t>0</t>
        </is>
      </c>
      <c r="M1027" t="inlineStr">
        <is>
          <t>Rankin, Sally H.</t>
        </is>
      </c>
      <c r="N1027" t="inlineStr">
        <is>
          <t>Philadelphia, PA : Lippincott Williams &amp; Wilkins, c2005.</t>
        </is>
      </c>
      <c r="O1027" t="inlineStr">
        <is>
          <t>2005</t>
        </is>
      </c>
      <c r="P1027" t="inlineStr">
        <is>
          <t>5th ed.</t>
        </is>
      </c>
      <c r="Q1027" t="inlineStr">
        <is>
          <t>eng</t>
        </is>
      </c>
      <c r="R1027" t="inlineStr">
        <is>
          <t>pau</t>
        </is>
      </c>
      <c r="T1027" t="inlineStr">
        <is>
          <t xml:space="preserve">WY </t>
        </is>
      </c>
      <c r="U1027" t="n">
        <v>1</v>
      </c>
      <c r="V1027" t="n">
        <v>1</v>
      </c>
      <c r="W1027" t="inlineStr">
        <is>
          <t>2006-09-06</t>
        </is>
      </c>
      <c r="X1027" t="inlineStr">
        <is>
          <t>2006-09-06</t>
        </is>
      </c>
      <c r="Y1027" t="inlineStr">
        <is>
          <t>2005-01-21</t>
        </is>
      </c>
      <c r="Z1027" t="inlineStr">
        <is>
          <t>2005-01-21</t>
        </is>
      </c>
      <c r="AA1027" t="n">
        <v>471</v>
      </c>
      <c r="AB1027" t="n">
        <v>340</v>
      </c>
      <c r="AC1027" t="n">
        <v>344</v>
      </c>
      <c r="AD1027" t="n">
        <v>4</v>
      </c>
      <c r="AE1027" t="n">
        <v>4</v>
      </c>
      <c r="AF1027" t="n">
        <v>19</v>
      </c>
      <c r="AG1027" t="n">
        <v>19</v>
      </c>
      <c r="AH1027" t="n">
        <v>5</v>
      </c>
      <c r="AI1027" t="n">
        <v>5</v>
      </c>
      <c r="AJ1027" t="n">
        <v>3</v>
      </c>
      <c r="AK1027" t="n">
        <v>3</v>
      </c>
      <c r="AL1027" t="n">
        <v>12</v>
      </c>
      <c r="AM1027" t="n">
        <v>12</v>
      </c>
      <c r="AN1027" t="n">
        <v>3</v>
      </c>
      <c r="AO1027" t="n">
        <v>3</v>
      </c>
      <c r="AP1027" t="n">
        <v>0</v>
      </c>
      <c r="AQ1027" t="n">
        <v>0</v>
      </c>
      <c r="AR1027" t="inlineStr">
        <is>
          <t>No</t>
        </is>
      </c>
      <c r="AS1027" t="inlineStr">
        <is>
          <t>No</t>
        </is>
      </c>
      <c r="AU1027">
        <f>HYPERLINK("https://creighton-primo.hosted.exlibrisgroup.com/primo-explore/search?tab=default_tab&amp;search_scope=EVERYTHING&amp;vid=01CRU&amp;lang=en_US&amp;offset=0&amp;query=any,contains,991001732189702656","Catalog Record")</f>
        <v/>
      </c>
      <c r="AV1027">
        <f>HYPERLINK("http://www.worldcat.org/oclc/55634046","WorldCat Record")</f>
        <v/>
      </c>
      <c r="AW1027" t="inlineStr">
        <is>
          <t>2260986714:eng</t>
        </is>
      </c>
      <c r="AX1027" t="inlineStr">
        <is>
          <t>55634046</t>
        </is>
      </c>
      <c r="AY1027" t="inlineStr">
        <is>
          <t>991001732189702656</t>
        </is>
      </c>
      <c r="AZ1027" t="inlineStr">
        <is>
          <t>991001732189702656</t>
        </is>
      </c>
      <c r="BA1027" t="inlineStr">
        <is>
          <t>2267665540002656</t>
        </is>
      </c>
      <c r="BB1027" t="inlineStr">
        <is>
          <t>BOOK</t>
        </is>
      </c>
      <c r="BD1027" t="inlineStr">
        <is>
          <t>9780781748490</t>
        </is>
      </c>
      <c r="BE1027" t="inlineStr">
        <is>
          <t>30001004926624</t>
        </is>
      </c>
      <c r="BF1027" t="inlineStr">
        <is>
          <t>893652123</t>
        </is>
      </c>
    </row>
    <row r="1028">
      <c r="A1028" t="inlineStr">
        <is>
          <t>No</t>
        </is>
      </c>
      <c r="B1028" t="inlineStr">
        <is>
          <t>CUHSL</t>
        </is>
      </c>
      <c r="C1028" t="inlineStr">
        <is>
          <t>SHELVES</t>
        </is>
      </c>
      <c r="D1028" t="inlineStr">
        <is>
          <t>WY 100 R287 1993</t>
        </is>
      </c>
      <c r="E1028" t="inlineStr">
        <is>
          <t>0                      WY 0100000R  287         1993</t>
        </is>
      </c>
      <c r="F1028" t="inlineStr">
        <is>
          <t>Readings in family nursing / edited by Gail D. Wegner, Rinda J. Alexander.</t>
        </is>
      </c>
      <c r="H1028" t="inlineStr">
        <is>
          <t>No</t>
        </is>
      </c>
      <c r="I1028" t="inlineStr">
        <is>
          <t>1</t>
        </is>
      </c>
      <c r="J1028" t="inlineStr">
        <is>
          <t>No</t>
        </is>
      </c>
      <c r="K1028" t="inlineStr">
        <is>
          <t>Yes</t>
        </is>
      </c>
      <c r="L1028" t="inlineStr">
        <is>
          <t>0</t>
        </is>
      </c>
      <c r="N1028" t="inlineStr">
        <is>
          <t>Philadelphia : Lippincott, c1993.</t>
        </is>
      </c>
      <c r="O1028" t="inlineStr">
        <is>
          <t>1993</t>
        </is>
      </c>
      <c r="Q1028" t="inlineStr">
        <is>
          <t>eng</t>
        </is>
      </c>
      <c r="R1028" t="inlineStr">
        <is>
          <t>pau</t>
        </is>
      </c>
      <c r="T1028" t="inlineStr">
        <is>
          <t xml:space="preserve">WY </t>
        </is>
      </c>
      <c r="U1028" t="n">
        <v>8</v>
      </c>
      <c r="V1028" t="n">
        <v>8</v>
      </c>
      <c r="W1028" t="inlineStr">
        <is>
          <t>1994-07-23</t>
        </is>
      </c>
      <c r="X1028" t="inlineStr">
        <is>
          <t>1994-07-23</t>
        </is>
      </c>
      <c r="Y1028" t="inlineStr">
        <is>
          <t>1993-02-25</t>
        </is>
      </c>
      <c r="Z1028" t="inlineStr">
        <is>
          <t>1993-02-25</t>
        </is>
      </c>
      <c r="AA1028" t="n">
        <v>246</v>
      </c>
      <c r="AB1028" t="n">
        <v>185</v>
      </c>
      <c r="AC1028" t="n">
        <v>243</v>
      </c>
      <c r="AD1028" t="n">
        <v>1</v>
      </c>
      <c r="AE1028" t="n">
        <v>1</v>
      </c>
      <c r="AF1028" t="n">
        <v>7</v>
      </c>
      <c r="AG1028" t="n">
        <v>12</v>
      </c>
      <c r="AH1028" t="n">
        <v>3</v>
      </c>
      <c r="AI1028" t="n">
        <v>6</v>
      </c>
      <c r="AJ1028" t="n">
        <v>1</v>
      </c>
      <c r="AK1028" t="n">
        <v>1</v>
      </c>
      <c r="AL1028" t="n">
        <v>6</v>
      </c>
      <c r="AM1028" t="n">
        <v>9</v>
      </c>
      <c r="AN1028" t="n">
        <v>0</v>
      </c>
      <c r="AO1028" t="n">
        <v>0</v>
      </c>
      <c r="AP1028" t="n">
        <v>0</v>
      </c>
      <c r="AQ1028" t="n">
        <v>0</v>
      </c>
      <c r="AR1028" t="inlineStr">
        <is>
          <t>No</t>
        </is>
      </c>
      <c r="AS1028" t="inlineStr">
        <is>
          <t>Yes</t>
        </is>
      </c>
      <c r="AT1028">
        <f>HYPERLINK("http://catalog.hathitrust.org/Record/003186025","HathiTrust Record")</f>
        <v/>
      </c>
      <c r="AU1028">
        <f>HYPERLINK("https://creighton-primo.hosted.exlibrisgroup.com/primo-explore/search?tab=default_tab&amp;search_scope=EVERYTHING&amp;vid=01CRU&amp;lang=en_US&amp;offset=0&amp;query=any,contains,991001431499702656","Catalog Record")</f>
        <v/>
      </c>
      <c r="AV1028">
        <f>HYPERLINK("http://www.worldcat.org/oclc/27144027","WorldCat Record")</f>
        <v/>
      </c>
      <c r="AW1028" t="inlineStr">
        <is>
          <t>355451686:eng</t>
        </is>
      </c>
      <c r="AX1028" t="inlineStr">
        <is>
          <t>27144027</t>
        </is>
      </c>
      <c r="AY1028" t="inlineStr">
        <is>
          <t>991001431499702656</t>
        </is>
      </c>
      <c r="AZ1028" t="inlineStr">
        <is>
          <t>991001431499702656</t>
        </is>
      </c>
      <c r="BA1028" t="inlineStr">
        <is>
          <t>2255101370002656</t>
        </is>
      </c>
      <c r="BB1028" t="inlineStr">
        <is>
          <t>BOOK</t>
        </is>
      </c>
      <c r="BD1028" t="inlineStr">
        <is>
          <t>9780397550333</t>
        </is>
      </c>
      <c r="BE1028" t="inlineStr">
        <is>
          <t>30001002529362</t>
        </is>
      </c>
      <c r="BF1028" t="inlineStr">
        <is>
          <t>893465517</t>
        </is>
      </c>
    </row>
    <row r="1029">
      <c r="A1029" t="inlineStr">
        <is>
          <t>No</t>
        </is>
      </c>
      <c r="B1029" t="inlineStr">
        <is>
          <t>CUHSL</t>
        </is>
      </c>
      <c r="C1029" t="inlineStr">
        <is>
          <t>SHELVES</t>
        </is>
      </c>
      <c r="D1029" t="inlineStr">
        <is>
          <t>WY 100 R318c 1983</t>
        </is>
      </c>
      <c r="E1029" t="inlineStr">
        <is>
          <t>0                      WY 0100000R  318c        1983</t>
        </is>
      </c>
      <c r="F1029" t="inlineStr">
        <is>
          <t>Concepts and case studies in nursing : a life cycle approach / Gertrude T. Redmond, Frances Ouellette.</t>
        </is>
      </c>
      <c r="H1029" t="inlineStr">
        <is>
          <t>No</t>
        </is>
      </c>
      <c r="I1029" t="inlineStr">
        <is>
          <t>1</t>
        </is>
      </c>
      <c r="J1029" t="inlineStr">
        <is>
          <t>No</t>
        </is>
      </c>
      <c r="K1029" t="inlineStr">
        <is>
          <t>No</t>
        </is>
      </c>
      <c r="L1029" t="inlineStr">
        <is>
          <t>0</t>
        </is>
      </c>
      <c r="M1029" t="inlineStr">
        <is>
          <t>Redmond, Gertrude T.</t>
        </is>
      </c>
      <c r="N1029" t="inlineStr">
        <is>
          <t>Menlo Park, Calif. : Addison-Wesley Pub. Co., c1983.</t>
        </is>
      </c>
      <c r="O1029" t="inlineStr">
        <is>
          <t>1983</t>
        </is>
      </c>
      <c r="Q1029" t="inlineStr">
        <is>
          <t>eng</t>
        </is>
      </c>
      <c r="R1029" t="inlineStr">
        <is>
          <t>cau</t>
        </is>
      </c>
      <c r="T1029" t="inlineStr">
        <is>
          <t xml:space="preserve">WY </t>
        </is>
      </c>
      <c r="U1029" t="n">
        <v>4</v>
      </c>
      <c r="V1029" t="n">
        <v>4</v>
      </c>
      <c r="W1029" t="inlineStr">
        <is>
          <t>1995-11-02</t>
        </is>
      </c>
      <c r="X1029" t="inlineStr">
        <is>
          <t>1995-11-02</t>
        </is>
      </c>
      <c r="Y1029" t="inlineStr">
        <is>
          <t>1987-12-30</t>
        </is>
      </c>
      <c r="Z1029" t="inlineStr">
        <is>
          <t>1987-12-30</t>
        </is>
      </c>
      <c r="AA1029" t="n">
        <v>49</v>
      </c>
      <c r="AB1029" t="n">
        <v>40</v>
      </c>
      <c r="AC1029" t="n">
        <v>72</v>
      </c>
      <c r="AD1029" t="n">
        <v>1</v>
      </c>
      <c r="AE1029" t="n">
        <v>2</v>
      </c>
      <c r="AF1029" t="n">
        <v>1</v>
      </c>
      <c r="AG1029" t="n">
        <v>1</v>
      </c>
      <c r="AH1029" t="n">
        <v>0</v>
      </c>
      <c r="AI1029" t="n">
        <v>0</v>
      </c>
      <c r="AJ1029" t="n">
        <v>0</v>
      </c>
      <c r="AK1029" t="n">
        <v>0</v>
      </c>
      <c r="AL1029" t="n">
        <v>1</v>
      </c>
      <c r="AM1029" t="n">
        <v>1</v>
      </c>
      <c r="AN1029" t="n">
        <v>0</v>
      </c>
      <c r="AO1029" t="n">
        <v>0</v>
      </c>
      <c r="AP1029" t="n">
        <v>0</v>
      </c>
      <c r="AQ1029" t="n">
        <v>0</v>
      </c>
      <c r="AR1029" t="inlineStr">
        <is>
          <t>No</t>
        </is>
      </c>
      <c r="AS1029" t="inlineStr">
        <is>
          <t>No</t>
        </is>
      </c>
      <c r="AU1029">
        <f>HYPERLINK("https://creighton-primo.hosted.exlibrisgroup.com/primo-explore/search?tab=default_tab&amp;search_scope=EVERYTHING&amp;vid=01CRU&amp;lang=en_US&amp;offset=0&amp;query=any,contains,991001149269702656","Catalog Record")</f>
        <v/>
      </c>
      <c r="AV1029">
        <f>HYPERLINK("http://www.worldcat.org/oclc/8429838","WorldCat Record")</f>
        <v/>
      </c>
      <c r="AW1029" t="inlineStr">
        <is>
          <t>416990:eng</t>
        </is>
      </c>
      <c r="AX1029" t="inlineStr">
        <is>
          <t>8429838</t>
        </is>
      </c>
      <c r="AY1029" t="inlineStr">
        <is>
          <t>991001149269702656</t>
        </is>
      </c>
      <c r="AZ1029" t="inlineStr">
        <is>
          <t>991001149269702656</t>
        </is>
      </c>
      <c r="BA1029" t="inlineStr">
        <is>
          <t>2268848980002656</t>
        </is>
      </c>
      <c r="BB1029" t="inlineStr">
        <is>
          <t>BOOK</t>
        </is>
      </c>
      <c r="BD1029" t="inlineStr">
        <is>
          <t>9780201062076</t>
        </is>
      </c>
      <c r="BE1029" t="inlineStr">
        <is>
          <t>30001000295412</t>
        </is>
      </c>
      <c r="BF1029" t="inlineStr">
        <is>
          <t>893369144</t>
        </is>
      </c>
    </row>
    <row r="1030">
      <c r="A1030" t="inlineStr">
        <is>
          <t>No</t>
        </is>
      </c>
      <c r="B1030" t="inlineStr">
        <is>
          <t>CUHSL</t>
        </is>
      </c>
      <c r="C1030" t="inlineStr">
        <is>
          <t>SHELVES</t>
        </is>
      </c>
      <c r="D1030" t="inlineStr">
        <is>
          <t>WY 100 R627w 1982 v.1</t>
        </is>
      </c>
      <c r="E1030" t="inlineStr">
        <is>
          <t>0                      WY 0100000R  627w        1982                                        v.1</t>
        </is>
      </c>
      <c r="F1030" t="inlineStr">
        <is>
          <t>The well adult / by Angelina Frantz.</t>
        </is>
      </c>
      <c r="G1030" t="inlineStr">
        <is>
          <t>V.1</t>
        </is>
      </c>
      <c r="H1030" t="inlineStr">
        <is>
          <t>No</t>
        </is>
      </c>
      <c r="I1030" t="inlineStr">
        <is>
          <t>1</t>
        </is>
      </c>
      <c r="J1030" t="inlineStr">
        <is>
          <t>No</t>
        </is>
      </c>
      <c r="K1030" t="inlineStr">
        <is>
          <t>No</t>
        </is>
      </c>
      <c r="L1030" t="inlineStr">
        <is>
          <t>0</t>
        </is>
      </c>
      <c r="M1030" t="inlineStr">
        <is>
          <t>Frantz, Angelina.</t>
        </is>
      </c>
      <c r="N1030" t="inlineStr">
        <is>
          <t>Oradell, NJ : Medical Economics Books, c1982.</t>
        </is>
      </c>
      <c r="O1030" t="inlineStr">
        <is>
          <t>1982</t>
        </is>
      </c>
      <c r="Q1030" t="inlineStr">
        <is>
          <t>eng</t>
        </is>
      </c>
      <c r="R1030" t="inlineStr">
        <is>
          <t>xxu</t>
        </is>
      </c>
      <c r="S1030" t="inlineStr">
        <is>
          <t>RN nursing assessment series ; v. 1</t>
        </is>
      </c>
      <c r="T1030" t="inlineStr">
        <is>
          <t xml:space="preserve">WY </t>
        </is>
      </c>
      <c r="U1030" t="n">
        <v>1</v>
      </c>
      <c r="V1030" t="n">
        <v>1</v>
      </c>
      <c r="W1030" t="inlineStr">
        <is>
          <t>1991-06-09</t>
        </is>
      </c>
      <c r="X1030" t="inlineStr">
        <is>
          <t>1991-06-09</t>
        </is>
      </c>
      <c r="Y1030" t="inlineStr">
        <is>
          <t>1987-12-30</t>
        </is>
      </c>
      <c r="Z1030" t="inlineStr">
        <is>
          <t>1987-12-30</t>
        </is>
      </c>
      <c r="AA1030" t="n">
        <v>84</v>
      </c>
      <c r="AB1030" t="n">
        <v>69</v>
      </c>
      <c r="AC1030" t="n">
        <v>69</v>
      </c>
      <c r="AD1030" t="n">
        <v>1</v>
      </c>
      <c r="AE1030" t="n">
        <v>1</v>
      </c>
      <c r="AF1030" t="n">
        <v>2</v>
      </c>
      <c r="AG1030" t="n">
        <v>2</v>
      </c>
      <c r="AH1030" t="n">
        <v>1</v>
      </c>
      <c r="AI1030" t="n">
        <v>1</v>
      </c>
      <c r="AJ1030" t="n">
        <v>1</v>
      </c>
      <c r="AK1030" t="n">
        <v>1</v>
      </c>
      <c r="AL1030" t="n">
        <v>0</v>
      </c>
      <c r="AM1030" t="n">
        <v>0</v>
      </c>
      <c r="AN1030" t="n">
        <v>0</v>
      </c>
      <c r="AO1030" t="n">
        <v>0</v>
      </c>
      <c r="AP1030" t="n">
        <v>0</v>
      </c>
      <c r="AQ1030" t="n">
        <v>0</v>
      </c>
      <c r="AR1030" t="inlineStr">
        <is>
          <t>No</t>
        </is>
      </c>
      <c r="AS1030" t="inlineStr">
        <is>
          <t>No</t>
        </is>
      </c>
      <c r="AU1030">
        <f>HYPERLINK("https://creighton-primo.hosted.exlibrisgroup.com/primo-explore/search?tab=default_tab&amp;search_scope=EVERYTHING&amp;vid=01CRU&amp;lang=en_US&amp;offset=0&amp;query=any,contains,991001149339702656","Catalog Record")</f>
        <v/>
      </c>
      <c r="AV1030">
        <f>HYPERLINK("http://www.worldcat.org/oclc/8280326","WorldCat Record")</f>
        <v/>
      </c>
      <c r="AW1030" t="inlineStr">
        <is>
          <t>3375406809:eng</t>
        </is>
      </c>
      <c r="AX1030" t="inlineStr">
        <is>
          <t>8280326</t>
        </is>
      </c>
      <c r="AY1030" t="inlineStr">
        <is>
          <t>991001149339702656</t>
        </is>
      </c>
      <c r="AZ1030" t="inlineStr">
        <is>
          <t>991001149339702656</t>
        </is>
      </c>
      <c r="BA1030" t="inlineStr">
        <is>
          <t>2267954020002656</t>
        </is>
      </c>
      <c r="BB1030" t="inlineStr">
        <is>
          <t>BOOK</t>
        </is>
      </c>
      <c r="BD1030" t="inlineStr">
        <is>
          <t>9780874892819</t>
        </is>
      </c>
      <c r="BE1030" t="inlineStr">
        <is>
          <t>30001000295446</t>
        </is>
      </c>
      <c r="BF1030" t="inlineStr">
        <is>
          <t>893541060</t>
        </is>
      </c>
    </row>
    <row r="1031">
      <c r="A1031" t="inlineStr">
        <is>
          <t>No</t>
        </is>
      </c>
      <c r="B1031" t="inlineStr">
        <is>
          <t>CUHSL</t>
        </is>
      </c>
      <c r="C1031" t="inlineStr">
        <is>
          <t>SHELVES</t>
        </is>
      </c>
      <c r="D1031" t="inlineStr">
        <is>
          <t>WY 100 S428t 1990</t>
        </is>
      </c>
      <c r="E1031" t="inlineStr">
        <is>
          <t>0                      WY 0100000S  428t        1990</t>
        </is>
      </c>
      <c r="F1031" t="inlineStr">
        <is>
          <t>Telephone assessment : with protocols for nursing practice / Mary F. Scott, Kate Parker Packard.</t>
        </is>
      </c>
      <c r="H1031" t="inlineStr">
        <is>
          <t>No</t>
        </is>
      </c>
      <c r="I1031" t="inlineStr">
        <is>
          <t>1</t>
        </is>
      </c>
      <c r="J1031" t="inlineStr">
        <is>
          <t>No</t>
        </is>
      </c>
      <c r="K1031" t="inlineStr">
        <is>
          <t>No</t>
        </is>
      </c>
      <c r="L1031" t="inlineStr">
        <is>
          <t>0</t>
        </is>
      </c>
      <c r="M1031" t="inlineStr">
        <is>
          <t>Scott, Mary F.</t>
        </is>
      </c>
      <c r="N1031" t="inlineStr">
        <is>
          <t>Philadelphia : Saunders, c1989.</t>
        </is>
      </c>
      <c r="O1031" t="inlineStr">
        <is>
          <t>1990</t>
        </is>
      </c>
      <c r="Q1031" t="inlineStr">
        <is>
          <t>eng</t>
        </is>
      </c>
      <c r="R1031" t="inlineStr">
        <is>
          <t>xxu</t>
        </is>
      </c>
      <c r="T1031" t="inlineStr">
        <is>
          <t xml:space="preserve">WY </t>
        </is>
      </c>
      <c r="U1031" t="n">
        <v>15</v>
      </c>
      <c r="V1031" t="n">
        <v>15</v>
      </c>
      <c r="W1031" t="inlineStr">
        <is>
          <t>1996-12-10</t>
        </is>
      </c>
      <c r="X1031" t="inlineStr">
        <is>
          <t>1996-12-10</t>
        </is>
      </c>
      <c r="Y1031" t="inlineStr">
        <is>
          <t>1989-11-06</t>
        </is>
      </c>
      <c r="Z1031" t="inlineStr">
        <is>
          <t>1989-11-06</t>
        </is>
      </c>
      <c r="AA1031" t="n">
        <v>113</v>
      </c>
      <c r="AB1031" t="n">
        <v>96</v>
      </c>
      <c r="AC1031" t="n">
        <v>101</v>
      </c>
      <c r="AD1031" t="n">
        <v>1</v>
      </c>
      <c r="AE1031" t="n">
        <v>1</v>
      </c>
      <c r="AF1031" t="n">
        <v>3</v>
      </c>
      <c r="AG1031" t="n">
        <v>3</v>
      </c>
      <c r="AH1031" t="n">
        <v>1</v>
      </c>
      <c r="AI1031" t="n">
        <v>1</v>
      </c>
      <c r="AJ1031" t="n">
        <v>1</v>
      </c>
      <c r="AK1031" t="n">
        <v>1</v>
      </c>
      <c r="AL1031" t="n">
        <v>1</v>
      </c>
      <c r="AM1031" t="n">
        <v>1</v>
      </c>
      <c r="AN1031" t="n">
        <v>0</v>
      </c>
      <c r="AO1031" t="n">
        <v>0</v>
      </c>
      <c r="AP1031" t="n">
        <v>0</v>
      </c>
      <c r="AQ1031" t="n">
        <v>0</v>
      </c>
      <c r="AR1031" t="inlineStr">
        <is>
          <t>No</t>
        </is>
      </c>
      <c r="AS1031" t="inlineStr">
        <is>
          <t>Yes</t>
        </is>
      </c>
      <c r="AT1031">
        <f>HYPERLINK("http://catalog.hathitrust.org/Record/001818784","HathiTrust Record")</f>
        <v/>
      </c>
      <c r="AU1031">
        <f>HYPERLINK("https://creighton-primo.hosted.exlibrisgroup.com/primo-explore/search?tab=default_tab&amp;search_scope=EVERYTHING&amp;vid=01CRU&amp;lang=en_US&amp;offset=0&amp;query=any,contains,991001361109702656","Catalog Record")</f>
        <v/>
      </c>
      <c r="AV1031">
        <f>HYPERLINK("http://www.worldcat.org/oclc/19922596","WorldCat Record")</f>
        <v/>
      </c>
      <c r="AW1031" t="inlineStr">
        <is>
          <t>21482215:eng</t>
        </is>
      </c>
      <c r="AX1031" t="inlineStr">
        <is>
          <t>19922596</t>
        </is>
      </c>
      <c r="AY1031" t="inlineStr">
        <is>
          <t>991001361109702656</t>
        </is>
      </c>
      <c r="AZ1031" t="inlineStr">
        <is>
          <t>991001361109702656</t>
        </is>
      </c>
      <c r="BA1031" t="inlineStr">
        <is>
          <t>2261457140002656</t>
        </is>
      </c>
      <c r="BB1031" t="inlineStr">
        <is>
          <t>BOOK</t>
        </is>
      </c>
      <c r="BD1031" t="inlineStr">
        <is>
          <t>9780721680231</t>
        </is>
      </c>
      <c r="BE1031" t="inlineStr">
        <is>
          <t>30001001796723</t>
        </is>
      </c>
      <c r="BF1031" t="inlineStr">
        <is>
          <t>893364030</t>
        </is>
      </c>
    </row>
    <row r="1032">
      <c r="A1032" t="inlineStr">
        <is>
          <t>No</t>
        </is>
      </c>
      <c r="B1032" t="inlineStr">
        <is>
          <t>CUHSL</t>
        </is>
      </c>
      <c r="C1032" t="inlineStr">
        <is>
          <t>SHELVES</t>
        </is>
      </c>
      <c r="D1032" t="inlineStr">
        <is>
          <t>WY 100 S578 1985</t>
        </is>
      </c>
      <c r="E1032" t="inlineStr">
        <is>
          <t>0                      WY 0100000S  578         1985</t>
        </is>
      </c>
      <c r="F1032" t="inlineStr">
        <is>
          <t>Signs and symptoms in nursing : interpretation and management / edited by Margaret Meier Jacobs and Wilma Geels ; 22 contributors.</t>
        </is>
      </c>
      <c r="H1032" t="inlineStr">
        <is>
          <t>No</t>
        </is>
      </c>
      <c r="I1032" t="inlineStr">
        <is>
          <t>1</t>
        </is>
      </c>
      <c r="J1032" t="inlineStr">
        <is>
          <t>No</t>
        </is>
      </c>
      <c r="K1032" t="inlineStr">
        <is>
          <t>No</t>
        </is>
      </c>
      <c r="L1032" t="inlineStr">
        <is>
          <t>0</t>
        </is>
      </c>
      <c r="N1032" t="inlineStr">
        <is>
          <t>Philadelphia : Lippincott, c1985.</t>
        </is>
      </c>
      <c r="O1032" t="inlineStr">
        <is>
          <t>1985</t>
        </is>
      </c>
      <c r="Q1032" t="inlineStr">
        <is>
          <t>eng</t>
        </is>
      </c>
      <c r="R1032" t="inlineStr">
        <is>
          <t>pau</t>
        </is>
      </c>
      <c r="T1032" t="inlineStr">
        <is>
          <t xml:space="preserve">WY </t>
        </is>
      </c>
      <c r="U1032" t="n">
        <v>3</v>
      </c>
      <c r="V1032" t="n">
        <v>3</v>
      </c>
      <c r="W1032" t="inlineStr">
        <is>
          <t>1994-11-28</t>
        </is>
      </c>
      <c r="X1032" t="inlineStr">
        <is>
          <t>1994-11-28</t>
        </is>
      </c>
      <c r="Y1032" t="inlineStr">
        <is>
          <t>1987-12-30</t>
        </is>
      </c>
      <c r="Z1032" t="inlineStr">
        <is>
          <t>1987-12-30</t>
        </is>
      </c>
      <c r="AA1032" t="n">
        <v>283</v>
      </c>
      <c r="AB1032" t="n">
        <v>225</v>
      </c>
      <c r="AC1032" t="n">
        <v>228</v>
      </c>
      <c r="AD1032" t="n">
        <v>2</v>
      </c>
      <c r="AE1032" t="n">
        <v>2</v>
      </c>
      <c r="AF1032" t="n">
        <v>6</v>
      </c>
      <c r="AG1032" t="n">
        <v>6</v>
      </c>
      <c r="AH1032" t="n">
        <v>3</v>
      </c>
      <c r="AI1032" t="n">
        <v>3</v>
      </c>
      <c r="AJ1032" t="n">
        <v>1</v>
      </c>
      <c r="AK1032" t="n">
        <v>1</v>
      </c>
      <c r="AL1032" t="n">
        <v>4</v>
      </c>
      <c r="AM1032" t="n">
        <v>4</v>
      </c>
      <c r="AN1032" t="n">
        <v>0</v>
      </c>
      <c r="AO1032" t="n">
        <v>0</v>
      </c>
      <c r="AP1032" t="n">
        <v>0</v>
      </c>
      <c r="AQ1032" t="n">
        <v>0</v>
      </c>
      <c r="AR1032" t="inlineStr">
        <is>
          <t>No</t>
        </is>
      </c>
      <c r="AS1032" t="inlineStr">
        <is>
          <t>Yes</t>
        </is>
      </c>
      <c r="AT1032">
        <f>HYPERLINK("http://catalog.hathitrust.org/Record/000249666","HathiTrust Record")</f>
        <v/>
      </c>
      <c r="AU1032">
        <f>HYPERLINK("https://creighton-primo.hosted.exlibrisgroup.com/primo-explore/search?tab=default_tab&amp;search_scope=EVERYTHING&amp;vid=01CRU&amp;lang=en_US&amp;offset=0&amp;query=any,contains,991001149469702656","Catalog Record")</f>
        <v/>
      </c>
      <c r="AV1032">
        <f>HYPERLINK("http://www.worldcat.org/oclc/10878363","WorldCat Record")</f>
        <v/>
      </c>
      <c r="AW1032" t="inlineStr">
        <is>
          <t>836669349:eng</t>
        </is>
      </c>
      <c r="AX1032" t="inlineStr">
        <is>
          <t>10878363</t>
        </is>
      </c>
      <c r="AY1032" t="inlineStr">
        <is>
          <t>991001149469702656</t>
        </is>
      </c>
      <c r="AZ1032" t="inlineStr">
        <is>
          <t>991001149469702656</t>
        </is>
      </c>
      <c r="BA1032" t="inlineStr">
        <is>
          <t>2255814820002656</t>
        </is>
      </c>
      <c r="BB1032" t="inlineStr">
        <is>
          <t>BOOK</t>
        </is>
      </c>
      <c r="BD1032" t="inlineStr">
        <is>
          <t>9780397543915</t>
        </is>
      </c>
      <c r="BE1032" t="inlineStr">
        <is>
          <t>30001000295487</t>
        </is>
      </c>
      <c r="BF1032" t="inlineStr">
        <is>
          <t>893369145</t>
        </is>
      </c>
    </row>
    <row r="1033">
      <c r="A1033" t="inlineStr">
        <is>
          <t>No</t>
        </is>
      </c>
      <c r="B1033" t="inlineStr">
        <is>
          <t>CUHSL</t>
        </is>
      </c>
      <c r="C1033" t="inlineStr">
        <is>
          <t>SHELVES</t>
        </is>
      </c>
      <c r="D1033" t="inlineStr">
        <is>
          <t>WY 100 S659c 1992</t>
        </is>
      </c>
      <c r="E1033" t="inlineStr">
        <is>
          <t>0                      WY 0100000S  659c        1992</t>
        </is>
      </c>
      <c r="F1033" t="inlineStr">
        <is>
          <t>Clinical nursing skills : nursing process model, basic to advanced skills / Sandra F. Smith, Donna J. Duell.</t>
        </is>
      </c>
      <c r="H1033" t="inlineStr">
        <is>
          <t>No</t>
        </is>
      </c>
      <c r="I1033" t="inlineStr">
        <is>
          <t>1</t>
        </is>
      </c>
      <c r="J1033" t="inlineStr">
        <is>
          <t>No</t>
        </is>
      </c>
      <c r="K1033" t="inlineStr">
        <is>
          <t>No</t>
        </is>
      </c>
      <c r="L1033" t="inlineStr">
        <is>
          <t>0</t>
        </is>
      </c>
      <c r="M1033" t="inlineStr">
        <is>
          <t>Smith, Sandra Fucci.</t>
        </is>
      </c>
      <c r="N1033" t="inlineStr">
        <is>
          <t>Norwalk, Conn. : Appleton &amp; Lange, c1992.</t>
        </is>
      </c>
      <c r="O1033" t="inlineStr">
        <is>
          <t>1992</t>
        </is>
      </c>
      <c r="P1033" t="inlineStr">
        <is>
          <t>3rd ed.</t>
        </is>
      </c>
      <c r="Q1033" t="inlineStr">
        <is>
          <t>eng</t>
        </is>
      </c>
      <c r="R1033" t="inlineStr">
        <is>
          <t>ctu</t>
        </is>
      </c>
      <c r="T1033" t="inlineStr">
        <is>
          <t xml:space="preserve">WY </t>
        </is>
      </c>
      <c r="U1033" t="n">
        <v>14</v>
      </c>
      <c r="V1033" t="n">
        <v>14</v>
      </c>
      <c r="W1033" t="inlineStr">
        <is>
          <t>1998-09-15</t>
        </is>
      </c>
      <c r="X1033" t="inlineStr">
        <is>
          <t>1998-09-15</t>
        </is>
      </c>
      <c r="Y1033" t="inlineStr">
        <is>
          <t>1992-06-11</t>
        </is>
      </c>
      <c r="Z1033" t="inlineStr">
        <is>
          <t>1992-06-11</t>
        </is>
      </c>
      <c r="AA1033" t="n">
        <v>190</v>
      </c>
      <c r="AB1033" t="n">
        <v>149</v>
      </c>
      <c r="AC1033" t="n">
        <v>923</v>
      </c>
      <c r="AD1033" t="n">
        <v>2</v>
      </c>
      <c r="AE1033" t="n">
        <v>4</v>
      </c>
      <c r="AF1033" t="n">
        <v>1</v>
      </c>
      <c r="AG1033" t="n">
        <v>19</v>
      </c>
      <c r="AH1033" t="n">
        <v>0</v>
      </c>
      <c r="AI1033" t="n">
        <v>7</v>
      </c>
      <c r="AJ1033" t="n">
        <v>0</v>
      </c>
      <c r="AK1033" t="n">
        <v>4</v>
      </c>
      <c r="AL1033" t="n">
        <v>1</v>
      </c>
      <c r="AM1033" t="n">
        <v>9</v>
      </c>
      <c r="AN1033" t="n">
        <v>0</v>
      </c>
      <c r="AO1033" t="n">
        <v>2</v>
      </c>
      <c r="AP1033" t="n">
        <v>0</v>
      </c>
      <c r="AQ1033" t="n">
        <v>0</v>
      </c>
      <c r="AR1033" t="inlineStr">
        <is>
          <t>No</t>
        </is>
      </c>
      <c r="AS1033" t="inlineStr">
        <is>
          <t>Yes</t>
        </is>
      </c>
      <c r="AT1033">
        <f>HYPERLINK("http://catalog.hathitrust.org/Record/002600361","HathiTrust Record")</f>
        <v/>
      </c>
      <c r="AU1033">
        <f>HYPERLINK("https://creighton-primo.hosted.exlibrisgroup.com/primo-explore/search?tab=default_tab&amp;search_scope=EVERYTHING&amp;vid=01CRU&amp;lang=en_US&amp;offset=0&amp;query=any,contains,991001307619702656","Catalog Record")</f>
        <v/>
      </c>
      <c r="AV1033">
        <f>HYPERLINK("http://www.worldcat.org/oclc/24667696","WorldCat Record")</f>
        <v/>
      </c>
      <c r="AW1033" t="inlineStr">
        <is>
          <t>9721703:eng</t>
        </is>
      </c>
      <c r="AX1033" t="inlineStr">
        <is>
          <t>24667696</t>
        </is>
      </c>
      <c r="AY1033" t="inlineStr">
        <is>
          <t>991001307619702656</t>
        </is>
      </c>
      <c r="AZ1033" t="inlineStr">
        <is>
          <t>991001307619702656</t>
        </is>
      </c>
      <c r="BA1033" t="inlineStr">
        <is>
          <t>2255792560002656</t>
        </is>
      </c>
      <c r="BB1033" t="inlineStr">
        <is>
          <t>BOOK</t>
        </is>
      </c>
      <c r="BD1033" t="inlineStr">
        <is>
          <t>9780838513354</t>
        </is>
      </c>
      <c r="BE1033" t="inlineStr">
        <is>
          <t>30001002414375</t>
        </is>
      </c>
      <c r="BF1033" t="inlineStr">
        <is>
          <t>893552346</t>
        </is>
      </c>
    </row>
    <row r="1034">
      <c r="A1034" t="inlineStr">
        <is>
          <t>No</t>
        </is>
      </c>
      <c r="B1034" t="inlineStr">
        <is>
          <t>CUHSL</t>
        </is>
      </c>
      <c r="C1034" t="inlineStr">
        <is>
          <t>SHELVES</t>
        </is>
      </c>
      <c r="D1034" t="inlineStr">
        <is>
          <t>WY 100 S844n 1979</t>
        </is>
      </c>
      <c r="E1034" t="inlineStr">
        <is>
          <t>0                      WY 0100000S  844n        1979</t>
        </is>
      </c>
      <c r="F1034" t="inlineStr">
        <is>
          <t>Nursing theory : analysis, application, evaluation / Barbara J. Stevens.</t>
        </is>
      </c>
      <c r="H1034" t="inlineStr">
        <is>
          <t>No</t>
        </is>
      </c>
      <c r="I1034" t="inlineStr">
        <is>
          <t>1</t>
        </is>
      </c>
      <c r="J1034" t="inlineStr">
        <is>
          <t>No</t>
        </is>
      </c>
      <c r="K1034" t="inlineStr">
        <is>
          <t>Yes</t>
        </is>
      </c>
      <c r="L1034" t="inlineStr">
        <is>
          <t>0</t>
        </is>
      </c>
      <c r="M1034" t="inlineStr">
        <is>
          <t>Barnum, Barbara Stevens.</t>
        </is>
      </c>
      <c r="N1034" t="inlineStr">
        <is>
          <t>Boston : Little, Brown, c1979.</t>
        </is>
      </c>
      <c r="O1034" t="inlineStr">
        <is>
          <t>1979</t>
        </is>
      </c>
      <c r="P1034" t="inlineStr">
        <is>
          <t>1st ed.</t>
        </is>
      </c>
      <c r="Q1034" t="inlineStr">
        <is>
          <t>eng</t>
        </is>
      </c>
      <c r="R1034" t="inlineStr">
        <is>
          <t>mau</t>
        </is>
      </c>
      <c r="T1034" t="inlineStr">
        <is>
          <t xml:space="preserve">WY </t>
        </is>
      </c>
      <c r="U1034" t="n">
        <v>14</v>
      </c>
      <c r="V1034" t="n">
        <v>14</v>
      </c>
      <c r="W1034" t="inlineStr">
        <is>
          <t>1996-10-14</t>
        </is>
      </c>
      <c r="X1034" t="inlineStr">
        <is>
          <t>1996-10-14</t>
        </is>
      </c>
      <c r="Y1034" t="inlineStr">
        <is>
          <t>1987-12-30</t>
        </is>
      </c>
      <c r="Z1034" t="inlineStr">
        <is>
          <t>1987-12-30</t>
        </is>
      </c>
      <c r="AA1034" t="n">
        <v>307</v>
      </c>
      <c r="AB1034" t="n">
        <v>260</v>
      </c>
      <c r="AC1034" t="n">
        <v>839</v>
      </c>
      <c r="AD1034" t="n">
        <v>3</v>
      </c>
      <c r="AE1034" t="n">
        <v>8</v>
      </c>
      <c r="AF1034" t="n">
        <v>12</v>
      </c>
      <c r="AG1034" t="n">
        <v>34</v>
      </c>
      <c r="AH1034" t="n">
        <v>5</v>
      </c>
      <c r="AI1034" t="n">
        <v>14</v>
      </c>
      <c r="AJ1034" t="n">
        <v>3</v>
      </c>
      <c r="AK1034" t="n">
        <v>6</v>
      </c>
      <c r="AL1034" t="n">
        <v>6</v>
      </c>
      <c r="AM1034" t="n">
        <v>15</v>
      </c>
      <c r="AN1034" t="n">
        <v>0</v>
      </c>
      <c r="AO1034" t="n">
        <v>5</v>
      </c>
      <c r="AP1034" t="n">
        <v>0</v>
      </c>
      <c r="AQ1034" t="n">
        <v>0</v>
      </c>
      <c r="AR1034" t="inlineStr">
        <is>
          <t>No</t>
        </is>
      </c>
      <c r="AS1034" t="inlineStr">
        <is>
          <t>Yes</t>
        </is>
      </c>
      <c r="AT1034">
        <f>HYPERLINK("http://catalog.hathitrust.org/Record/000706145","HathiTrust Record")</f>
        <v/>
      </c>
      <c r="AU1034">
        <f>HYPERLINK("https://creighton-primo.hosted.exlibrisgroup.com/primo-explore/search?tab=default_tab&amp;search_scope=EVERYTHING&amp;vid=01CRU&amp;lang=en_US&amp;offset=0&amp;query=any,contains,991001149729702656","Catalog Record")</f>
        <v/>
      </c>
      <c r="AV1034">
        <f>HYPERLINK("http://www.worldcat.org/oclc/4623696","WorldCat Record")</f>
        <v/>
      </c>
      <c r="AW1034" t="inlineStr">
        <is>
          <t>836646322:eng</t>
        </is>
      </c>
      <c r="AX1034" t="inlineStr">
        <is>
          <t>4623696</t>
        </is>
      </c>
      <c r="AY1034" t="inlineStr">
        <is>
          <t>991001149729702656</t>
        </is>
      </c>
      <c r="AZ1034" t="inlineStr">
        <is>
          <t>991001149729702656</t>
        </is>
      </c>
      <c r="BA1034" t="inlineStr">
        <is>
          <t>2256853100002656</t>
        </is>
      </c>
      <c r="BB1034" t="inlineStr">
        <is>
          <t>BOOK</t>
        </is>
      </c>
      <c r="BD1034" t="inlineStr">
        <is>
          <t>9780316089890</t>
        </is>
      </c>
      <c r="BE1034" t="inlineStr">
        <is>
          <t>30001000295552</t>
        </is>
      </c>
      <c r="BF1034" t="inlineStr">
        <is>
          <t>893727289</t>
        </is>
      </c>
    </row>
    <row r="1035">
      <c r="A1035" t="inlineStr">
        <is>
          <t>No</t>
        </is>
      </c>
      <c r="B1035" t="inlineStr">
        <is>
          <t>CUHSL</t>
        </is>
      </c>
      <c r="C1035" t="inlineStr">
        <is>
          <t>SHELVES</t>
        </is>
      </c>
      <c r="D1035" t="inlineStr">
        <is>
          <t>WY 100 S949c 1999</t>
        </is>
      </c>
      <c r="E1035" t="inlineStr">
        <is>
          <t>0                      WY 0100000S  949c        1999</t>
        </is>
      </c>
      <c r="F1035" t="inlineStr">
        <is>
          <t>Creating nursing's future : issues, opportunities, and challenges / Eleanor J. Sullivan.</t>
        </is>
      </c>
      <c r="H1035" t="inlineStr">
        <is>
          <t>No</t>
        </is>
      </c>
      <c r="I1035" t="inlineStr">
        <is>
          <t>1</t>
        </is>
      </c>
      <c r="J1035" t="inlineStr">
        <is>
          <t>No</t>
        </is>
      </c>
      <c r="K1035" t="inlineStr">
        <is>
          <t>No</t>
        </is>
      </c>
      <c r="L1035" t="inlineStr">
        <is>
          <t>0</t>
        </is>
      </c>
      <c r="M1035" t="inlineStr">
        <is>
          <t>Sullivan, Eleanor J., 1938-</t>
        </is>
      </c>
      <c r="N1035" t="inlineStr">
        <is>
          <t>St. Louis : Mosby, c1999.</t>
        </is>
      </c>
      <c r="O1035" t="inlineStr">
        <is>
          <t>1999</t>
        </is>
      </c>
      <c r="Q1035" t="inlineStr">
        <is>
          <t>eng</t>
        </is>
      </c>
      <c r="R1035" t="inlineStr">
        <is>
          <t>mou</t>
        </is>
      </c>
      <c r="T1035" t="inlineStr">
        <is>
          <t xml:space="preserve">WY </t>
        </is>
      </c>
      <c r="U1035" t="n">
        <v>4</v>
      </c>
      <c r="V1035" t="n">
        <v>4</v>
      </c>
      <c r="W1035" t="inlineStr">
        <is>
          <t>2002-04-17</t>
        </is>
      </c>
      <c r="X1035" t="inlineStr">
        <is>
          <t>2002-04-17</t>
        </is>
      </c>
      <c r="Y1035" t="inlineStr">
        <is>
          <t>1999-02-05</t>
        </is>
      </c>
      <c r="Z1035" t="inlineStr">
        <is>
          <t>1999-02-05</t>
        </is>
      </c>
      <c r="AA1035" t="n">
        <v>328</v>
      </c>
      <c r="AB1035" t="n">
        <v>256</v>
      </c>
      <c r="AC1035" t="n">
        <v>263</v>
      </c>
      <c r="AD1035" t="n">
        <v>1</v>
      </c>
      <c r="AE1035" t="n">
        <v>1</v>
      </c>
      <c r="AF1035" t="n">
        <v>9</v>
      </c>
      <c r="AG1035" t="n">
        <v>9</v>
      </c>
      <c r="AH1035" t="n">
        <v>3</v>
      </c>
      <c r="AI1035" t="n">
        <v>3</v>
      </c>
      <c r="AJ1035" t="n">
        <v>1</v>
      </c>
      <c r="AK1035" t="n">
        <v>1</v>
      </c>
      <c r="AL1035" t="n">
        <v>7</v>
      </c>
      <c r="AM1035" t="n">
        <v>7</v>
      </c>
      <c r="AN1035" t="n">
        <v>0</v>
      </c>
      <c r="AO1035" t="n">
        <v>0</v>
      </c>
      <c r="AP1035" t="n">
        <v>0</v>
      </c>
      <c r="AQ1035" t="n">
        <v>0</v>
      </c>
      <c r="AR1035" t="inlineStr">
        <is>
          <t>No</t>
        </is>
      </c>
      <c r="AS1035" t="inlineStr">
        <is>
          <t>Yes</t>
        </is>
      </c>
      <c r="AT1035">
        <f>HYPERLINK("http://catalog.hathitrust.org/Record/004017042","HathiTrust Record")</f>
        <v/>
      </c>
      <c r="AU1035">
        <f>HYPERLINK("https://creighton-primo.hosted.exlibrisgroup.com/primo-explore/search?tab=default_tab&amp;search_scope=EVERYTHING&amp;vid=01CRU&amp;lang=en_US&amp;offset=0&amp;query=any,contains,991001572089702656","Catalog Record")</f>
        <v/>
      </c>
      <c r="AV1035">
        <f>HYPERLINK("http://www.worldcat.org/oclc/39982644","WorldCat Record")</f>
        <v/>
      </c>
      <c r="AW1035" t="inlineStr">
        <is>
          <t>837000649:eng</t>
        </is>
      </c>
      <c r="AX1035" t="inlineStr">
        <is>
          <t>39982644</t>
        </is>
      </c>
      <c r="AY1035" t="inlineStr">
        <is>
          <t>991001572089702656</t>
        </is>
      </c>
      <c r="AZ1035" t="inlineStr">
        <is>
          <t>991001572089702656</t>
        </is>
      </c>
      <c r="BA1035" t="inlineStr">
        <is>
          <t>2258009970002656</t>
        </is>
      </c>
      <c r="BB1035" t="inlineStr">
        <is>
          <t>BOOK</t>
        </is>
      </c>
      <c r="BD1035" t="inlineStr">
        <is>
          <t>9780323002394</t>
        </is>
      </c>
      <c r="BE1035" t="inlineStr">
        <is>
          <t>30001004159101</t>
        </is>
      </c>
      <c r="BF1035" t="inlineStr">
        <is>
          <t>893821349</t>
        </is>
      </c>
    </row>
    <row r="1036">
      <c r="A1036" t="inlineStr">
        <is>
          <t>No</t>
        </is>
      </c>
      <c r="B1036" t="inlineStr">
        <is>
          <t>CUHSL</t>
        </is>
      </c>
      <c r="C1036" t="inlineStr">
        <is>
          <t>SHELVES</t>
        </is>
      </c>
      <c r="D1036" t="inlineStr">
        <is>
          <t>WY 100 S957f 1989</t>
        </is>
      </c>
      <c r="E1036" t="inlineStr">
        <is>
          <t>0                      WY 0100000S  957f        1989</t>
        </is>
      </c>
      <c r="F1036" t="inlineStr">
        <is>
          <t>Fundamentals of nursing : with clinical procedures / Mary C. Sundberg.</t>
        </is>
      </c>
      <c r="H1036" t="inlineStr">
        <is>
          <t>No</t>
        </is>
      </c>
      <c r="I1036" t="inlineStr">
        <is>
          <t>1</t>
        </is>
      </c>
      <c r="J1036" t="inlineStr">
        <is>
          <t>No</t>
        </is>
      </c>
      <c r="K1036" t="inlineStr">
        <is>
          <t>No</t>
        </is>
      </c>
      <c r="L1036" t="inlineStr">
        <is>
          <t>0</t>
        </is>
      </c>
      <c r="M1036" t="inlineStr">
        <is>
          <t>Sundberg, Mary C.</t>
        </is>
      </c>
      <c r="N1036" t="inlineStr">
        <is>
          <t>Boston : Jones and Bartlett, c1989.</t>
        </is>
      </c>
      <c r="O1036" t="inlineStr">
        <is>
          <t>1989</t>
        </is>
      </c>
      <c r="P1036" t="inlineStr">
        <is>
          <t>2nd ed.</t>
        </is>
      </c>
      <c r="Q1036" t="inlineStr">
        <is>
          <t>eng</t>
        </is>
      </c>
      <c r="R1036" t="inlineStr">
        <is>
          <t>mau</t>
        </is>
      </c>
      <c r="T1036" t="inlineStr">
        <is>
          <t xml:space="preserve">WY </t>
        </is>
      </c>
      <c r="U1036" t="n">
        <v>16</v>
      </c>
      <c r="V1036" t="n">
        <v>16</v>
      </c>
      <c r="W1036" t="inlineStr">
        <is>
          <t>1995-06-21</t>
        </is>
      </c>
      <c r="X1036" t="inlineStr">
        <is>
          <t>1995-06-21</t>
        </is>
      </c>
      <c r="Y1036" t="inlineStr">
        <is>
          <t>1989-08-08</t>
        </is>
      </c>
      <c r="Z1036" t="inlineStr">
        <is>
          <t>1989-08-08</t>
        </is>
      </c>
      <c r="AA1036" t="n">
        <v>179</v>
      </c>
      <c r="AB1036" t="n">
        <v>144</v>
      </c>
      <c r="AC1036" t="n">
        <v>203</v>
      </c>
      <c r="AD1036" t="n">
        <v>1</v>
      </c>
      <c r="AE1036" t="n">
        <v>1</v>
      </c>
      <c r="AF1036" t="n">
        <v>3</v>
      </c>
      <c r="AG1036" t="n">
        <v>6</v>
      </c>
      <c r="AH1036" t="n">
        <v>0</v>
      </c>
      <c r="AI1036" t="n">
        <v>0</v>
      </c>
      <c r="AJ1036" t="n">
        <v>1</v>
      </c>
      <c r="AK1036" t="n">
        <v>2</v>
      </c>
      <c r="AL1036" t="n">
        <v>3</v>
      </c>
      <c r="AM1036" t="n">
        <v>5</v>
      </c>
      <c r="AN1036" t="n">
        <v>0</v>
      </c>
      <c r="AO1036" t="n">
        <v>0</v>
      </c>
      <c r="AP1036" t="n">
        <v>0</v>
      </c>
      <c r="AQ1036" t="n">
        <v>0</v>
      </c>
      <c r="AR1036" t="inlineStr">
        <is>
          <t>No</t>
        </is>
      </c>
      <c r="AS1036" t="inlineStr">
        <is>
          <t>No</t>
        </is>
      </c>
      <c r="AU1036">
        <f>HYPERLINK("https://creighton-primo.hosted.exlibrisgroup.com/primo-explore/search?tab=default_tab&amp;search_scope=EVERYTHING&amp;vid=01CRU&amp;lang=en_US&amp;offset=0&amp;query=any,contains,991001313039702656","Catalog Record")</f>
        <v/>
      </c>
      <c r="AV1036">
        <f>HYPERLINK("http://www.worldcat.org/oclc/19067513","WorldCat Record")</f>
        <v/>
      </c>
      <c r="AW1036" t="inlineStr">
        <is>
          <t>1780204184:eng</t>
        </is>
      </c>
      <c r="AX1036" t="inlineStr">
        <is>
          <t>19067513</t>
        </is>
      </c>
      <c r="AY1036" t="inlineStr">
        <is>
          <t>991001313039702656</t>
        </is>
      </c>
      <c r="AZ1036" t="inlineStr">
        <is>
          <t>991001313039702656</t>
        </is>
      </c>
      <c r="BA1036" t="inlineStr">
        <is>
          <t>2256521160002656</t>
        </is>
      </c>
      <c r="BB1036" t="inlineStr">
        <is>
          <t>BOOK</t>
        </is>
      </c>
      <c r="BD1036" t="inlineStr">
        <is>
          <t>9780867204223</t>
        </is>
      </c>
      <c r="BE1036" t="inlineStr">
        <is>
          <t>30001001751595</t>
        </is>
      </c>
      <c r="BF1036" t="inlineStr">
        <is>
          <t>893651962</t>
        </is>
      </c>
    </row>
    <row r="1037">
      <c r="A1037" t="inlineStr">
        <is>
          <t>No</t>
        </is>
      </c>
      <c r="B1037" t="inlineStr">
        <is>
          <t>CUHSL</t>
        </is>
      </c>
      <c r="C1037" t="inlineStr">
        <is>
          <t>SHELVES</t>
        </is>
      </c>
      <c r="D1037" t="inlineStr">
        <is>
          <t>WY 100 T247 2005</t>
        </is>
      </c>
      <c r="E1037" t="inlineStr">
        <is>
          <t>0                      WY 0100000T  247         2005</t>
        </is>
      </c>
      <c r="F1037" t="inlineStr">
        <is>
          <t>Taylor's clinical nursing skills : a nursing process approach / [edited by] Pamela Evans-Smith.</t>
        </is>
      </c>
      <c r="H1037" t="inlineStr">
        <is>
          <t>No</t>
        </is>
      </c>
      <c r="I1037" t="inlineStr">
        <is>
          <t>1</t>
        </is>
      </c>
      <c r="J1037" t="inlineStr">
        <is>
          <t>No</t>
        </is>
      </c>
      <c r="K1037" t="inlineStr">
        <is>
          <t>No</t>
        </is>
      </c>
      <c r="L1037" t="inlineStr">
        <is>
          <t>0</t>
        </is>
      </c>
      <c r="N1037" t="inlineStr">
        <is>
          <t>Philadelphia : Lippincott Williams &amp; Wilkins, c2005.</t>
        </is>
      </c>
      <c r="O1037" t="inlineStr">
        <is>
          <t>2005</t>
        </is>
      </c>
      <c r="Q1037" t="inlineStr">
        <is>
          <t>eng</t>
        </is>
      </c>
      <c r="R1037" t="inlineStr">
        <is>
          <t>pau</t>
        </is>
      </c>
      <c r="T1037" t="inlineStr">
        <is>
          <t xml:space="preserve">WY </t>
        </is>
      </c>
      <c r="U1037" t="n">
        <v>0</v>
      </c>
      <c r="V1037" t="n">
        <v>0</v>
      </c>
      <c r="W1037" t="inlineStr">
        <is>
          <t>2007-06-28</t>
        </is>
      </c>
      <c r="X1037" t="inlineStr">
        <is>
          <t>2007-06-28</t>
        </is>
      </c>
      <c r="Y1037" t="inlineStr">
        <is>
          <t>2007-06-12</t>
        </is>
      </c>
      <c r="Z1037" t="inlineStr">
        <is>
          <t>2007-06-12</t>
        </is>
      </c>
      <c r="AA1037" t="n">
        <v>179</v>
      </c>
      <c r="AB1037" t="n">
        <v>115</v>
      </c>
      <c r="AC1037" t="n">
        <v>584</v>
      </c>
      <c r="AD1037" t="n">
        <v>1</v>
      </c>
      <c r="AE1037" t="n">
        <v>2</v>
      </c>
      <c r="AF1037" t="n">
        <v>4</v>
      </c>
      <c r="AG1037" t="n">
        <v>14</v>
      </c>
      <c r="AH1037" t="n">
        <v>1</v>
      </c>
      <c r="AI1037" t="n">
        <v>5</v>
      </c>
      <c r="AJ1037" t="n">
        <v>1</v>
      </c>
      <c r="AK1037" t="n">
        <v>3</v>
      </c>
      <c r="AL1037" t="n">
        <v>3</v>
      </c>
      <c r="AM1037" t="n">
        <v>7</v>
      </c>
      <c r="AN1037" t="n">
        <v>0</v>
      </c>
      <c r="AO1037" t="n">
        <v>1</v>
      </c>
      <c r="AP1037" t="n">
        <v>0</v>
      </c>
      <c r="AQ1037" t="n">
        <v>0</v>
      </c>
      <c r="AR1037" t="inlineStr">
        <is>
          <t>No</t>
        </is>
      </c>
      <c r="AS1037" t="inlineStr">
        <is>
          <t>No</t>
        </is>
      </c>
      <c r="AU1037">
        <f>HYPERLINK("https://creighton-primo.hosted.exlibrisgroup.com/primo-explore/search?tab=default_tab&amp;search_scope=EVERYTHING&amp;vid=01CRU&amp;lang=en_US&amp;offset=0&amp;query=any,contains,991000632319702656","Catalog Record")</f>
        <v/>
      </c>
      <c r="AV1037">
        <f>HYPERLINK("http://www.worldcat.org/oclc/54906932","WorldCat Record")</f>
        <v/>
      </c>
      <c r="AW1037" t="inlineStr">
        <is>
          <t>866628577:eng</t>
        </is>
      </c>
      <c r="AX1037" t="inlineStr">
        <is>
          <t>54906932</t>
        </is>
      </c>
      <c r="AY1037" t="inlineStr">
        <is>
          <t>991000632319702656</t>
        </is>
      </c>
      <c r="AZ1037" t="inlineStr">
        <is>
          <t>991000632319702656</t>
        </is>
      </c>
      <c r="BA1037" t="inlineStr">
        <is>
          <t>2257827330002656</t>
        </is>
      </c>
      <c r="BB1037" t="inlineStr">
        <is>
          <t>BOOK</t>
        </is>
      </c>
      <c r="BD1037" t="inlineStr">
        <is>
          <t>9780781751384</t>
        </is>
      </c>
      <c r="BE1037" t="inlineStr">
        <is>
          <t>30001005218633</t>
        </is>
      </c>
      <c r="BF1037" t="inlineStr">
        <is>
          <t>893830846</t>
        </is>
      </c>
    </row>
    <row r="1038">
      <c r="A1038" t="inlineStr">
        <is>
          <t>No</t>
        </is>
      </c>
      <c r="B1038" t="inlineStr">
        <is>
          <t>CUHSL</t>
        </is>
      </c>
      <c r="C1038" t="inlineStr">
        <is>
          <t>SHELVES</t>
        </is>
      </c>
      <c r="D1038" t="inlineStr">
        <is>
          <t>WY 100 T427n 1983</t>
        </is>
      </c>
      <c r="E1038" t="inlineStr">
        <is>
          <t>0                      WY 0100000T  427n        1983</t>
        </is>
      </c>
      <c r="F1038" t="inlineStr">
        <is>
          <t>Nursing models, analysis and evaluation / Janice A. Thibodeau.</t>
        </is>
      </c>
      <c r="H1038" t="inlineStr">
        <is>
          <t>No</t>
        </is>
      </c>
      <c r="I1038" t="inlineStr">
        <is>
          <t>1</t>
        </is>
      </c>
      <c r="J1038" t="inlineStr">
        <is>
          <t>No</t>
        </is>
      </c>
      <c r="K1038" t="inlineStr">
        <is>
          <t>No</t>
        </is>
      </c>
      <c r="L1038" t="inlineStr">
        <is>
          <t>0</t>
        </is>
      </c>
      <c r="M1038" t="inlineStr">
        <is>
          <t>Thibodeau, Janice A.</t>
        </is>
      </c>
      <c r="N1038" t="inlineStr">
        <is>
          <t>Monterey, Calif. : Wadsworth Health Sciences Division, c1983.</t>
        </is>
      </c>
      <c r="O1038" t="inlineStr">
        <is>
          <t>1983</t>
        </is>
      </c>
      <c r="Q1038" t="inlineStr">
        <is>
          <t>eng</t>
        </is>
      </c>
      <c r="R1038" t="inlineStr">
        <is>
          <t>xxu</t>
        </is>
      </c>
      <c r="T1038" t="inlineStr">
        <is>
          <t xml:space="preserve">WY </t>
        </is>
      </c>
      <c r="U1038" t="n">
        <v>8</v>
      </c>
      <c r="V1038" t="n">
        <v>8</v>
      </c>
      <c r="W1038" t="inlineStr">
        <is>
          <t>1993-10-11</t>
        </is>
      </c>
      <c r="X1038" t="inlineStr">
        <is>
          <t>1993-10-11</t>
        </is>
      </c>
      <c r="Y1038" t="inlineStr">
        <is>
          <t>1987-12-30</t>
        </is>
      </c>
      <c r="Z1038" t="inlineStr">
        <is>
          <t>1987-12-30</t>
        </is>
      </c>
      <c r="AA1038" t="n">
        <v>269</v>
      </c>
      <c r="AB1038" t="n">
        <v>197</v>
      </c>
      <c r="AC1038" t="n">
        <v>199</v>
      </c>
      <c r="AD1038" t="n">
        <v>1</v>
      </c>
      <c r="AE1038" t="n">
        <v>1</v>
      </c>
      <c r="AF1038" t="n">
        <v>14</v>
      </c>
      <c r="AG1038" t="n">
        <v>14</v>
      </c>
      <c r="AH1038" t="n">
        <v>7</v>
      </c>
      <c r="AI1038" t="n">
        <v>7</v>
      </c>
      <c r="AJ1038" t="n">
        <v>3</v>
      </c>
      <c r="AK1038" t="n">
        <v>3</v>
      </c>
      <c r="AL1038" t="n">
        <v>7</v>
      </c>
      <c r="AM1038" t="n">
        <v>7</v>
      </c>
      <c r="AN1038" t="n">
        <v>0</v>
      </c>
      <c r="AO1038" t="n">
        <v>0</v>
      </c>
      <c r="AP1038" t="n">
        <v>0</v>
      </c>
      <c r="AQ1038" t="n">
        <v>0</v>
      </c>
      <c r="AR1038" t="inlineStr">
        <is>
          <t>No</t>
        </is>
      </c>
      <c r="AS1038" t="inlineStr">
        <is>
          <t>Yes</t>
        </is>
      </c>
      <c r="AT1038">
        <f>HYPERLINK("http://catalog.hathitrust.org/Record/000317526","HathiTrust Record")</f>
        <v/>
      </c>
      <c r="AU1038">
        <f>HYPERLINK("https://creighton-primo.hosted.exlibrisgroup.com/primo-explore/search?tab=default_tab&amp;search_scope=EVERYTHING&amp;vid=01CRU&amp;lang=en_US&amp;offset=0&amp;query=any,contains,991001149839702656","Catalog Record")</f>
        <v/>
      </c>
      <c r="AV1038">
        <f>HYPERLINK("http://www.worldcat.org/oclc/8431291","WorldCat Record")</f>
        <v/>
      </c>
      <c r="AW1038" t="inlineStr">
        <is>
          <t>375237342:eng</t>
        </is>
      </c>
      <c r="AX1038" t="inlineStr">
        <is>
          <t>8431291</t>
        </is>
      </c>
      <c r="AY1038" t="inlineStr">
        <is>
          <t>991001149839702656</t>
        </is>
      </c>
      <c r="AZ1038" t="inlineStr">
        <is>
          <t>991001149839702656</t>
        </is>
      </c>
      <c r="BA1038" t="inlineStr">
        <is>
          <t>2271457650002656</t>
        </is>
      </c>
      <c r="BB1038" t="inlineStr">
        <is>
          <t>BOOK</t>
        </is>
      </c>
      <c r="BD1038" t="inlineStr">
        <is>
          <t>9780534011499</t>
        </is>
      </c>
      <c r="BE1038" t="inlineStr">
        <is>
          <t>30001000295610</t>
        </is>
      </c>
      <c r="BF1038" t="inlineStr">
        <is>
          <t>893560886</t>
        </is>
      </c>
    </row>
    <row r="1039">
      <c r="A1039" t="inlineStr">
        <is>
          <t>No</t>
        </is>
      </c>
      <c r="B1039" t="inlineStr">
        <is>
          <t>CUHSL</t>
        </is>
      </c>
      <c r="C1039" t="inlineStr">
        <is>
          <t>SHELVES</t>
        </is>
      </c>
      <c r="D1039" t="inlineStr">
        <is>
          <t>WY100 T583e 2005</t>
        </is>
      </c>
      <c r="E1039" t="inlineStr">
        <is>
          <t>0                      WY 0100000T  583e        2005</t>
        </is>
      </c>
      <c r="F1039" t="inlineStr">
        <is>
          <t>Essentials of nursing : care of adults and children / Barbara K. Timby, Nancy E. Smith.</t>
        </is>
      </c>
      <c r="H1039" t="inlineStr">
        <is>
          <t>No</t>
        </is>
      </c>
      <c r="I1039" t="inlineStr">
        <is>
          <t>1</t>
        </is>
      </c>
      <c r="J1039" t="inlineStr">
        <is>
          <t>No</t>
        </is>
      </c>
      <c r="K1039" t="inlineStr">
        <is>
          <t>No</t>
        </is>
      </c>
      <c r="L1039" t="inlineStr">
        <is>
          <t>0</t>
        </is>
      </c>
      <c r="M1039" t="inlineStr">
        <is>
          <t>Timby, Barbara Kuhn.</t>
        </is>
      </c>
      <c r="N1039" t="inlineStr">
        <is>
          <t>Philadelphia : Lippincott Williams &amp; Wilkins, c2005.</t>
        </is>
      </c>
      <c r="O1039" t="inlineStr">
        <is>
          <t>2005</t>
        </is>
      </c>
      <c r="Q1039" t="inlineStr">
        <is>
          <t>eng</t>
        </is>
      </c>
      <c r="R1039" t="inlineStr">
        <is>
          <t>pau</t>
        </is>
      </c>
      <c r="T1039" t="inlineStr">
        <is>
          <t xml:space="preserve">WY </t>
        </is>
      </c>
      <c r="U1039" t="n">
        <v>0</v>
      </c>
      <c r="V1039" t="n">
        <v>0</v>
      </c>
      <c r="W1039" t="inlineStr">
        <is>
          <t>2005-04-07</t>
        </is>
      </c>
      <c r="X1039" t="inlineStr">
        <is>
          <t>2005-04-07</t>
        </is>
      </c>
      <c r="Y1039" t="inlineStr">
        <is>
          <t>2005-04-07</t>
        </is>
      </c>
      <c r="Z1039" t="inlineStr">
        <is>
          <t>2005-04-07</t>
        </is>
      </c>
      <c r="AA1039" t="n">
        <v>147</v>
      </c>
      <c r="AB1039" t="n">
        <v>98</v>
      </c>
      <c r="AC1039" t="n">
        <v>103</v>
      </c>
      <c r="AD1039" t="n">
        <v>1</v>
      </c>
      <c r="AE1039" t="n">
        <v>1</v>
      </c>
      <c r="AF1039" t="n">
        <v>1</v>
      </c>
      <c r="AG1039" t="n">
        <v>1</v>
      </c>
      <c r="AH1039" t="n">
        <v>0</v>
      </c>
      <c r="AI1039" t="n">
        <v>0</v>
      </c>
      <c r="AJ1039" t="n">
        <v>0</v>
      </c>
      <c r="AK1039" t="n">
        <v>0</v>
      </c>
      <c r="AL1039" t="n">
        <v>1</v>
      </c>
      <c r="AM1039" t="n">
        <v>1</v>
      </c>
      <c r="AN1039" t="n">
        <v>0</v>
      </c>
      <c r="AO1039" t="n">
        <v>0</v>
      </c>
      <c r="AP1039" t="n">
        <v>0</v>
      </c>
      <c r="AQ1039" t="n">
        <v>0</v>
      </c>
      <c r="AR1039" t="inlineStr">
        <is>
          <t>No</t>
        </is>
      </c>
      <c r="AS1039" t="inlineStr">
        <is>
          <t>No</t>
        </is>
      </c>
      <c r="AU1039">
        <f>HYPERLINK("https://creighton-primo.hosted.exlibrisgroup.com/primo-explore/search?tab=default_tab&amp;search_scope=EVERYTHING&amp;vid=01CRU&amp;lang=en_US&amp;offset=0&amp;query=any,contains,991000435529702656","Catalog Record")</f>
        <v/>
      </c>
      <c r="AV1039">
        <f>HYPERLINK("http://www.worldcat.org/oclc/54111890","WorldCat Record")</f>
        <v/>
      </c>
      <c r="AW1039" t="inlineStr">
        <is>
          <t>2906718836:eng</t>
        </is>
      </c>
      <c r="AX1039" t="inlineStr">
        <is>
          <t>54111890</t>
        </is>
      </c>
      <c r="AY1039" t="inlineStr">
        <is>
          <t>991000435529702656</t>
        </is>
      </c>
      <c r="AZ1039" t="inlineStr">
        <is>
          <t>991000435529702656</t>
        </is>
      </c>
      <c r="BA1039" t="inlineStr">
        <is>
          <t>2270333640002656</t>
        </is>
      </c>
      <c r="BB1039" t="inlineStr">
        <is>
          <t>BOOK</t>
        </is>
      </c>
      <c r="BD1039" t="inlineStr">
        <is>
          <t>9780781750981</t>
        </is>
      </c>
      <c r="BE1039" t="inlineStr">
        <is>
          <t>30001004929180</t>
        </is>
      </c>
      <c r="BF1039" t="inlineStr">
        <is>
          <t>893553569</t>
        </is>
      </c>
    </row>
    <row r="1040">
      <c r="A1040" t="inlineStr">
        <is>
          <t>No</t>
        </is>
      </c>
      <c r="B1040" t="inlineStr">
        <is>
          <t>CUHSL</t>
        </is>
      </c>
      <c r="C1040" t="inlineStr">
        <is>
          <t>SHELVES</t>
        </is>
      </c>
      <c r="D1040" t="inlineStr">
        <is>
          <t>WY100 T583f 1996</t>
        </is>
      </c>
      <c r="E1040" t="inlineStr">
        <is>
          <t>0                      WY 0100000T  583f        1996</t>
        </is>
      </c>
      <c r="F1040" t="inlineStr">
        <is>
          <t>Fundamental skills and concepts in patient care / Barbara Kuhn Timby.</t>
        </is>
      </c>
      <c r="H1040" t="inlineStr">
        <is>
          <t>No</t>
        </is>
      </c>
      <c r="I1040" t="inlineStr">
        <is>
          <t>1</t>
        </is>
      </c>
      <c r="J1040" t="inlineStr">
        <is>
          <t>No</t>
        </is>
      </c>
      <c r="K1040" t="inlineStr">
        <is>
          <t>Yes</t>
        </is>
      </c>
      <c r="L1040" t="inlineStr">
        <is>
          <t>0</t>
        </is>
      </c>
      <c r="M1040" t="inlineStr">
        <is>
          <t>Timby, Barbara Kuhn.</t>
        </is>
      </c>
      <c r="N1040" t="inlineStr">
        <is>
          <t>Philadelphia : Lippinicott, c1996.</t>
        </is>
      </c>
      <c r="O1040" t="inlineStr">
        <is>
          <t>1996</t>
        </is>
      </c>
      <c r="P1040" t="inlineStr">
        <is>
          <t>6th ed.</t>
        </is>
      </c>
      <c r="Q1040" t="inlineStr">
        <is>
          <t>eng</t>
        </is>
      </c>
      <c r="R1040" t="inlineStr">
        <is>
          <t>pau</t>
        </is>
      </c>
      <c r="T1040" t="inlineStr">
        <is>
          <t xml:space="preserve">WY </t>
        </is>
      </c>
      <c r="U1040" t="n">
        <v>39</v>
      </c>
      <c r="V1040" t="n">
        <v>39</v>
      </c>
      <c r="W1040" t="inlineStr">
        <is>
          <t>2000-04-20</t>
        </is>
      </c>
      <c r="X1040" t="inlineStr">
        <is>
          <t>2000-04-20</t>
        </is>
      </c>
      <c r="Y1040" t="inlineStr">
        <is>
          <t>1997-05-28</t>
        </is>
      </c>
      <c r="Z1040" t="inlineStr">
        <is>
          <t>1997-05-28</t>
        </is>
      </c>
      <c r="AA1040" t="n">
        <v>205</v>
      </c>
      <c r="AB1040" t="n">
        <v>160</v>
      </c>
      <c r="AC1040" t="n">
        <v>541</v>
      </c>
      <c r="AD1040" t="n">
        <v>1</v>
      </c>
      <c r="AE1040" t="n">
        <v>3</v>
      </c>
      <c r="AF1040" t="n">
        <v>3</v>
      </c>
      <c r="AG1040" t="n">
        <v>12</v>
      </c>
      <c r="AH1040" t="n">
        <v>1</v>
      </c>
      <c r="AI1040" t="n">
        <v>5</v>
      </c>
      <c r="AJ1040" t="n">
        <v>1</v>
      </c>
      <c r="AK1040" t="n">
        <v>2</v>
      </c>
      <c r="AL1040" t="n">
        <v>2</v>
      </c>
      <c r="AM1040" t="n">
        <v>7</v>
      </c>
      <c r="AN1040" t="n">
        <v>0</v>
      </c>
      <c r="AO1040" t="n">
        <v>0</v>
      </c>
      <c r="AP1040" t="n">
        <v>0</v>
      </c>
      <c r="AQ1040" t="n">
        <v>0</v>
      </c>
      <c r="AR1040" t="inlineStr">
        <is>
          <t>No</t>
        </is>
      </c>
      <c r="AS1040" t="inlineStr">
        <is>
          <t>Yes</t>
        </is>
      </c>
      <c r="AT1040">
        <f>HYPERLINK("http://catalog.hathitrust.org/Record/003038400","HathiTrust Record")</f>
        <v/>
      </c>
      <c r="AU1040">
        <f>HYPERLINK("https://creighton-primo.hosted.exlibrisgroup.com/primo-explore/search?tab=default_tab&amp;search_scope=EVERYTHING&amp;vid=01CRU&amp;lang=en_US&amp;offset=0&amp;query=any,contains,991001230749702656","Catalog Record")</f>
        <v/>
      </c>
      <c r="AV1040">
        <f>HYPERLINK("http://www.worldcat.org/oclc/33013497","WorldCat Record")</f>
        <v/>
      </c>
      <c r="AW1040" t="inlineStr">
        <is>
          <t>2384729:eng</t>
        </is>
      </c>
      <c r="AX1040" t="inlineStr">
        <is>
          <t>33013497</t>
        </is>
      </c>
      <c r="AY1040" t="inlineStr">
        <is>
          <t>991001230749702656</t>
        </is>
      </c>
      <c r="AZ1040" t="inlineStr">
        <is>
          <t>991001230749702656</t>
        </is>
      </c>
      <c r="BA1040" t="inlineStr">
        <is>
          <t>2254943860002656</t>
        </is>
      </c>
      <c r="BB1040" t="inlineStr">
        <is>
          <t>BOOK</t>
        </is>
      </c>
      <c r="BD1040" t="inlineStr">
        <is>
          <t>9780397551682</t>
        </is>
      </c>
      <c r="BE1040" t="inlineStr">
        <is>
          <t>30001003672682</t>
        </is>
      </c>
      <c r="BF1040" t="inlineStr">
        <is>
          <t>893121289</t>
        </is>
      </c>
    </row>
    <row r="1041">
      <c r="A1041" t="inlineStr">
        <is>
          <t>No</t>
        </is>
      </c>
      <c r="B1041" t="inlineStr">
        <is>
          <t>CUHSL</t>
        </is>
      </c>
      <c r="C1041" t="inlineStr">
        <is>
          <t>SHELVES</t>
        </is>
      </c>
      <c r="D1041" t="inlineStr">
        <is>
          <t>WY 100 T583f 2005</t>
        </is>
      </c>
      <c r="E1041" t="inlineStr">
        <is>
          <t>0                      WY 0100000T  583f        2005</t>
        </is>
      </c>
      <c r="F1041" t="inlineStr">
        <is>
          <t>Fundamental nursing skills and concepts / Barbara Kuhn Timby.</t>
        </is>
      </c>
      <c r="H1041" t="inlineStr">
        <is>
          <t>No</t>
        </is>
      </c>
      <c r="I1041" t="inlineStr">
        <is>
          <t>1</t>
        </is>
      </c>
      <c r="J1041" t="inlineStr">
        <is>
          <t>No</t>
        </is>
      </c>
      <c r="K1041" t="inlineStr">
        <is>
          <t>Yes</t>
        </is>
      </c>
      <c r="L1041" t="inlineStr">
        <is>
          <t>0</t>
        </is>
      </c>
      <c r="M1041" t="inlineStr">
        <is>
          <t>Timby, Barbara Kuhn.</t>
        </is>
      </c>
      <c r="N1041" t="inlineStr">
        <is>
          <t>Philadelphia : Lippincott Williams &amp; Wilkins, c2005.</t>
        </is>
      </c>
      <c r="O1041" t="inlineStr">
        <is>
          <t>2005</t>
        </is>
      </c>
      <c r="P1041" t="inlineStr">
        <is>
          <t>8th ed.</t>
        </is>
      </c>
      <c r="Q1041" t="inlineStr">
        <is>
          <t>eng</t>
        </is>
      </c>
      <c r="R1041" t="inlineStr">
        <is>
          <t>pau</t>
        </is>
      </c>
      <c r="T1041" t="inlineStr">
        <is>
          <t xml:space="preserve">WY </t>
        </is>
      </c>
      <c r="U1041" t="n">
        <v>3</v>
      </c>
      <c r="V1041" t="n">
        <v>3</v>
      </c>
      <c r="W1041" t="inlineStr">
        <is>
          <t>2006-04-26</t>
        </is>
      </c>
      <c r="X1041" t="inlineStr">
        <is>
          <t>2006-04-26</t>
        </is>
      </c>
      <c r="Y1041" t="inlineStr">
        <is>
          <t>2004-09-15</t>
        </is>
      </c>
      <c r="Z1041" t="inlineStr">
        <is>
          <t>2004-09-15</t>
        </is>
      </c>
      <c r="AA1041" t="n">
        <v>228</v>
      </c>
      <c r="AB1041" t="n">
        <v>164</v>
      </c>
      <c r="AC1041" t="n">
        <v>470</v>
      </c>
      <c r="AD1041" t="n">
        <v>1</v>
      </c>
      <c r="AE1041" t="n">
        <v>2</v>
      </c>
      <c r="AF1041" t="n">
        <v>4</v>
      </c>
      <c r="AG1041" t="n">
        <v>5</v>
      </c>
      <c r="AH1041" t="n">
        <v>2</v>
      </c>
      <c r="AI1041" t="n">
        <v>2</v>
      </c>
      <c r="AJ1041" t="n">
        <v>1</v>
      </c>
      <c r="AK1041" t="n">
        <v>1</v>
      </c>
      <c r="AL1041" t="n">
        <v>2</v>
      </c>
      <c r="AM1041" t="n">
        <v>2</v>
      </c>
      <c r="AN1041" t="n">
        <v>0</v>
      </c>
      <c r="AO1041" t="n">
        <v>1</v>
      </c>
      <c r="AP1041" t="n">
        <v>0</v>
      </c>
      <c r="AQ1041" t="n">
        <v>0</v>
      </c>
      <c r="AR1041" t="inlineStr">
        <is>
          <t>No</t>
        </is>
      </c>
      <c r="AS1041" t="inlineStr">
        <is>
          <t>No</t>
        </is>
      </c>
      <c r="AU1041">
        <f>HYPERLINK("https://creighton-primo.hosted.exlibrisgroup.com/primo-explore/search?tab=default_tab&amp;search_scope=EVERYTHING&amp;vid=01CRU&amp;lang=en_US&amp;offset=0&amp;query=any,contains,991000390819702656","Catalog Record")</f>
        <v/>
      </c>
      <c r="AV1041">
        <f>HYPERLINK("http://www.worldcat.org/oclc/54677698","WorldCat Record")</f>
        <v/>
      </c>
      <c r="AW1041" t="inlineStr">
        <is>
          <t>1049934:eng</t>
        </is>
      </c>
      <c r="AX1041" t="inlineStr">
        <is>
          <t>54677698</t>
        </is>
      </c>
      <c r="AY1041" t="inlineStr">
        <is>
          <t>991000390819702656</t>
        </is>
      </c>
      <c r="AZ1041" t="inlineStr">
        <is>
          <t>991000390819702656</t>
        </is>
      </c>
      <c r="BA1041" t="inlineStr">
        <is>
          <t>2270012460002656</t>
        </is>
      </c>
      <c r="BB1041" t="inlineStr">
        <is>
          <t>BOOK</t>
        </is>
      </c>
      <c r="BD1041" t="inlineStr">
        <is>
          <t>9780781747363</t>
        </is>
      </c>
      <c r="BE1041" t="inlineStr">
        <is>
          <t>30001004922870</t>
        </is>
      </c>
      <c r="BF1041" t="inlineStr">
        <is>
          <t>893817067</t>
        </is>
      </c>
    </row>
    <row r="1042">
      <c r="A1042" t="inlineStr">
        <is>
          <t>No</t>
        </is>
      </c>
      <c r="B1042" t="inlineStr">
        <is>
          <t>CUHSL</t>
        </is>
      </c>
      <c r="C1042" t="inlineStr">
        <is>
          <t>SHELVES</t>
        </is>
      </c>
      <c r="D1042" t="inlineStr">
        <is>
          <t>WY 100 T737 1989</t>
        </is>
      </c>
      <c r="E1042" t="inlineStr">
        <is>
          <t>0                      WY 0100000T  737         1989</t>
        </is>
      </c>
      <c r="F1042" t="inlineStr">
        <is>
          <t>Toward a science of family nursing / edited by Catherine L. Gilliss ... [et al.].</t>
        </is>
      </c>
      <c r="H1042" t="inlineStr">
        <is>
          <t>No</t>
        </is>
      </c>
      <c r="I1042" t="inlineStr">
        <is>
          <t>1</t>
        </is>
      </c>
      <c r="J1042" t="inlineStr">
        <is>
          <t>No</t>
        </is>
      </c>
      <c r="K1042" t="inlineStr">
        <is>
          <t>No</t>
        </is>
      </c>
      <c r="L1042" t="inlineStr">
        <is>
          <t>0</t>
        </is>
      </c>
      <c r="N1042" t="inlineStr">
        <is>
          <t>Menlo Park, Calif. : Addison-Wesley Pub. Co., Health Sciences Division, c1989 [1988 printing].</t>
        </is>
      </c>
      <c r="O1042" t="inlineStr">
        <is>
          <t>1989</t>
        </is>
      </c>
      <c r="Q1042" t="inlineStr">
        <is>
          <t>eng</t>
        </is>
      </c>
      <c r="R1042" t="inlineStr">
        <is>
          <t>xxu</t>
        </is>
      </c>
      <c r="T1042" t="inlineStr">
        <is>
          <t xml:space="preserve">WY </t>
        </is>
      </c>
      <c r="U1042" t="n">
        <v>17</v>
      </c>
      <c r="V1042" t="n">
        <v>17</v>
      </c>
      <c r="W1042" t="inlineStr">
        <is>
          <t>1996-08-24</t>
        </is>
      </c>
      <c r="X1042" t="inlineStr">
        <is>
          <t>1996-08-24</t>
        </is>
      </c>
      <c r="Y1042" t="inlineStr">
        <is>
          <t>1989-02-07</t>
        </is>
      </c>
      <c r="Z1042" t="inlineStr">
        <is>
          <t>1989-02-07</t>
        </is>
      </c>
      <c r="AA1042" t="n">
        <v>334</v>
      </c>
      <c r="AB1042" t="n">
        <v>256</v>
      </c>
      <c r="AC1042" t="n">
        <v>262</v>
      </c>
      <c r="AD1042" t="n">
        <v>3</v>
      </c>
      <c r="AE1042" t="n">
        <v>3</v>
      </c>
      <c r="AF1042" t="n">
        <v>12</v>
      </c>
      <c r="AG1042" t="n">
        <v>12</v>
      </c>
      <c r="AH1042" t="n">
        <v>5</v>
      </c>
      <c r="AI1042" t="n">
        <v>5</v>
      </c>
      <c r="AJ1042" t="n">
        <v>1</v>
      </c>
      <c r="AK1042" t="n">
        <v>1</v>
      </c>
      <c r="AL1042" t="n">
        <v>7</v>
      </c>
      <c r="AM1042" t="n">
        <v>7</v>
      </c>
      <c r="AN1042" t="n">
        <v>1</v>
      </c>
      <c r="AO1042" t="n">
        <v>1</v>
      </c>
      <c r="AP1042" t="n">
        <v>0</v>
      </c>
      <c r="AQ1042" t="n">
        <v>0</v>
      </c>
      <c r="AR1042" t="inlineStr">
        <is>
          <t>No</t>
        </is>
      </c>
      <c r="AS1042" t="inlineStr">
        <is>
          <t>Yes</t>
        </is>
      </c>
      <c r="AT1042">
        <f>HYPERLINK("http://catalog.hathitrust.org/Record/000928149","HathiTrust Record")</f>
        <v/>
      </c>
      <c r="AU1042">
        <f>HYPERLINK("https://creighton-primo.hosted.exlibrisgroup.com/primo-explore/search?tab=default_tab&amp;search_scope=EVERYTHING&amp;vid=01CRU&amp;lang=en_US&amp;offset=0&amp;query=any,contains,991001118289702656","Catalog Record")</f>
        <v/>
      </c>
      <c r="AV1042">
        <f>HYPERLINK("http://www.worldcat.org/oclc/17875218","WorldCat Record")</f>
        <v/>
      </c>
      <c r="AW1042" t="inlineStr">
        <is>
          <t>16710358:eng</t>
        </is>
      </c>
      <c r="AX1042" t="inlineStr">
        <is>
          <t>17875218</t>
        </is>
      </c>
      <c r="AY1042" t="inlineStr">
        <is>
          <t>991001118289702656</t>
        </is>
      </c>
      <c r="AZ1042" t="inlineStr">
        <is>
          <t>991001118289702656</t>
        </is>
      </c>
      <c r="BA1042" t="inlineStr">
        <is>
          <t>2262913320002656</t>
        </is>
      </c>
      <c r="BB1042" t="inlineStr">
        <is>
          <t>BOOK</t>
        </is>
      </c>
      <c r="BD1042" t="inlineStr">
        <is>
          <t>9780201142389</t>
        </is>
      </c>
      <c r="BE1042" t="inlineStr">
        <is>
          <t>30001001613894</t>
        </is>
      </c>
      <c r="BF1042" t="inlineStr">
        <is>
          <t>893736224</t>
        </is>
      </c>
    </row>
    <row r="1043">
      <c r="A1043" t="inlineStr">
        <is>
          <t>No</t>
        </is>
      </c>
      <c r="B1043" t="inlineStr">
        <is>
          <t>CUHSL</t>
        </is>
      </c>
      <c r="C1043" t="inlineStr">
        <is>
          <t>SHELVES</t>
        </is>
      </c>
      <c r="D1043" t="inlineStr">
        <is>
          <t>WY100 U548 2003</t>
        </is>
      </c>
      <c r="E1043" t="inlineStr">
        <is>
          <t>0                      WY 0100000U  548         2003</t>
        </is>
      </c>
      <c r="F1043" t="inlineStr">
        <is>
          <t>Understanding medical-surgical nursing / [edited by] Linda S. Williams, Paula D. Hopper.</t>
        </is>
      </c>
      <c r="H1043" t="inlineStr">
        <is>
          <t>No</t>
        </is>
      </c>
      <c r="I1043" t="inlineStr">
        <is>
          <t>1</t>
        </is>
      </c>
      <c r="J1043" t="inlineStr">
        <is>
          <t>No</t>
        </is>
      </c>
      <c r="K1043" t="inlineStr">
        <is>
          <t>Yes</t>
        </is>
      </c>
      <c r="L1043" t="inlineStr">
        <is>
          <t>2</t>
        </is>
      </c>
      <c r="N1043" t="inlineStr">
        <is>
          <t>Philadelphia : F.A. Davis Co., c2003.</t>
        </is>
      </c>
      <c r="O1043" t="inlineStr">
        <is>
          <t>2003</t>
        </is>
      </c>
      <c r="P1043" t="inlineStr">
        <is>
          <t>2nd ed.</t>
        </is>
      </c>
      <c r="Q1043" t="inlineStr">
        <is>
          <t>eng</t>
        </is>
      </c>
      <c r="R1043" t="inlineStr">
        <is>
          <t>pau</t>
        </is>
      </c>
      <c r="T1043" t="inlineStr">
        <is>
          <t xml:space="preserve">WY </t>
        </is>
      </c>
      <c r="U1043" t="n">
        <v>5</v>
      </c>
      <c r="V1043" t="n">
        <v>5</v>
      </c>
      <c r="W1043" t="inlineStr">
        <is>
          <t>2003-06-17</t>
        </is>
      </c>
      <c r="X1043" t="inlineStr">
        <is>
          <t>2003-06-17</t>
        </is>
      </c>
      <c r="Y1043" t="inlineStr">
        <is>
          <t>2003-06-16</t>
        </is>
      </c>
      <c r="Z1043" t="inlineStr">
        <is>
          <t>2003-06-16</t>
        </is>
      </c>
      <c r="AA1043" t="n">
        <v>113</v>
      </c>
      <c r="AB1043" t="n">
        <v>81</v>
      </c>
      <c r="AC1043" t="n">
        <v>1100</v>
      </c>
      <c r="AD1043" t="n">
        <v>1</v>
      </c>
      <c r="AE1043" t="n">
        <v>33</v>
      </c>
      <c r="AF1043" t="n">
        <v>2</v>
      </c>
      <c r="AG1043" t="n">
        <v>32</v>
      </c>
      <c r="AH1043" t="n">
        <v>0</v>
      </c>
      <c r="AI1043" t="n">
        <v>10</v>
      </c>
      <c r="AJ1043" t="n">
        <v>0</v>
      </c>
      <c r="AK1043" t="n">
        <v>5</v>
      </c>
      <c r="AL1043" t="n">
        <v>2</v>
      </c>
      <c r="AM1043" t="n">
        <v>8</v>
      </c>
      <c r="AN1043" t="n">
        <v>0</v>
      </c>
      <c r="AO1043" t="n">
        <v>13</v>
      </c>
      <c r="AP1043" t="n">
        <v>0</v>
      </c>
      <c r="AQ1043" t="n">
        <v>1</v>
      </c>
      <c r="AR1043" t="inlineStr">
        <is>
          <t>No</t>
        </is>
      </c>
      <c r="AS1043" t="inlineStr">
        <is>
          <t>No</t>
        </is>
      </c>
      <c r="AU1043">
        <f>HYPERLINK("https://creighton-primo.hosted.exlibrisgroup.com/primo-explore/search?tab=default_tab&amp;search_scope=EVERYTHING&amp;vid=01CRU&amp;lang=en_US&amp;offset=0&amp;query=any,contains,991000351059702656","Catalog Record")</f>
        <v/>
      </c>
      <c r="AV1043">
        <f>HYPERLINK("http://www.worldcat.org/oclc/51731191","WorldCat Record")</f>
        <v/>
      </c>
      <c r="AW1043" t="inlineStr">
        <is>
          <t>1077482988:eng</t>
        </is>
      </c>
      <c r="AX1043" t="inlineStr">
        <is>
          <t>51731191</t>
        </is>
      </c>
      <c r="AY1043" t="inlineStr">
        <is>
          <t>991000351059702656</t>
        </is>
      </c>
      <c r="AZ1043" t="inlineStr">
        <is>
          <t>991000351059702656</t>
        </is>
      </c>
      <c r="BA1043" t="inlineStr">
        <is>
          <t>2255654500002656</t>
        </is>
      </c>
      <c r="BB1043" t="inlineStr">
        <is>
          <t>BOOK</t>
        </is>
      </c>
      <c r="BD1043" t="inlineStr">
        <is>
          <t>9780803610378</t>
        </is>
      </c>
      <c r="BE1043" t="inlineStr">
        <is>
          <t>30001004504827</t>
        </is>
      </c>
      <c r="BF1043" t="inlineStr">
        <is>
          <t>893354238</t>
        </is>
      </c>
    </row>
    <row r="1044">
      <c r="A1044" t="inlineStr">
        <is>
          <t>No</t>
        </is>
      </c>
      <c r="B1044" t="inlineStr">
        <is>
          <t>CUHSL</t>
        </is>
      </c>
      <c r="C1044" t="inlineStr">
        <is>
          <t>SHELVES</t>
        </is>
      </c>
      <c r="D1044" t="inlineStr">
        <is>
          <t>WY 100 U58n 1973</t>
        </is>
      </c>
      <c r="E1044" t="inlineStr">
        <is>
          <t>0                      WY 0100000U  58n         1973</t>
        </is>
      </c>
      <c r="F1044" t="inlineStr">
        <is>
          <t>Nursing procedure manual / prepared by the Nursing Procedure Committee, Nursing Service, University of California ; H. Joyce A. Terrien, chairman.</t>
        </is>
      </c>
      <c r="H1044" t="inlineStr">
        <is>
          <t>No</t>
        </is>
      </c>
      <c r="I1044" t="inlineStr">
        <is>
          <t>1</t>
        </is>
      </c>
      <c r="J1044" t="inlineStr">
        <is>
          <t>No</t>
        </is>
      </c>
      <c r="K1044" t="inlineStr">
        <is>
          <t>No</t>
        </is>
      </c>
      <c r="L1044" t="inlineStr">
        <is>
          <t>0</t>
        </is>
      </c>
      <c r="M1044" t="inlineStr">
        <is>
          <t>University of California, San Francisco. School of Nursing. Nursing Procedure Committee.</t>
        </is>
      </c>
      <c r="N1044" t="inlineStr">
        <is>
          <t>-- San Francisco : Nursing Service, University of Calif., 1973.</t>
        </is>
      </c>
      <c r="O1044" t="inlineStr">
        <is>
          <t>1973</t>
        </is>
      </c>
      <c r="Q1044" t="inlineStr">
        <is>
          <t>eng</t>
        </is>
      </c>
      <c r="R1044" t="inlineStr">
        <is>
          <t>|||</t>
        </is>
      </c>
      <c r="T1044" t="inlineStr">
        <is>
          <t xml:space="preserve">WY </t>
        </is>
      </c>
      <c r="U1044" t="n">
        <v>4</v>
      </c>
      <c r="V1044" t="n">
        <v>4</v>
      </c>
      <c r="W1044" t="inlineStr">
        <is>
          <t>1994-06-15</t>
        </is>
      </c>
      <c r="X1044" t="inlineStr">
        <is>
          <t>1994-06-15</t>
        </is>
      </c>
      <c r="Y1044" t="inlineStr">
        <is>
          <t>1988-02-29</t>
        </is>
      </c>
      <c r="Z1044" t="inlineStr">
        <is>
          <t>1988-02-29</t>
        </is>
      </c>
      <c r="AA1044" t="n">
        <v>3</v>
      </c>
      <c r="AB1044" t="n">
        <v>3</v>
      </c>
      <c r="AC1044" t="n">
        <v>3</v>
      </c>
      <c r="AD1044" t="n">
        <v>1</v>
      </c>
      <c r="AE1044" t="n">
        <v>1</v>
      </c>
      <c r="AF1044" t="n">
        <v>0</v>
      </c>
      <c r="AG1044" t="n">
        <v>0</v>
      </c>
      <c r="AH1044" t="n">
        <v>0</v>
      </c>
      <c r="AI1044" t="n">
        <v>0</v>
      </c>
      <c r="AJ1044" t="n">
        <v>0</v>
      </c>
      <c r="AK1044" t="n">
        <v>0</v>
      </c>
      <c r="AL1044" t="n">
        <v>0</v>
      </c>
      <c r="AM1044" t="n">
        <v>0</v>
      </c>
      <c r="AN1044" t="n">
        <v>0</v>
      </c>
      <c r="AO1044" t="n">
        <v>0</v>
      </c>
      <c r="AP1044" t="n">
        <v>0</v>
      </c>
      <c r="AQ1044" t="n">
        <v>0</v>
      </c>
      <c r="AR1044" t="inlineStr">
        <is>
          <t>No</t>
        </is>
      </c>
      <c r="AS1044" t="inlineStr">
        <is>
          <t>No</t>
        </is>
      </c>
      <c r="AU1044">
        <f>HYPERLINK("https://creighton-primo.hosted.exlibrisgroup.com/primo-explore/search?tab=default_tab&amp;search_scope=EVERYTHING&amp;vid=01CRU&amp;lang=en_US&amp;offset=0&amp;query=any,contains,991001144329702656","Catalog Record")</f>
        <v/>
      </c>
      <c r="AV1044">
        <f>HYPERLINK("http://www.worldcat.org/oclc/1380969","WorldCat Record")</f>
        <v/>
      </c>
      <c r="AW1044" t="inlineStr">
        <is>
          <t>2309501:eng</t>
        </is>
      </c>
      <c r="AX1044" t="inlineStr">
        <is>
          <t>1380969</t>
        </is>
      </c>
      <c r="AY1044" t="inlineStr">
        <is>
          <t>991001144329702656</t>
        </is>
      </c>
      <c r="AZ1044" t="inlineStr">
        <is>
          <t>991001144329702656</t>
        </is>
      </c>
      <c r="BA1044" t="inlineStr">
        <is>
          <t>2260501840002656</t>
        </is>
      </c>
      <c r="BB1044" t="inlineStr">
        <is>
          <t>BOOK</t>
        </is>
      </c>
      <c r="BE1044" t="inlineStr">
        <is>
          <t>30001000291437</t>
        </is>
      </c>
      <c r="BF1044" t="inlineStr">
        <is>
          <t>893460310</t>
        </is>
      </c>
    </row>
    <row r="1045">
      <c r="A1045" t="inlineStr">
        <is>
          <t>No</t>
        </is>
      </c>
      <c r="B1045" t="inlineStr">
        <is>
          <t>CUHSL</t>
        </is>
      </c>
      <c r="C1045" t="inlineStr">
        <is>
          <t>SHELVES</t>
        </is>
      </c>
      <c r="D1045" t="inlineStr">
        <is>
          <t>WY 100 W185n 1967</t>
        </is>
      </c>
      <c r="E1045" t="inlineStr">
        <is>
          <t>0                      WY 0100000W  185n        1967</t>
        </is>
      </c>
      <c r="F1045" t="inlineStr">
        <is>
          <t>Nursing and ritualistic practice [by] Virginia H. Walker.</t>
        </is>
      </c>
      <c r="H1045" t="inlineStr">
        <is>
          <t>No</t>
        </is>
      </c>
      <c r="I1045" t="inlineStr">
        <is>
          <t>1</t>
        </is>
      </c>
      <c r="J1045" t="inlineStr">
        <is>
          <t>No</t>
        </is>
      </c>
      <c r="K1045" t="inlineStr">
        <is>
          <t>No</t>
        </is>
      </c>
      <c r="L1045" t="inlineStr">
        <is>
          <t>0</t>
        </is>
      </c>
      <c r="M1045" t="inlineStr">
        <is>
          <t>Walker, Virginia H.</t>
        </is>
      </c>
      <c r="N1045" t="inlineStr">
        <is>
          <t>New York, Macmillan [1967]</t>
        </is>
      </c>
      <c r="O1045" t="inlineStr">
        <is>
          <t>1967</t>
        </is>
      </c>
      <c r="Q1045" t="inlineStr">
        <is>
          <t>eng</t>
        </is>
      </c>
      <c r="R1045" t="inlineStr">
        <is>
          <t>nyu</t>
        </is>
      </c>
      <c r="T1045" t="inlineStr">
        <is>
          <t xml:space="preserve">WY </t>
        </is>
      </c>
      <c r="U1045" t="n">
        <v>0</v>
      </c>
      <c r="V1045" t="n">
        <v>0</v>
      </c>
      <c r="W1045" t="inlineStr">
        <is>
          <t>2002-10-21</t>
        </is>
      </c>
      <c r="X1045" t="inlineStr">
        <is>
          <t>2002-10-21</t>
        </is>
      </c>
      <c r="Y1045" t="inlineStr">
        <is>
          <t>1988-01-20</t>
        </is>
      </c>
      <c r="Z1045" t="inlineStr">
        <is>
          <t>1988-01-20</t>
        </is>
      </c>
      <c r="AA1045" t="n">
        <v>186</v>
      </c>
      <c r="AB1045" t="n">
        <v>160</v>
      </c>
      <c r="AC1045" t="n">
        <v>162</v>
      </c>
      <c r="AD1045" t="n">
        <v>1</v>
      </c>
      <c r="AE1045" t="n">
        <v>1</v>
      </c>
      <c r="AF1045" t="n">
        <v>9</v>
      </c>
      <c r="AG1045" t="n">
        <v>9</v>
      </c>
      <c r="AH1045" t="n">
        <v>2</v>
      </c>
      <c r="AI1045" t="n">
        <v>2</v>
      </c>
      <c r="AJ1045" t="n">
        <v>3</v>
      </c>
      <c r="AK1045" t="n">
        <v>3</v>
      </c>
      <c r="AL1045" t="n">
        <v>6</v>
      </c>
      <c r="AM1045" t="n">
        <v>6</v>
      </c>
      <c r="AN1045" t="n">
        <v>0</v>
      </c>
      <c r="AO1045" t="n">
        <v>0</v>
      </c>
      <c r="AP1045" t="n">
        <v>0</v>
      </c>
      <c r="AQ1045" t="n">
        <v>0</v>
      </c>
      <c r="AR1045" t="inlineStr">
        <is>
          <t>No</t>
        </is>
      </c>
      <c r="AS1045" t="inlineStr">
        <is>
          <t>Yes</t>
        </is>
      </c>
      <c r="AT1045">
        <f>HYPERLINK("http://catalog.hathitrust.org/Record/001574335","HathiTrust Record")</f>
        <v/>
      </c>
      <c r="AU1045">
        <f>HYPERLINK("https://creighton-primo.hosted.exlibrisgroup.com/primo-explore/search?tab=default_tab&amp;search_scope=EVERYTHING&amp;vid=01CRU&amp;lang=en_US&amp;offset=0&amp;query=any,contains,991001150019702656","Catalog Record")</f>
        <v/>
      </c>
      <c r="AV1045">
        <f>HYPERLINK("http://www.worldcat.org/oclc/1220734","WorldCat Record")</f>
        <v/>
      </c>
      <c r="AW1045" t="inlineStr">
        <is>
          <t>2115971:eng</t>
        </is>
      </c>
      <c r="AX1045" t="inlineStr">
        <is>
          <t>1220734</t>
        </is>
      </c>
      <c r="AY1045" t="inlineStr">
        <is>
          <t>991001150019702656</t>
        </is>
      </c>
      <c r="AZ1045" t="inlineStr">
        <is>
          <t>991001150019702656</t>
        </is>
      </c>
      <c r="BA1045" t="inlineStr">
        <is>
          <t>2259998070002656</t>
        </is>
      </c>
      <c r="BB1045" t="inlineStr">
        <is>
          <t>BOOK</t>
        </is>
      </c>
      <c r="BE1045" t="inlineStr">
        <is>
          <t>30001000295644</t>
        </is>
      </c>
      <c r="BF1045" t="inlineStr">
        <is>
          <t>893831948</t>
        </is>
      </c>
    </row>
    <row r="1046">
      <c r="A1046" t="inlineStr">
        <is>
          <t>No</t>
        </is>
      </c>
      <c r="B1046" t="inlineStr">
        <is>
          <t>CUHSL</t>
        </is>
      </c>
      <c r="C1046" t="inlineStr">
        <is>
          <t>SHELVES</t>
        </is>
      </c>
      <c r="D1046" t="inlineStr">
        <is>
          <t>WY100 W3395c 2005</t>
        </is>
      </c>
      <c r="E1046" t="inlineStr">
        <is>
          <t>0                      WY 0100000W  3395c       2005</t>
        </is>
      </c>
      <c r="F1046" t="inlineStr">
        <is>
          <t>Caring science as sacred science / Jean Watson.</t>
        </is>
      </c>
      <c r="H1046" t="inlineStr">
        <is>
          <t>No</t>
        </is>
      </c>
      <c r="I1046" t="inlineStr">
        <is>
          <t>1</t>
        </is>
      </c>
      <c r="J1046" t="inlineStr">
        <is>
          <t>No</t>
        </is>
      </c>
      <c r="K1046" t="inlineStr">
        <is>
          <t>No</t>
        </is>
      </c>
      <c r="L1046" t="inlineStr">
        <is>
          <t>0</t>
        </is>
      </c>
      <c r="M1046" t="inlineStr">
        <is>
          <t>Watson, Jean, 1940-</t>
        </is>
      </c>
      <c r="N1046" t="inlineStr">
        <is>
          <t>Philadelphia : F.A. Davis Co., c2005.</t>
        </is>
      </c>
      <c r="O1046" t="inlineStr">
        <is>
          <t>2005</t>
        </is>
      </c>
      <c r="P1046" t="inlineStr">
        <is>
          <t>1st ed.</t>
        </is>
      </c>
      <c r="Q1046" t="inlineStr">
        <is>
          <t>eng</t>
        </is>
      </c>
      <c r="R1046" t="inlineStr">
        <is>
          <t>pau</t>
        </is>
      </c>
      <c r="T1046" t="inlineStr">
        <is>
          <t xml:space="preserve">WY </t>
        </is>
      </c>
      <c r="U1046" t="n">
        <v>2</v>
      </c>
      <c r="V1046" t="n">
        <v>2</v>
      </c>
      <c r="W1046" t="inlineStr">
        <is>
          <t>2006-12-13</t>
        </is>
      </c>
      <c r="X1046" t="inlineStr">
        <is>
          <t>2006-12-13</t>
        </is>
      </c>
      <c r="Y1046" t="inlineStr">
        <is>
          <t>2004-11-03</t>
        </is>
      </c>
      <c r="Z1046" t="inlineStr">
        <is>
          <t>2004-11-03</t>
        </is>
      </c>
      <c r="AA1046" t="n">
        <v>420</v>
      </c>
      <c r="AB1046" t="n">
        <v>332</v>
      </c>
      <c r="AC1046" t="n">
        <v>332</v>
      </c>
      <c r="AD1046" t="n">
        <v>3</v>
      </c>
      <c r="AE1046" t="n">
        <v>3</v>
      </c>
      <c r="AF1046" t="n">
        <v>23</v>
      </c>
      <c r="AG1046" t="n">
        <v>23</v>
      </c>
      <c r="AH1046" t="n">
        <v>10</v>
      </c>
      <c r="AI1046" t="n">
        <v>10</v>
      </c>
      <c r="AJ1046" t="n">
        <v>4</v>
      </c>
      <c r="AK1046" t="n">
        <v>4</v>
      </c>
      <c r="AL1046" t="n">
        <v>9</v>
      </c>
      <c r="AM1046" t="n">
        <v>9</v>
      </c>
      <c r="AN1046" t="n">
        <v>3</v>
      </c>
      <c r="AO1046" t="n">
        <v>3</v>
      </c>
      <c r="AP1046" t="n">
        <v>0</v>
      </c>
      <c r="AQ1046" t="n">
        <v>0</v>
      </c>
      <c r="AR1046" t="inlineStr">
        <is>
          <t>No</t>
        </is>
      </c>
      <c r="AS1046" t="inlineStr">
        <is>
          <t>No</t>
        </is>
      </c>
      <c r="AU1046">
        <f>HYPERLINK("https://creighton-primo.hosted.exlibrisgroup.com/primo-explore/search?tab=default_tab&amp;search_scope=EVERYTHING&amp;vid=01CRU&amp;lang=en_US&amp;offset=0&amp;query=any,contains,991000406709702656","Catalog Record")</f>
        <v/>
      </c>
      <c r="AV1046">
        <f>HYPERLINK("http://www.worldcat.org/oclc/54365455","WorldCat Record")</f>
        <v/>
      </c>
      <c r="AW1046" t="inlineStr">
        <is>
          <t>782807:eng</t>
        </is>
      </c>
      <c r="AX1046" t="inlineStr">
        <is>
          <t>54365455</t>
        </is>
      </c>
      <c r="AY1046" t="inlineStr">
        <is>
          <t>991000406709702656</t>
        </is>
      </c>
      <c r="AZ1046" t="inlineStr">
        <is>
          <t>991000406709702656</t>
        </is>
      </c>
      <c r="BA1046" t="inlineStr">
        <is>
          <t>2258229470002656</t>
        </is>
      </c>
      <c r="BB1046" t="inlineStr">
        <is>
          <t>BOOK</t>
        </is>
      </c>
      <c r="BD1046" t="inlineStr">
        <is>
          <t>9780803611696</t>
        </is>
      </c>
      <c r="BE1046" t="inlineStr">
        <is>
          <t>30001004924678</t>
        </is>
      </c>
      <c r="BF1046" t="inlineStr">
        <is>
          <t>893109517</t>
        </is>
      </c>
    </row>
    <row r="1047">
      <c r="A1047" t="inlineStr">
        <is>
          <t>No</t>
        </is>
      </c>
      <c r="B1047" t="inlineStr">
        <is>
          <t>CUHSL</t>
        </is>
      </c>
      <c r="C1047" t="inlineStr">
        <is>
          <t>SHELVES</t>
        </is>
      </c>
      <c r="D1047" t="inlineStr">
        <is>
          <t>WY 100 W585fa 2005</t>
        </is>
      </c>
      <c r="E1047" t="inlineStr">
        <is>
          <t>0                      WY 0100000W  585fa       2005</t>
        </is>
      </c>
      <c r="F1047" t="inlineStr">
        <is>
          <t>Foundations of nursing / Lois White.</t>
        </is>
      </c>
      <c r="H1047" t="inlineStr">
        <is>
          <t>No</t>
        </is>
      </c>
      <c r="I1047" t="inlineStr">
        <is>
          <t>1</t>
        </is>
      </c>
      <c r="J1047" t="inlineStr">
        <is>
          <t>No</t>
        </is>
      </c>
      <c r="K1047" t="inlineStr">
        <is>
          <t>Yes</t>
        </is>
      </c>
      <c r="L1047" t="inlineStr">
        <is>
          <t>0</t>
        </is>
      </c>
      <c r="M1047" t="inlineStr">
        <is>
          <t>White, Lois (Lois Elain Wacker)</t>
        </is>
      </c>
      <c r="N1047" t="inlineStr">
        <is>
          <t>Clifton Park, NY : Thomas-Delmar Learning, c2005.</t>
        </is>
      </c>
      <c r="O1047" t="inlineStr">
        <is>
          <t>2005</t>
        </is>
      </c>
      <c r="P1047" t="inlineStr">
        <is>
          <t>2nd ed.</t>
        </is>
      </c>
      <c r="Q1047" t="inlineStr">
        <is>
          <t>eng</t>
        </is>
      </c>
      <c r="R1047" t="inlineStr">
        <is>
          <t>nyu</t>
        </is>
      </c>
      <c r="T1047" t="inlineStr">
        <is>
          <t xml:space="preserve">WY </t>
        </is>
      </c>
      <c r="U1047" t="n">
        <v>0</v>
      </c>
      <c r="V1047" t="n">
        <v>0</v>
      </c>
      <c r="W1047" t="inlineStr">
        <is>
          <t>2004-09-20</t>
        </is>
      </c>
      <c r="X1047" t="inlineStr">
        <is>
          <t>2004-09-20</t>
        </is>
      </c>
      <c r="Y1047" t="inlineStr">
        <is>
          <t>2004-09-17</t>
        </is>
      </c>
      <c r="Z1047" t="inlineStr">
        <is>
          <t>2004-09-17</t>
        </is>
      </c>
      <c r="AA1047" t="n">
        <v>179</v>
      </c>
      <c r="AB1047" t="n">
        <v>143</v>
      </c>
      <c r="AC1047" t="n">
        <v>232</v>
      </c>
      <c r="AD1047" t="n">
        <v>2</v>
      </c>
      <c r="AE1047" t="n">
        <v>3</v>
      </c>
      <c r="AF1047" t="n">
        <v>3</v>
      </c>
      <c r="AG1047" t="n">
        <v>6</v>
      </c>
      <c r="AH1047" t="n">
        <v>1</v>
      </c>
      <c r="AI1047" t="n">
        <v>1</v>
      </c>
      <c r="AJ1047" t="n">
        <v>1</v>
      </c>
      <c r="AK1047" t="n">
        <v>3</v>
      </c>
      <c r="AL1047" t="n">
        <v>1</v>
      </c>
      <c r="AM1047" t="n">
        <v>3</v>
      </c>
      <c r="AN1047" t="n">
        <v>1</v>
      </c>
      <c r="AO1047" t="n">
        <v>1</v>
      </c>
      <c r="AP1047" t="n">
        <v>0</v>
      </c>
      <c r="AQ1047" t="n">
        <v>0</v>
      </c>
      <c r="AR1047" t="inlineStr">
        <is>
          <t>No</t>
        </is>
      </c>
      <c r="AS1047" t="inlineStr">
        <is>
          <t>No</t>
        </is>
      </c>
      <c r="AU1047">
        <f>HYPERLINK("https://creighton-primo.hosted.exlibrisgroup.com/primo-explore/search?tab=default_tab&amp;search_scope=EVERYTHING&amp;vid=01CRU&amp;lang=en_US&amp;offset=0&amp;query=any,contains,991000393219702656","Catalog Record")</f>
        <v/>
      </c>
      <c r="AV1047">
        <f>HYPERLINK("http://www.worldcat.org/oclc/55511476","WorldCat Record")</f>
        <v/>
      </c>
      <c r="AW1047" t="inlineStr">
        <is>
          <t>1042314:eng</t>
        </is>
      </c>
      <c r="AX1047" t="inlineStr">
        <is>
          <t>55511476</t>
        </is>
      </c>
      <c r="AY1047" t="inlineStr">
        <is>
          <t>991000393219702656</t>
        </is>
      </c>
      <c r="AZ1047" t="inlineStr">
        <is>
          <t>991000393219702656</t>
        </is>
      </c>
      <c r="BA1047" t="inlineStr">
        <is>
          <t>2269374810002656</t>
        </is>
      </c>
      <c r="BB1047" t="inlineStr">
        <is>
          <t>BOOK</t>
        </is>
      </c>
      <c r="BD1047" t="inlineStr">
        <is>
          <t>9781401826925</t>
        </is>
      </c>
      <c r="BE1047" t="inlineStr">
        <is>
          <t>30001004922938</t>
        </is>
      </c>
      <c r="BF1047" t="inlineStr">
        <is>
          <t>893264206</t>
        </is>
      </c>
    </row>
    <row r="1048">
      <c r="A1048" t="inlineStr">
        <is>
          <t>No</t>
        </is>
      </c>
      <c r="B1048" t="inlineStr">
        <is>
          <t>CUHSL</t>
        </is>
      </c>
      <c r="C1048" t="inlineStr">
        <is>
          <t>SHELVES</t>
        </is>
      </c>
      <c r="D1048" t="inlineStr">
        <is>
          <t>WY 100 W686 2007 V.1-2</t>
        </is>
      </c>
      <c r="E1048" t="inlineStr">
        <is>
          <t>0                      WY 0100000W  686         2007                                        V.1-2</t>
        </is>
      </c>
      <c r="F1048" t="inlineStr">
        <is>
          <t>Fundamentals of nursing : theory, concepts &amp; applications / Judith M. Wilkinson, Karen Van Leuven.</t>
        </is>
      </c>
      <c r="G1048" t="inlineStr">
        <is>
          <t>V.2</t>
        </is>
      </c>
      <c r="H1048" t="inlineStr">
        <is>
          <t>Yes</t>
        </is>
      </c>
      <c r="I1048" t="inlineStr">
        <is>
          <t>1</t>
        </is>
      </c>
      <c r="J1048" t="inlineStr">
        <is>
          <t>No</t>
        </is>
      </c>
      <c r="K1048" t="inlineStr">
        <is>
          <t>Yes</t>
        </is>
      </c>
      <c r="L1048" t="inlineStr">
        <is>
          <t>0</t>
        </is>
      </c>
      <c r="M1048" t="inlineStr">
        <is>
          <t>Wilkinson, Judith M., 1946-</t>
        </is>
      </c>
      <c r="N1048" t="inlineStr">
        <is>
          <t>Philadelphia : F.A. Davis Co., c2007.</t>
        </is>
      </c>
      <c r="O1048" t="inlineStr">
        <is>
          <t>2007</t>
        </is>
      </c>
      <c r="Q1048" t="inlineStr">
        <is>
          <t>eng</t>
        </is>
      </c>
      <c r="R1048" t="inlineStr">
        <is>
          <t>pau</t>
        </is>
      </c>
      <c r="T1048" t="inlineStr">
        <is>
          <t xml:space="preserve">WY </t>
        </is>
      </c>
      <c r="U1048" t="n">
        <v>0</v>
      </c>
      <c r="V1048" t="n">
        <v>1</v>
      </c>
      <c r="W1048" t="inlineStr">
        <is>
          <t>2008-10-03</t>
        </is>
      </c>
      <c r="X1048" t="inlineStr">
        <is>
          <t>2008-10-03</t>
        </is>
      </c>
      <c r="Y1048" t="inlineStr">
        <is>
          <t>2008-10-02</t>
        </is>
      </c>
      <c r="Z1048" t="inlineStr">
        <is>
          <t>2008-10-02</t>
        </is>
      </c>
      <c r="AA1048" t="n">
        <v>241</v>
      </c>
      <c r="AB1048" t="n">
        <v>197</v>
      </c>
      <c r="AC1048" t="n">
        <v>607</v>
      </c>
      <c r="AD1048" t="n">
        <v>3</v>
      </c>
      <c r="AE1048" t="n">
        <v>8</v>
      </c>
      <c r="AF1048" t="n">
        <v>5</v>
      </c>
      <c r="AG1048" t="n">
        <v>16</v>
      </c>
      <c r="AH1048" t="n">
        <v>1</v>
      </c>
      <c r="AI1048" t="n">
        <v>5</v>
      </c>
      <c r="AJ1048" t="n">
        <v>1</v>
      </c>
      <c r="AK1048" t="n">
        <v>4</v>
      </c>
      <c r="AL1048" t="n">
        <v>1</v>
      </c>
      <c r="AM1048" t="n">
        <v>3</v>
      </c>
      <c r="AN1048" t="n">
        <v>2</v>
      </c>
      <c r="AO1048" t="n">
        <v>5</v>
      </c>
      <c r="AP1048" t="n">
        <v>0</v>
      </c>
      <c r="AQ1048" t="n">
        <v>1</v>
      </c>
      <c r="AR1048" t="inlineStr">
        <is>
          <t>No</t>
        </is>
      </c>
      <c r="AS1048" t="inlineStr">
        <is>
          <t>No</t>
        </is>
      </c>
      <c r="AU1048">
        <f>HYPERLINK("https://creighton-primo.hosted.exlibrisgroup.com/primo-explore/search?tab=default_tab&amp;search_scope=EVERYTHING&amp;vid=01CRU&amp;lang=en_US&amp;offset=0&amp;query=any,contains,991001322269702656","Catalog Record")</f>
        <v/>
      </c>
      <c r="AV1048">
        <f>HYPERLINK("http://www.worldcat.org/oclc/69423184","WorldCat Record")</f>
        <v/>
      </c>
      <c r="AW1048" t="inlineStr">
        <is>
          <t>4794528522:eng</t>
        </is>
      </c>
      <c r="AX1048" t="inlineStr">
        <is>
          <t>69423184</t>
        </is>
      </c>
      <c r="AY1048" t="inlineStr">
        <is>
          <t>991001322269702656</t>
        </is>
      </c>
      <c r="AZ1048" t="inlineStr">
        <is>
          <t>991001322269702656</t>
        </is>
      </c>
      <c r="BA1048" t="inlineStr">
        <is>
          <t>2265486260002656</t>
        </is>
      </c>
      <c r="BB1048" t="inlineStr">
        <is>
          <t>BOOK</t>
        </is>
      </c>
      <c r="BD1048" t="inlineStr">
        <is>
          <t>9780803611979</t>
        </is>
      </c>
      <c r="BE1048" t="inlineStr">
        <is>
          <t>30001005372521</t>
        </is>
      </c>
      <c r="BF1048" t="inlineStr">
        <is>
          <t>893465406</t>
        </is>
      </c>
    </row>
    <row r="1049">
      <c r="A1049" t="inlineStr">
        <is>
          <t>No</t>
        </is>
      </c>
      <c r="B1049" t="inlineStr">
        <is>
          <t>CUHSL</t>
        </is>
      </c>
      <c r="C1049" t="inlineStr">
        <is>
          <t>SHELVES</t>
        </is>
      </c>
      <c r="D1049" t="inlineStr">
        <is>
          <t>WY 100 W686 2007 V.1-2</t>
        </is>
      </c>
      <c r="E1049" t="inlineStr">
        <is>
          <t>0                      WY 0100000W  686         2007                                        V.1-2</t>
        </is>
      </c>
      <c r="F1049" t="inlineStr">
        <is>
          <t>Fundamentals of nursing : theory, concepts &amp; applications / Judith M. Wilkinson, Karen Van Leuven.</t>
        </is>
      </c>
      <c r="G1049" t="inlineStr">
        <is>
          <t>V.1</t>
        </is>
      </c>
      <c r="H1049" t="inlineStr">
        <is>
          <t>Yes</t>
        </is>
      </c>
      <c r="I1049" t="inlineStr">
        <is>
          <t>1</t>
        </is>
      </c>
      <c r="J1049" t="inlineStr">
        <is>
          <t>No</t>
        </is>
      </c>
      <c r="K1049" t="inlineStr">
        <is>
          <t>Yes</t>
        </is>
      </c>
      <c r="L1049" t="inlineStr">
        <is>
          <t>0</t>
        </is>
      </c>
      <c r="M1049" t="inlineStr">
        <is>
          <t>Wilkinson, Judith M., 1946-</t>
        </is>
      </c>
      <c r="N1049" t="inlineStr">
        <is>
          <t>Philadelphia : F.A. Davis Co., c2007.</t>
        </is>
      </c>
      <c r="O1049" t="inlineStr">
        <is>
          <t>2007</t>
        </is>
      </c>
      <c r="Q1049" t="inlineStr">
        <is>
          <t>eng</t>
        </is>
      </c>
      <c r="R1049" t="inlineStr">
        <is>
          <t>pau</t>
        </is>
      </c>
      <c r="T1049" t="inlineStr">
        <is>
          <t xml:space="preserve">WY </t>
        </is>
      </c>
      <c r="U1049" t="n">
        <v>1</v>
      </c>
      <c r="V1049" t="n">
        <v>1</v>
      </c>
      <c r="W1049" t="inlineStr">
        <is>
          <t>2008-10-03</t>
        </is>
      </c>
      <c r="X1049" t="inlineStr">
        <is>
          <t>2008-10-03</t>
        </is>
      </c>
      <c r="Y1049" t="inlineStr">
        <is>
          <t>2008-10-02</t>
        </is>
      </c>
      <c r="Z1049" t="inlineStr">
        <is>
          <t>2008-10-02</t>
        </is>
      </c>
      <c r="AA1049" t="n">
        <v>241</v>
      </c>
      <c r="AB1049" t="n">
        <v>197</v>
      </c>
      <c r="AC1049" t="n">
        <v>607</v>
      </c>
      <c r="AD1049" t="n">
        <v>3</v>
      </c>
      <c r="AE1049" t="n">
        <v>8</v>
      </c>
      <c r="AF1049" t="n">
        <v>5</v>
      </c>
      <c r="AG1049" t="n">
        <v>16</v>
      </c>
      <c r="AH1049" t="n">
        <v>1</v>
      </c>
      <c r="AI1049" t="n">
        <v>5</v>
      </c>
      <c r="AJ1049" t="n">
        <v>1</v>
      </c>
      <c r="AK1049" t="n">
        <v>4</v>
      </c>
      <c r="AL1049" t="n">
        <v>1</v>
      </c>
      <c r="AM1049" t="n">
        <v>3</v>
      </c>
      <c r="AN1049" t="n">
        <v>2</v>
      </c>
      <c r="AO1049" t="n">
        <v>5</v>
      </c>
      <c r="AP1049" t="n">
        <v>0</v>
      </c>
      <c r="AQ1049" t="n">
        <v>1</v>
      </c>
      <c r="AR1049" t="inlineStr">
        <is>
          <t>No</t>
        </is>
      </c>
      <c r="AS1049" t="inlineStr">
        <is>
          <t>No</t>
        </is>
      </c>
      <c r="AU1049">
        <f>HYPERLINK("https://creighton-primo.hosted.exlibrisgroup.com/primo-explore/search?tab=default_tab&amp;search_scope=EVERYTHING&amp;vid=01CRU&amp;lang=en_US&amp;offset=0&amp;query=any,contains,991001322269702656","Catalog Record")</f>
        <v/>
      </c>
      <c r="AV1049">
        <f>HYPERLINK("http://www.worldcat.org/oclc/69423184","WorldCat Record")</f>
        <v/>
      </c>
      <c r="AW1049" t="inlineStr">
        <is>
          <t>4794528522:eng</t>
        </is>
      </c>
      <c r="AX1049" t="inlineStr">
        <is>
          <t>69423184</t>
        </is>
      </c>
      <c r="AY1049" t="inlineStr">
        <is>
          <t>991001322269702656</t>
        </is>
      </c>
      <c r="AZ1049" t="inlineStr">
        <is>
          <t>991001322269702656</t>
        </is>
      </c>
      <c r="BA1049" t="inlineStr">
        <is>
          <t>2265486260002656</t>
        </is>
      </c>
      <c r="BB1049" t="inlineStr">
        <is>
          <t>BOOK</t>
        </is>
      </c>
      <c r="BD1049" t="inlineStr">
        <is>
          <t>9780803611979</t>
        </is>
      </c>
      <c r="BE1049" t="inlineStr">
        <is>
          <t>30001005372463</t>
        </is>
      </c>
      <c r="BF1049" t="inlineStr">
        <is>
          <t>893465407</t>
        </is>
      </c>
    </row>
    <row r="1050">
      <c r="A1050" t="inlineStr">
        <is>
          <t>No</t>
        </is>
      </c>
      <c r="B1050" t="inlineStr">
        <is>
          <t>CUHSL</t>
        </is>
      </c>
      <c r="C1050" t="inlineStr">
        <is>
          <t>SHELVES</t>
        </is>
      </c>
      <c r="D1050" t="inlineStr">
        <is>
          <t>WY 100 W686f 2007 Chklist</t>
        </is>
      </c>
      <c r="E1050" t="inlineStr">
        <is>
          <t>0                      WY 0100000W  686f        2007                                        Chklist</t>
        </is>
      </c>
      <c r="F1050" t="inlineStr">
        <is>
          <t>Procedure checklists for Fundamentals of nursing / Judith M. Wilkinson, Karen Van Leuven.</t>
        </is>
      </c>
      <c r="H1050" t="inlineStr">
        <is>
          <t>No</t>
        </is>
      </c>
      <c r="I1050" t="inlineStr">
        <is>
          <t>1</t>
        </is>
      </c>
      <c r="J1050" t="inlineStr">
        <is>
          <t>No</t>
        </is>
      </c>
      <c r="K1050" t="inlineStr">
        <is>
          <t>Yes</t>
        </is>
      </c>
      <c r="L1050" t="inlineStr">
        <is>
          <t>0</t>
        </is>
      </c>
      <c r="M1050" t="inlineStr">
        <is>
          <t>Wilkinson, Judith M., 1946-</t>
        </is>
      </c>
      <c r="N1050" t="inlineStr">
        <is>
          <t>Philadelphia : F.A. Davis Co., c2007.</t>
        </is>
      </c>
      <c r="O1050" t="inlineStr">
        <is>
          <t>2007</t>
        </is>
      </c>
      <c r="Q1050" t="inlineStr">
        <is>
          <t>eng</t>
        </is>
      </c>
      <c r="R1050" t="inlineStr">
        <is>
          <t>pau</t>
        </is>
      </c>
      <c r="T1050" t="inlineStr">
        <is>
          <t xml:space="preserve">WY </t>
        </is>
      </c>
      <c r="U1050" t="n">
        <v>1</v>
      </c>
      <c r="V1050" t="n">
        <v>1</v>
      </c>
      <c r="W1050" t="inlineStr">
        <is>
          <t>2008-10-03</t>
        </is>
      </c>
      <c r="X1050" t="inlineStr">
        <is>
          <t>2008-10-03</t>
        </is>
      </c>
      <c r="Y1050" t="inlineStr">
        <is>
          <t>2008-10-02</t>
        </is>
      </c>
      <c r="Z1050" t="inlineStr">
        <is>
          <t>2008-10-02</t>
        </is>
      </c>
      <c r="AA1050" t="n">
        <v>52</v>
      </c>
      <c r="AB1050" t="n">
        <v>47</v>
      </c>
      <c r="AC1050" t="n">
        <v>607</v>
      </c>
      <c r="AD1050" t="n">
        <v>1</v>
      </c>
      <c r="AE1050" t="n">
        <v>8</v>
      </c>
      <c r="AF1050" t="n">
        <v>0</v>
      </c>
      <c r="AG1050" t="n">
        <v>16</v>
      </c>
      <c r="AH1050" t="n">
        <v>0</v>
      </c>
      <c r="AI1050" t="n">
        <v>5</v>
      </c>
      <c r="AJ1050" t="n">
        <v>0</v>
      </c>
      <c r="AK1050" t="n">
        <v>4</v>
      </c>
      <c r="AL1050" t="n">
        <v>0</v>
      </c>
      <c r="AM1050" t="n">
        <v>3</v>
      </c>
      <c r="AN1050" t="n">
        <v>0</v>
      </c>
      <c r="AO1050" t="n">
        <v>5</v>
      </c>
      <c r="AP1050" t="n">
        <v>0</v>
      </c>
      <c r="AQ1050" t="n">
        <v>1</v>
      </c>
      <c r="AR1050" t="inlineStr">
        <is>
          <t>No</t>
        </is>
      </c>
      <c r="AS1050" t="inlineStr">
        <is>
          <t>No</t>
        </is>
      </c>
      <c r="AU1050">
        <f>HYPERLINK("https://creighton-primo.hosted.exlibrisgroup.com/primo-explore/search?tab=default_tab&amp;search_scope=EVERYTHING&amp;vid=01CRU&amp;lang=en_US&amp;offset=0&amp;query=any,contains,991001794919702656","Catalog Record")</f>
        <v/>
      </c>
      <c r="AV1050">
        <f>HYPERLINK("http://www.worldcat.org/oclc/72717886","WorldCat Record")</f>
        <v/>
      </c>
      <c r="AW1050" t="inlineStr">
        <is>
          <t>4794528522:eng</t>
        </is>
      </c>
      <c r="AX1050" t="inlineStr">
        <is>
          <t>72717886</t>
        </is>
      </c>
      <c r="AY1050" t="inlineStr">
        <is>
          <t>991001794919702656</t>
        </is>
      </c>
      <c r="AZ1050" t="inlineStr">
        <is>
          <t>991001794919702656</t>
        </is>
      </c>
      <c r="BA1050" t="inlineStr">
        <is>
          <t>2260177070002656</t>
        </is>
      </c>
      <c r="BB1050" t="inlineStr">
        <is>
          <t>BOOK</t>
        </is>
      </c>
      <c r="BD1050" t="inlineStr">
        <is>
          <t>9780803614734</t>
        </is>
      </c>
      <c r="BE1050" t="inlineStr">
        <is>
          <t>30001005372406</t>
        </is>
      </c>
      <c r="BF1050" t="inlineStr">
        <is>
          <t>893370061</t>
        </is>
      </c>
    </row>
    <row r="1051">
      <c r="A1051" t="inlineStr">
        <is>
          <t>No</t>
        </is>
      </c>
      <c r="B1051" t="inlineStr">
        <is>
          <t>CUHSL</t>
        </is>
      </c>
      <c r="C1051" t="inlineStr">
        <is>
          <t>SHELVES</t>
        </is>
      </c>
      <c r="D1051" t="inlineStr">
        <is>
          <t>WY 100 W724u 1998</t>
        </is>
      </c>
      <c r="E1051" t="inlineStr">
        <is>
          <t>0                      WY 0100000W  724u        1998</t>
        </is>
      </c>
      <c r="F1051" t="inlineStr">
        <is>
          <t>Understanding medical-surgical nursing / Linda S. Williams, Paula D. Hopper.</t>
        </is>
      </c>
      <c r="H1051" t="inlineStr">
        <is>
          <t>No</t>
        </is>
      </c>
      <c r="I1051" t="inlineStr">
        <is>
          <t>1</t>
        </is>
      </c>
      <c r="J1051" t="inlineStr">
        <is>
          <t>No</t>
        </is>
      </c>
      <c r="K1051" t="inlineStr">
        <is>
          <t>Yes</t>
        </is>
      </c>
      <c r="L1051" t="inlineStr">
        <is>
          <t>2</t>
        </is>
      </c>
      <c r="M1051" t="inlineStr">
        <is>
          <t>Williams, Linda S. (Linda Sue), 1954-</t>
        </is>
      </c>
      <c r="N1051" t="inlineStr">
        <is>
          <t>Philadelphia : F.A. Davis Co., c1999.</t>
        </is>
      </c>
      <c r="O1051" t="inlineStr">
        <is>
          <t>1999</t>
        </is>
      </c>
      <c r="Q1051" t="inlineStr">
        <is>
          <t>eng</t>
        </is>
      </c>
      <c r="R1051" t="inlineStr">
        <is>
          <t>pau</t>
        </is>
      </c>
      <c r="T1051" t="inlineStr">
        <is>
          <t xml:space="preserve">WY </t>
        </is>
      </c>
      <c r="U1051" t="n">
        <v>1</v>
      </c>
      <c r="V1051" t="n">
        <v>1</v>
      </c>
      <c r="W1051" t="inlineStr">
        <is>
          <t>1999-03-23</t>
        </is>
      </c>
      <c r="X1051" t="inlineStr">
        <is>
          <t>1999-03-23</t>
        </is>
      </c>
      <c r="Y1051" t="inlineStr">
        <is>
          <t>1999-03-23</t>
        </is>
      </c>
      <c r="Z1051" t="inlineStr">
        <is>
          <t>1999-03-23</t>
        </is>
      </c>
      <c r="AA1051" t="n">
        <v>126</v>
      </c>
      <c r="AB1051" t="n">
        <v>104</v>
      </c>
      <c r="AC1051" t="n">
        <v>1100</v>
      </c>
      <c r="AD1051" t="n">
        <v>1</v>
      </c>
      <c r="AE1051" t="n">
        <v>33</v>
      </c>
      <c r="AF1051" t="n">
        <v>1</v>
      </c>
      <c r="AG1051" t="n">
        <v>32</v>
      </c>
      <c r="AH1051" t="n">
        <v>0</v>
      </c>
      <c r="AI1051" t="n">
        <v>10</v>
      </c>
      <c r="AJ1051" t="n">
        <v>0</v>
      </c>
      <c r="AK1051" t="n">
        <v>5</v>
      </c>
      <c r="AL1051" t="n">
        <v>1</v>
      </c>
      <c r="AM1051" t="n">
        <v>8</v>
      </c>
      <c r="AN1051" t="n">
        <v>0</v>
      </c>
      <c r="AO1051" t="n">
        <v>13</v>
      </c>
      <c r="AP1051" t="n">
        <v>0</v>
      </c>
      <c r="AQ1051" t="n">
        <v>1</v>
      </c>
      <c r="AR1051" t="inlineStr">
        <is>
          <t>No</t>
        </is>
      </c>
      <c r="AS1051" t="inlineStr">
        <is>
          <t>No</t>
        </is>
      </c>
      <c r="AU1051">
        <f>HYPERLINK("https://creighton-primo.hosted.exlibrisgroup.com/primo-explore/search?tab=default_tab&amp;search_scope=EVERYTHING&amp;vid=01CRU&amp;lang=en_US&amp;offset=0&amp;query=any,contains,991001572269702656","Catalog Record")</f>
        <v/>
      </c>
      <c r="AV1051">
        <f>HYPERLINK("http://www.worldcat.org/oclc/40339598","WorldCat Record")</f>
        <v/>
      </c>
      <c r="AW1051" t="inlineStr">
        <is>
          <t>1077482988:eng</t>
        </is>
      </c>
      <c r="AX1051" t="inlineStr">
        <is>
          <t>40339598</t>
        </is>
      </c>
      <c r="AY1051" t="inlineStr">
        <is>
          <t>991001572269702656</t>
        </is>
      </c>
      <c r="AZ1051" t="inlineStr">
        <is>
          <t>991001572269702656</t>
        </is>
      </c>
      <c r="BA1051" t="inlineStr">
        <is>
          <t>2262080930002656</t>
        </is>
      </c>
      <c r="BB1051" t="inlineStr">
        <is>
          <t>BOOK</t>
        </is>
      </c>
      <c r="BD1051" t="inlineStr">
        <is>
          <t>9780803603516</t>
        </is>
      </c>
      <c r="BE1051" t="inlineStr">
        <is>
          <t>30001004070290</t>
        </is>
      </c>
      <c r="BF1051" t="inlineStr">
        <is>
          <t>893541522</t>
        </is>
      </c>
    </row>
    <row r="1052">
      <c r="A1052" t="inlineStr">
        <is>
          <t>No</t>
        </is>
      </c>
      <c r="B1052" t="inlineStr">
        <is>
          <t>CUHSL</t>
        </is>
      </c>
      <c r="C1052" t="inlineStr">
        <is>
          <t>SHELVES</t>
        </is>
      </c>
      <c r="D1052" t="inlineStr">
        <is>
          <t>WY 100 W951n 1994</t>
        </is>
      </c>
      <c r="E1052" t="inlineStr">
        <is>
          <t>0                      WY 0100000W  951n        1994</t>
        </is>
      </c>
      <c r="F1052" t="inlineStr">
        <is>
          <t>Nurses and families : a guide to family assessment and intervention / Lorraine M. Wright, Maureen Leahey.</t>
        </is>
      </c>
      <c r="H1052" t="inlineStr">
        <is>
          <t>No</t>
        </is>
      </c>
      <c r="I1052" t="inlineStr">
        <is>
          <t>1</t>
        </is>
      </c>
      <c r="J1052" t="inlineStr">
        <is>
          <t>No</t>
        </is>
      </c>
      <c r="K1052" t="inlineStr">
        <is>
          <t>No</t>
        </is>
      </c>
      <c r="L1052" t="inlineStr">
        <is>
          <t>3</t>
        </is>
      </c>
      <c r="M1052" t="inlineStr">
        <is>
          <t>Wright, Lorraine M., 1944-</t>
        </is>
      </c>
      <c r="N1052" t="inlineStr">
        <is>
          <t>Philadelphia : F.A. Davis, c1994.</t>
        </is>
      </c>
      <c r="O1052" t="inlineStr">
        <is>
          <t>1994</t>
        </is>
      </c>
      <c r="P1052" t="inlineStr">
        <is>
          <t>2nd ed.</t>
        </is>
      </c>
      <c r="Q1052" t="inlineStr">
        <is>
          <t>eng</t>
        </is>
      </c>
      <c r="R1052" t="inlineStr">
        <is>
          <t>pau</t>
        </is>
      </c>
      <c r="T1052" t="inlineStr">
        <is>
          <t xml:space="preserve">WY </t>
        </is>
      </c>
      <c r="U1052" t="n">
        <v>6</v>
      </c>
      <c r="V1052" t="n">
        <v>6</v>
      </c>
      <c r="W1052" t="inlineStr">
        <is>
          <t>1995-09-06</t>
        </is>
      </c>
      <c r="X1052" t="inlineStr">
        <is>
          <t>1995-09-06</t>
        </is>
      </c>
      <c r="Y1052" t="inlineStr">
        <is>
          <t>1994-09-13</t>
        </is>
      </c>
      <c r="Z1052" t="inlineStr">
        <is>
          <t>1994-09-13</t>
        </is>
      </c>
      <c r="AA1052" t="n">
        <v>249</v>
      </c>
      <c r="AB1052" t="n">
        <v>166</v>
      </c>
      <c r="AC1052" t="n">
        <v>1286</v>
      </c>
      <c r="AD1052" t="n">
        <v>1</v>
      </c>
      <c r="AE1052" t="n">
        <v>26</v>
      </c>
      <c r="AF1052" t="n">
        <v>4</v>
      </c>
      <c r="AG1052" t="n">
        <v>48</v>
      </c>
      <c r="AH1052" t="n">
        <v>2</v>
      </c>
      <c r="AI1052" t="n">
        <v>17</v>
      </c>
      <c r="AJ1052" t="n">
        <v>0</v>
      </c>
      <c r="AK1052" t="n">
        <v>8</v>
      </c>
      <c r="AL1052" t="n">
        <v>3</v>
      </c>
      <c r="AM1052" t="n">
        <v>16</v>
      </c>
      <c r="AN1052" t="n">
        <v>0</v>
      </c>
      <c r="AO1052" t="n">
        <v>14</v>
      </c>
      <c r="AP1052" t="n">
        <v>0</v>
      </c>
      <c r="AQ1052" t="n">
        <v>1</v>
      </c>
      <c r="AR1052" t="inlineStr">
        <is>
          <t>No</t>
        </is>
      </c>
      <c r="AS1052" t="inlineStr">
        <is>
          <t>Yes</t>
        </is>
      </c>
      <c r="AT1052">
        <f>HYPERLINK("http://catalog.hathitrust.org/Record/002967678","HathiTrust Record")</f>
        <v/>
      </c>
      <c r="AU1052">
        <f>HYPERLINK("https://creighton-primo.hosted.exlibrisgroup.com/primo-explore/search?tab=default_tab&amp;search_scope=EVERYTHING&amp;vid=01CRU&amp;lang=en_US&amp;offset=0&amp;query=any,contains,991000679979702656","Catalog Record")</f>
        <v/>
      </c>
      <c r="AV1052">
        <f>HYPERLINK("http://www.worldcat.org/oclc/29474558","WorldCat Record")</f>
        <v/>
      </c>
      <c r="AW1052" t="inlineStr">
        <is>
          <t>39456102:eng</t>
        </is>
      </c>
      <c r="AX1052" t="inlineStr">
        <is>
          <t>29474558</t>
        </is>
      </c>
      <c r="AY1052" t="inlineStr">
        <is>
          <t>991000679979702656</t>
        </is>
      </c>
      <c r="AZ1052" t="inlineStr">
        <is>
          <t>991000679979702656</t>
        </is>
      </c>
      <c r="BA1052" t="inlineStr">
        <is>
          <t>2271091210002656</t>
        </is>
      </c>
      <c r="BB1052" t="inlineStr">
        <is>
          <t>BOOK</t>
        </is>
      </c>
      <c r="BD1052" t="inlineStr">
        <is>
          <t>9780803696051</t>
        </is>
      </c>
      <c r="BE1052" t="inlineStr">
        <is>
          <t>30001002697193</t>
        </is>
      </c>
      <c r="BF1052" t="inlineStr">
        <is>
          <t>893726486</t>
        </is>
      </c>
    </row>
    <row r="1053">
      <c r="A1053" t="inlineStr">
        <is>
          <t>No</t>
        </is>
      </c>
      <c r="B1053" t="inlineStr">
        <is>
          <t>CUHSL</t>
        </is>
      </c>
      <c r="C1053" t="inlineStr">
        <is>
          <t>SHELVES</t>
        </is>
      </c>
      <c r="D1053" t="inlineStr">
        <is>
          <t>WY 100 Y95n 1987</t>
        </is>
      </c>
      <c r="E1053" t="inlineStr">
        <is>
          <t>0                      WY 0100000Y  95n         1987</t>
        </is>
      </c>
      <c r="F1053" t="inlineStr">
        <is>
          <t>The nursing process : assessing, planning, implementing, evaluating / Helen Yura, Mary B. Walsh ; with a foreword by Nellie Garzon.</t>
        </is>
      </c>
      <c r="H1053" t="inlineStr">
        <is>
          <t>No</t>
        </is>
      </c>
      <c r="I1053" t="inlineStr">
        <is>
          <t>1</t>
        </is>
      </c>
      <c r="J1053" t="inlineStr">
        <is>
          <t>No</t>
        </is>
      </c>
      <c r="K1053" t="inlineStr">
        <is>
          <t>Yes</t>
        </is>
      </c>
      <c r="L1053" t="inlineStr">
        <is>
          <t>0</t>
        </is>
      </c>
      <c r="M1053" t="inlineStr">
        <is>
          <t>Petro-Yura, Helen, 1929-</t>
        </is>
      </c>
      <c r="N1053" t="inlineStr">
        <is>
          <t>East Norwalk, Conn. : Appleton &amp; Lange, c1987.</t>
        </is>
      </c>
      <c r="O1053" t="inlineStr">
        <is>
          <t>1987</t>
        </is>
      </c>
      <c r="P1053" t="inlineStr">
        <is>
          <t>5th ed.</t>
        </is>
      </c>
      <c r="Q1053" t="inlineStr">
        <is>
          <t>eng</t>
        </is>
      </c>
      <c r="R1053" t="inlineStr">
        <is>
          <t>xxu</t>
        </is>
      </c>
      <c r="T1053" t="inlineStr">
        <is>
          <t xml:space="preserve">WY </t>
        </is>
      </c>
      <c r="U1053" t="n">
        <v>5</v>
      </c>
      <c r="V1053" t="n">
        <v>5</v>
      </c>
      <c r="W1053" t="inlineStr">
        <is>
          <t>1996-02-28</t>
        </is>
      </c>
      <c r="X1053" t="inlineStr">
        <is>
          <t>1996-02-28</t>
        </is>
      </c>
      <c r="Y1053" t="inlineStr">
        <is>
          <t>1988-02-27</t>
        </is>
      </c>
      <c r="Z1053" t="inlineStr">
        <is>
          <t>1988-02-27</t>
        </is>
      </c>
      <c r="AA1053" t="n">
        <v>306</v>
      </c>
      <c r="AB1053" t="n">
        <v>247</v>
      </c>
      <c r="AC1053" t="n">
        <v>512</v>
      </c>
      <c r="AD1053" t="n">
        <v>3</v>
      </c>
      <c r="AE1053" t="n">
        <v>5</v>
      </c>
      <c r="AF1053" t="n">
        <v>10</v>
      </c>
      <c r="AG1053" t="n">
        <v>22</v>
      </c>
      <c r="AH1053" t="n">
        <v>5</v>
      </c>
      <c r="AI1053" t="n">
        <v>8</v>
      </c>
      <c r="AJ1053" t="n">
        <v>2</v>
      </c>
      <c r="AK1053" t="n">
        <v>6</v>
      </c>
      <c r="AL1053" t="n">
        <v>5</v>
      </c>
      <c r="AM1053" t="n">
        <v>10</v>
      </c>
      <c r="AN1053" t="n">
        <v>1</v>
      </c>
      <c r="AO1053" t="n">
        <v>3</v>
      </c>
      <c r="AP1053" t="n">
        <v>0</v>
      </c>
      <c r="AQ1053" t="n">
        <v>0</v>
      </c>
      <c r="AR1053" t="inlineStr">
        <is>
          <t>No</t>
        </is>
      </c>
      <c r="AS1053" t="inlineStr">
        <is>
          <t>Yes</t>
        </is>
      </c>
      <c r="AT1053">
        <f>HYPERLINK("http://catalog.hathitrust.org/Record/000903041","HathiTrust Record")</f>
        <v/>
      </c>
      <c r="AU1053">
        <f>HYPERLINK("https://creighton-primo.hosted.exlibrisgroup.com/primo-explore/search?tab=default_tab&amp;search_scope=EVERYTHING&amp;vid=01CRU&amp;lang=en_US&amp;offset=0&amp;query=any,contains,991000986549702656","Catalog Record")</f>
        <v/>
      </c>
      <c r="AV1053">
        <f>HYPERLINK("http://www.worldcat.org/oclc/16003979","WorldCat Record")</f>
        <v/>
      </c>
      <c r="AW1053" t="inlineStr">
        <is>
          <t>1690448:eng</t>
        </is>
      </c>
      <c r="AX1053" t="inlineStr">
        <is>
          <t>16003979</t>
        </is>
      </c>
      <c r="AY1053" t="inlineStr">
        <is>
          <t>991000986549702656</t>
        </is>
      </c>
      <c r="AZ1053" t="inlineStr">
        <is>
          <t>991000986549702656</t>
        </is>
      </c>
      <c r="BA1053" t="inlineStr">
        <is>
          <t>2261482770002656</t>
        </is>
      </c>
      <c r="BB1053" t="inlineStr">
        <is>
          <t>BOOK</t>
        </is>
      </c>
      <c r="BD1053" t="inlineStr">
        <is>
          <t>9780838570418</t>
        </is>
      </c>
      <c r="BE1053" t="inlineStr">
        <is>
          <t>30001000885907</t>
        </is>
      </c>
      <c r="BF1053" t="inlineStr">
        <is>
          <t>893540887</t>
        </is>
      </c>
    </row>
    <row r="1054">
      <c r="A1054" t="inlineStr">
        <is>
          <t>No</t>
        </is>
      </c>
      <c r="B1054" t="inlineStr">
        <is>
          <t>CUHSL</t>
        </is>
      </c>
      <c r="C1054" t="inlineStr">
        <is>
          <t>SHELVES</t>
        </is>
      </c>
      <c r="D1054" t="inlineStr">
        <is>
          <t>WY 100.3 H434 1978</t>
        </is>
      </c>
      <c r="E1054" t="inlineStr">
        <is>
          <t>0                      WY 0100300H  434         1978</t>
        </is>
      </c>
      <c r="F1054" t="inlineStr">
        <is>
          <t>Health care in the 1980s : who provides? : who plans? : who pays?</t>
        </is>
      </c>
      <c r="H1054" t="inlineStr">
        <is>
          <t>No</t>
        </is>
      </c>
      <c r="I1054" t="inlineStr">
        <is>
          <t>1</t>
        </is>
      </c>
      <c r="J1054" t="inlineStr">
        <is>
          <t>No</t>
        </is>
      </c>
      <c r="K1054" t="inlineStr">
        <is>
          <t>No</t>
        </is>
      </c>
      <c r="L1054" t="inlineStr">
        <is>
          <t>0</t>
        </is>
      </c>
      <c r="N1054" t="inlineStr">
        <is>
          <t>New York : National League for Nursing, c1979.</t>
        </is>
      </c>
      <c r="O1054" t="inlineStr">
        <is>
          <t>1978</t>
        </is>
      </c>
      <c r="Q1054" t="inlineStr">
        <is>
          <t>eng</t>
        </is>
      </c>
      <c r="R1054" t="inlineStr">
        <is>
          <t>nyu</t>
        </is>
      </c>
      <c r="S1054" t="inlineStr">
        <is>
          <t>NLN pub. no. 52-1755</t>
        </is>
      </c>
      <c r="T1054" t="inlineStr">
        <is>
          <t xml:space="preserve">WY </t>
        </is>
      </c>
      <c r="U1054" t="n">
        <v>3</v>
      </c>
      <c r="V1054" t="n">
        <v>3</v>
      </c>
      <c r="W1054" t="inlineStr">
        <is>
          <t>1990-07-11</t>
        </is>
      </c>
      <c r="X1054" t="inlineStr">
        <is>
          <t>1990-07-11</t>
        </is>
      </c>
      <c r="Y1054" t="inlineStr">
        <is>
          <t>1987-11-18</t>
        </is>
      </c>
      <c r="Z1054" t="inlineStr">
        <is>
          <t>1987-11-18</t>
        </is>
      </c>
      <c r="AA1054" t="n">
        <v>132</v>
      </c>
      <c r="AB1054" t="n">
        <v>118</v>
      </c>
      <c r="AC1054" t="n">
        <v>120</v>
      </c>
      <c r="AD1054" t="n">
        <v>2</v>
      </c>
      <c r="AE1054" t="n">
        <v>2</v>
      </c>
      <c r="AF1054" t="n">
        <v>6</v>
      </c>
      <c r="AG1054" t="n">
        <v>6</v>
      </c>
      <c r="AH1054" t="n">
        <v>1</v>
      </c>
      <c r="AI1054" t="n">
        <v>1</v>
      </c>
      <c r="AJ1054" t="n">
        <v>2</v>
      </c>
      <c r="AK1054" t="n">
        <v>2</v>
      </c>
      <c r="AL1054" t="n">
        <v>3</v>
      </c>
      <c r="AM1054" t="n">
        <v>3</v>
      </c>
      <c r="AN1054" t="n">
        <v>1</v>
      </c>
      <c r="AO1054" t="n">
        <v>1</v>
      </c>
      <c r="AP1054" t="n">
        <v>0</v>
      </c>
      <c r="AQ1054" t="n">
        <v>0</v>
      </c>
      <c r="AR1054" t="inlineStr">
        <is>
          <t>No</t>
        </is>
      </c>
      <c r="AS1054" t="inlineStr">
        <is>
          <t>Yes</t>
        </is>
      </c>
      <c r="AT1054">
        <f>HYPERLINK("http://catalog.hathitrust.org/Record/000297092","HathiTrust Record")</f>
        <v/>
      </c>
      <c r="AU1054">
        <f>HYPERLINK("https://creighton-primo.hosted.exlibrisgroup.com/primo-explore/search?tab=default_tab&amp;search_scope=EVERYTHING&amp;vid=01CRU&amp;lang=en_US&amp;offset=0&amp;query=any,contains,991001517319702656","Catalog Record")</f>
        <v/>
      </c>
      <c r="AV1054">
        <f>HYPERLINK("http://www.worldcat.org/oclc/5674553","WorldCat Record")</f>
        <v/>
      </c>
      <c r="AW1054" t="inlineStr">
        <is>
          <t>18855759:eng</t>
        </is>
      </c>
      <c r="AX1054" t="inlineStr">
        <is>
          <t>5674553</t>
        </is>
      </c>
      <c r="AY1054" t="inlineStr">
        <is>
          <t>991001517319702656</t>
        </is>
      </c>
      <c r="AZ1054" t="inlineStr">
        <is>
          <t>991001517319702656</t>
        </is>
      </c>
      <c r="BA1054" t="inlineStr">
        <is>
          <t>2268733480002656</t>
        </is>
      </c>
      <c r="BB1054" t="inlineStr">
        <is>
          <t>BOOK</t>
        </is>
      </c>
      <c r="BE1054" t="inlineStr">
        <is>
          <t>30001000600173</t>
        </is>
      </c>
      <c r="BF1054" t="inlineStr">
        <is>
          <t>893369435</t>
        </is>
      </c>
    </row>
    <row r="1055">
      <c r="A1055" t="inlineStr">
        <is>
          <t>No</t>
        </is>
      </c>
      <c r="B1055" t="inlineStr">
        <is>
          <t>CUHSL</t>
        </is>
      </c>
      <c r="C1055" t="inlineStr">
        <is>
          <t>SHELVES</t>
        </is>
      </c>
      <c r="D1055" t="inlineStr">
        <is>
          <t>WY 100.3 T355 1979</t>
        </is>
      </c>
      <c r="E1055" t="inlineStr">
        <is>
          <t>0                      WY 0100300T  355         1979</t>
        </is>
      </c>
      <c r="F1055" t="inlineStr">
        <is>
          <t>Textbook of human sexuality for nurses / Robert C. Kolodny ... [et al.].</t>
        </is>
      </c>
      <c r="H1055" t="inlineStr">
        <is>
          <t>No</t>
        </is>
      </c>
      <c r="I1055" t="inlineStr">
        <is>
          <t>1</t>
        </is>
      </c>
      <c r="J1055" t="inlineStr">
        <is>
          <t>No</t>
        </is>
      </c>
      <c r="K1055" t="inlineStr">
        <is>
          <t>No</t>
        </is>
      </c>
      <c r="L1055" t="inlineStr">
        <is>
          <t>0</t>
        </is>
      </c>
      <c r="N1055" t="inlineStr">
        <is>
          <t>Boston : Little, Brown, c1979.</t>
        </is>
      </c>
      <c r="O1055" t="inlineStr">
        <is>
          <t>1979</t>
        </is>
      </c>
      <c r="P1055" t="inlineStr">
        <is>
          <t>1st ed.</t>
        </is>
      </c>
      <c r="Q1055" t="inlineStr">
        <is>
          <t>eng</t>
        </is>
      </c>
      <c r="R1055" t="inlineStr">
        <is>
          <t>mau</t>
        </is>
      </c>
      <c r="T1055" t="inlineStr">
        <is>
          <t xml:space="preserve">WY </t>
        </is>
      </c>
      <c r="U1055" t="n">
        <v>2</v>
      </c>
      <c r="V1055" t="n">
        <v>2</v>
      </c>
      <c r="W1055" t="inlineStr">
        <is>
          <t>1992-10-11</t>
        </is>
      </c>
      <c r="X1055" t="inlineStr">
        <is>
          <t>1992-10-11</t>
        </is>
      </c>
      <c r="Y1055" t="inlineStr">
        <is>
          <t>1988-01-20</t>
        </is>
      </c>
      <c r="Z1055" t="inlineStr">
        <is>
          <t>1988-01-20</t>
        </is>
      </c>
      <c r="AA1055" t="n">
        <v>313</v>
      </c>
      <c r="AB1055" t="n">
        <v>271</v>
      </c>
      <c r="AC1055" t="n">
        <v>278</v>
      </c>
      <c r="AD1055" t="n">
        <v>3</v>
      </c>
      <c r="AE1055" t="n">
        <v>3</v>
      </c>
      <c r="AF1055" t="n">
        <v>12</v>
      </c>
      <c r="AG1055" t="n">
        <v>12</v>
      </c>
      <c r="AH1055" t="n">
        <v>4</v>
      </c>
      <c r="AI1055" t="n">
        <v>4</v>
      </c>
      <c r="AJ1055" t="n">
        <v>3</v>
      </c>
      <c r="AK1055" t="n">
        <v>3</v>
      </c>
      <c r="AL1055" t="n">
        <v>7</v>
      </c>
      <c r="AM1055" t="n">
        <v>7</v>
      </c>
      <c r="AN1055" t="n">
        <v>2</v>
      </c>
      <c r="AO1055" t="n">
        <v>2</v>
      </c>
      <c r="AP1055" t="n">
        <v>0</v>
      </c>
      <c r="AQ1055" t="n">
        <v>0</v>
      </c>
      <c r="AR1055" t="inlineStr">
        <is>
          <t>No</t>
        </is>
      </c>
      <c r="AS1055" t="inlineStr">
        <is>
          <t>Yes</t>
        </is>
      </c>
      <c r="AT1055">
        <f>HYPERLINK("http://catalog.hathitrust.org/Record/000686338","HathiTrust Record")</f>
        <v/>
      </c>
      <c r="AU1055">
        <f>HYPERLINK("https://creighton-primo.hosted.exlibrisgroup.com/primo-explore/search?tab=default_tab&amp;search_scope=EVERYTHING&amp;vid=01CRU&amp;lang=en_US&amp;offset=0&amp;query=any,contains,991001149879702656","Catalog Record")</f>
        <v/>
      </c>
      <c r="AV1055">
        <f>HYPERLINK("http://www.worldcat.org/oclc/5000242","WorldCat Record")</f>
        <v/>
      </c>
      <c r="AW1055" t="inlineStr">
        <is>
          <t>54296137:eng</t>
        </is>
      </c>
      <c r="AX1055" t="inlineStr">
        <is>
          <t>5000242</t>
        </is>
      </c>
      <c r="AY1055" t="inlineStr">
        <is>
          <t>991001149879702656</t>
        </is>
      </c>
      <c r="AZ1055" t="inlineStr">
        <is>
          <t>991001149879702656</t>
        </is>
      </c>
      <c r="BA1055" t="inlineStr">
        <is>
          <t>2265001770002656</t>
        </is>
      </c>
      <c r="BB1055" t="inlineStr">
        <is>
          <t>BOOK</t>
        </is>
      </c>
      <c r="BD1055" t="inlineStr">
        <is>
          <t>9780316501552</t>
        </is>
      </c>
      <c r="BE1055" t="inlineStr">
        <is>
          <t>30001000295602</t>
        </is>
      </c>
      <c r="BF1055" t="inlineStr">
        <is>
          <t>893632765</t>
        </is>
      </c>
    </row>
    <row r="1056">
      <c r="A1056" t="inlineStr">
        <is>
          <t>No</t>
        </is>
      </c>
      <c r="B1056" t="inlineStr">
        <is>
          <t>CUHSL</t>
        </is>
      </c>
      <c r="C1056" t="inlineStr">
        <is>
          <t>SHELVES</t>
        </is>
      </c>
      <c r="D1056" t="inlineStr">
        <is>
          <t>WY100.4 C294 2007</t>
        </is>
      </c>
      <c r="E1056" t="inlineStr">
        <is>
          <t>0                      WY 0100400C  294         2007</t>
        </is>
      </c>
      <c r="F1056" t="inlineStr">
        <is>
          <t>Understanding the nursing process : concept mapping and care planning for students / Lynda Juall Carpenito-Moyet.</t>
        </is>
      </c>
      <c r="H1056" t="inlineStr">
        <is>
          <t>No</t>
        </is>
      </c>
      <c r="I1056" t="inlineStr">
        <is>
          <t>1</t>
        </is>
      </c>
      <c r="J1056" t="inlineStr">
        <is>
          <t>No</t>
        </is>
      </c>
      <c r="K1056" t="inlineStr">
        <is>
          <t>No</t>
        </is>
      </c>
      <c r="L1056" t="inlineStr">
        <is>
          <t>0</t>
        </is>
      </c>
      <c r="M1056" t="inlineStr">
        <is>
          <t>Carpenito, Lynda Juall.</t>
        </is>
      </c>
      <c r="N1056" t="inlineStr">
        <is>
          <t>Philadelphia : Lippincott Williams &amp; Wilkins, c2007.</t>
        </is>
      </c>
      <c r="O1056" t="inlineStr">
        <is>
          <t>2007</t>
        </is>
      </c>
      <c r="Q1056" t="inlineStr">
        <is>
          <t>eng</t>
        </is>
      </c>
      <c r="R1056" t="inlineStr">
        <is>
          <t>pau</t>
        </is>
      </c>
      <c r="T1056" t="inlineStr">
        <is>
          <t xml:space="preserve">WY </t>
        </is>
      </c>
      <c r="U1056" t="n">
        <v>0</v>
      </c>
      <c r="V1056" t="n">
        <v>0</v>
      </c>
      <c r="W1056" t="inlineStr">
        <is>
          <t>2009-10-01</t>
        </is>
      </c>
      <c r="X1056" t="inlineStr">
        <is>
          <t>2009-10-01</t>
        </is>
      </c>
      <c r="Y1056" t="inlineStr">
        <is>
          <t>2009-09-29</t>
        </is>
      </c>
      <c r="Z1056" t="inlineStr">
        <is>
          <t>2009-09-29</t>
        </is>
      </c>
      <c r="AA1056" t="n">
        <v>395</v>
      </c>
      <c r="AB1056" t="n">
        <v>271</v>
      </c>
      <c r="AC1056" t="n">
        <v>278</v>
      </c>
      <c r="AD1056" t="n">
        <v>4</v>
      </c>
      <c r="AE1056" t="n">
        <v>4</v>
      </c>
      <c r="AF1056" t="n">
        <v>9</v>
      </c>
      <c r="AG1056" t="n">
        <v>9</v>
      </c>
      <c r="AH1056" t="n">
        <v>2</v>
      </c>
      <c r="AI1056" t="n">
        <v>2</v>
      </c>
      <c r="AJ1056" t="n">
        <v>1</v>
      </c>
      <c r="AK1056" t="n">
        <v>1</v>
      </c>
      <c r="AL1056" t="n">
        <v>4</v>
      </c>
      <c r="AM1056" t="n">
        <v>4</v>
      </c>
      <c r="AN1056" t="n">
        <v>3</v>
      </c>
      <c r="AO1056" t="n">
        <v>3</v>
      </c>
      <c r="AP1056" t="n">
        <v>0</v>
      </c>
      <c r="AQ1056" t="n">
        <v>0</v>
      </c>
      <c r="AR1056" t="inlineStr">
        <is>
          <t>No</t>
        </is>
      </c>
      <c r="AS1056" t="inlineStr">
        <is>
          <t>No</t>
        </is>
      </c>
      <c r="AU1056">
        <f>HYPERLINK("https://creighton-primo.hosted.exlibrisgroup.com/primo-explore/search?tab=default_tab&amp;search_scope=EVERYTHING&amp;vid=01CRU&amp;lang=en_US&amp;offset=0&amp;query=any,contains,991001753239702656","Catalog Record")</f>
        <v/>
      </c>
      <c r="AV1056">
        <f>HYPERLINK("http://www.worldcat.org/oclc/62109953","WorldCat Record")</f>
        <v/>
      </c>
      <c r="AW1056" t="inlineStr">
        <is>
          <t>866275363:eng</t>
        </is>
      </c>
      <c r="AX1056" t="inlineStr">
        <is>
          <t>62109953</t>
        </is>
      </c>
      <c r="AY1056" t="inlineStr">
        <is>
          <t>991001753239702656</t>
        </is>
      </c>
      <c r="AZ1056" t="inlineStr">
        <is>
          <t>991001753239702656</t>
        </is>
      </c>
      <c r="BA1056" t="inlineStr">
        <is>
          <t>2264989320002656</t>
        </is>
      </c>
      <c r="BB1056" t="inlineStr">
        <is>
          <t>BOOK</t>
        </is>
      </c>
      <c r="BD1056" t="inlineStr">
        <is>
          <t>9780781759694</t>
        </is>
      </c>
      <c r="BE1056" t="inlineStr">
        <is>
          <t>30001004919819</t>
        </is>
      </c>
      <c r="BF1056" t="inlineStr">
        <is>
          <t>893741429</t>
        </is>
      </c>
    </row>
    <row r="1057">
      <c r="A1057" t="inlineStr">
        <is>
          <t>No</t>
        </is>
      </c>
      <c r="B1057" t="inlineStr">
        <is>
          <t>CUHSL</t>
        </is>
      </c>
      <c r="C1057" t="inlineStr">
        <is>
          <t>SHELVES</t>
        </is>
      </c>
      <c r="D1057" t="inlineStr">
        <is>
          <t>WY 100.4 C641 1997</t>
        </is>
      </c>
      <c r="E1057" t="inlineStr">
        <is>
          <t>0                      WY 0100400C  641         1997</t>
        </is>
      </c>
      <c r="F1057" t="inlineStr">
        <is>
          <t>Clinical applications of nursing diagnosis : adult, child, women's, psychiatric, gerontic, and home health considerations / Helen C. Cox ... [et al.].</t>
        </is>
      </c>
      <c r="H1057" t="inlineStr">
        <is>
          <t>No</t>
        </is>
      </c>
      <c r="I1057" t="inlineStr">
        <is>
          <t>1</t>
        </is>
      </c>
      <c r="J1057" t="inlineStr">
        <is>
          <t>No</t>
        </is>
      </c>
      <c r="K1057" t="inlineStr">
        <is>
          <t>Yes</t>
        </is>
      </c>
      <c r="L1057" t="inlineStr">
        <is>
          <t>0</t>
        </is>
      </c>
      <c r="N1057" t="inlineStr">
        <is>
          <t>Philadelphia : F.A. Davis, c1997.</t>
        </is>
      </c>
      <c r="O1057" t="inlineStr">
        <is>
          <t>1997</t>
        </is>
      </c>
      <c r="P1057" t="inlineStr">
        <is>
          <t>3rd ed.</t>
        </is>
      </c>
      <c r="Q1057" t="inlineStr">
        <is>
          <t>eng</t>
        </is>
      </c>
      <c r="R1057" t="inlineStr">
        <is>
          <t>pau</t>
        </is>
      </c>
      <c r="T1057" t="inlineStr">
        <is>
          <t xml:space="preserve">WY </t>
        </is>
      </c>
      <c r="U1057" t="n">
        <v>4</v>
      </c>
      <c r="V1057" t="n">
        <v>4</v>
      </c>
      <c r="W1057" t="inlineStr">
        <is>
          <t>2002-10-23</t>
        </is>
      </c>
      <c r="X1057" t="inlineStr">
        <is>
          <t>2002-10-23</t>
        </is>
      </c>
      <c r="Y1057" t="inlineStr">
        <is>
          <t>1998-06-16</t>
        </is>
      </c>
      <c r="Z1057" t="inlineStr">
        <is>
          <t>1998-06-16</t>
        </is>
      </c>
      <c r="AA1057" t="n">
        <v>255</v>
      </c>
      <c r="AB1057" t="n">
        <v>225</v>
      </c>
      <c r="AC1057" t="n">
        <v>1254</v>
      </c>
      <c r="AD1057" t="n">
        <v>1</v>
      </c>
      <c r="AE1057" t="n">
        <v>28</v>
      </c>
      <c r="AF1057" t="n">
        <v>10</v>
      </c>
      <c r="AG1057" t="n">
        <v>37</v>
      </c>
      <c r="AH1057" t="n">
        <v>5</v>
      </c>
      <c r="AI1057" t="n">
        <v>14</v>
      </c>
      <c r="AJ1057" t="n">
        <v>1</v>
      </c>
      <c r="AK1057" t="n">
        <v>4</v>
      </c>
      <c r="AL1057" t="n">
        <v>6</v>
      </c>
      <c r="AM1057" t="n">
        <v>13</v>
      </c>
      <c r="AN1057" t="n">
        <v>0</v>
      </c>
      <c r="AO1057" t="n">
        <v>11</v>
      </c>
      <c r="AP1057" t="n">
        <v>0</v>
      </c>
      <c r="AQ1057" t="n">
        <v>0</v>
      </c>
      <c r="AR1057" t="inlineStr">
        <is>
          <t>No</t>
        </is>
      </c>
      <c r="AS1057" t="inlineStr">
        <is>
          <t>Yes</t>
        </is>
      </c>
      <c r="AT1057">
        <f>HYPERLINK("http://catalog.hathitrust.org/Record/003126543","HathiTrust Record")</f>
        <v/>
      </c>
      <c r="AU1057">
        <f>HYPERLINK("https://creighton-primo.hosted.exlibrisgroup.com/primo-explore/search?tab=default_tab&amp;search_scope=EVERYTHING&amp;vid=01CRU&amp;lang=en_US&amp;offset=0&amp;query=any,contains,991000901449702656","Catalog Record")</f>
        <v/>
      </c>
      <c r="AV1057">
        <f>HYPERLINK("http://www.worldcat.org/oclc/35325257","WorldCat Record")</f>
        <v/>
      </c>
      <c r="AW1057" t="inlineStr">
        <is>
          <t>2287705754:eng</t>
        </is>
      </c>
      <c r="AX1057" t="inlineStr">
        <is>
          <t>35325257</t>
        </is>
      </c>
      <c r="AY1057" t="inlineStr">
        <is>
          <t>991000901449702656</t>
        </is>
      </c>
      <c r="AZ1057" t="inlineStr">
        <is>
          <t>991000901449702656</t>
        </is>
      </c>
      <c r="BA1057" t="inlineStr">
        <is>
          <t>2259853320002656</t>
        </is>
      </c>
      <c r="BB1057" t="inlineStr">
        <is>
          <t>BOOK</t>
        </is>
      </c>
      <c r="BD1057" t="inlineStr">
        <is>
          <t>9780803601772</t>
        </is>
      </c>
      <c r="BE1057" t="inlineStr">
        <is>
          <t>30001004176543</t>
        </is>
      </c>
      <c r="BF1057" t="inlineStr">
        <is>
          <t>893831713</t>
        </is>
      </c>
    </row>
    <row r="1058">
      <c r="A1058" t="inlineStr">
        <is>
          <t>No</t>
        </is>
      </c>
      <c r="B1058" t="inlineStr">
        <is>
          <t>CUHSL</t>
        </is>
      </c>
      <c r="C1058" t="inlineStr">
        <is>
          <t>SHELVES</t>
        </is>
      </c>
      <c r="D1058" t="inlineStr">
        <is>
          <t>WY100.4 C641 2002</t>
        </is>
      </c>
      <c r="E1058" t="inlineStr">
        <is>
          <t>0                      WY 0100400C  641         2002</t>
        </is>
      </c>
      <c r="F1058" t="inlineStr">
        <is>
          <t>Clinical applications of nursing diagnosis : adult, child, women's, psychiatric, gerontic, and home health considerations / Helen C. Cox ... [et al.].</t>
        </is>
      </c>
      <c r="H1058" t="inlineStr">
        <is>
          <t>No</t>
        </is>
      </c>
      <c r="I1058" t="inlineStr">
        <is>
          <t>1</t>
        </is>
      </c>
      <c r="J1058" t="inlineStr">
        <is>
          <t>No</t>
        </is>
      </c>
      <c r="K1058" t="inlineStr">
        <is>
          <t>Yes</t>
        </is>
      </c>
      <c r="L1058" t="inlineStr">
        <is>
          <t>0</t>
        </is>
      </c>
      <c r="N1058" t="inlineStr">
        <is>
          <t>Philadelphia : F.A. Davis Co., c2002.</t>
        </is>
      </c>
      <c r="O1058" t="inlineStr">
        <is>
          <t>2002</t>
        </is>
      </c>
      <c r="P1058" t="inlineStr">
        <is>
          <t>4th ed.</t>
        </is>
      </c>
      <c r="Q1058" t="inlineStr">
        <is>
          <t>eng</t>
        </is>
      </c>
      <c r="R1058" t="inlineStr">
        <is>
          <t>pau</t>
        </is>
      </c>
      <c r="T1058" t="inlineStr">
        <is>
          <t xml:space="preserve">WY </t>
        </is>
      </c>
      <c r="U1058" t="n">
        <v>4</v>
      </c>
      <c r="V1058" t="n">
        <v>4</v>
      </c>
      <c r="W1058" t="inlineStr">
        <is>
          <t>2005-06-07</t>
        </is>
      </c>
      <c r="X1058" t="inlineStr">
        <is>
          <t>2005-06-07</t>
        </is>
      </c>
      <c r="Y1058" t="inlineStr">
        <is>
          <t>2002-08-20</t>
        </is>
      </c>
      <c r="Z1058" t="inlineStr">
        <is>
          <t>2002-08-20</t>
        </is>
      </c>
      <c r="AA1058" t="n">
        <v>317</v>
      </c>
      <c r="AB1058" t="n">
        <v>250</v>
      </c>
      <c r="AC1058" t="n">
        <v>1254</v>
      </c>
      <c r="AD1058" t="n">
        <v>1</v>
      </c>
      <c r="AE1058" t="n">
        <v>28</v>
      </c>
      <c r="AF1058" t="n">
        <v>9</v>
      </c>
      <c r="AG1058" t="n">
        <v>37</v>
      </c>
      <c r="AH1058" t="n">
        <v>5</v>
      </c>
      <c r="AI1058" t="n">
        <v>14</v>
      </c>
      <c r="AJ1058" t="n">
        <v>0</v>
      </c>
      <c r="AK1058" t="n">
        <v>4</v>
      </c>
      <c r="AL1058" t="n">
        <v>5</v>
      </c>
      <c r="AM1058" t="n">
        <v>13</v>
      </c>
      <c r="AN1058" t="n">
        <v>0</v>
      </c>
      <c r="AO1058" t="n">
        <v>11</v>
      </c>
      <c r="AP1058" t="n">
        <v>0</v>
      </c>
      <c r="AQ1058" t="n">
        <v>0</v>
      </c>
      <c r="AR1058" t="inlineStr">
        <is>
          <t>No</t>
        </is>
      </c>
      <c r="AS1058" t="inlineStr">
        <is>
          <t>No</t>
        </is>
      </c>
      <c r="AU1058">
        <f>HYPERLINK("https://creighton-primo.hosted.exlibrisgroup.com/primo-explore/search?tab=default_tab&amp;search_scope=EVERYTHING&amp;vid=01CRU&amp;lang=en_US&amp;offset=0&amp;query=any,contains,991000327899702656","Catalog Record")</f>
        <v/>
      </c>
      <c r="AV1058">
        <f>HYPERLINK("http://www.worldcat.org/oclc/47844332","WorldCat Record")</f>
        <v/>
      </c>
      <c r="AW1058" t="inlineStr">
        <is>
          <t>2287705754:eng</t>
        </is>
      </c>
      <c r="AX1058" t="inlineStr">
        <is>
          <t>47844332</t>
        </is>
      </c>
      <c r="AY1058" t="inlineStr">
        <is>
          <t>991000327899702656</t>
        </is>
      </c>
      <c r="AZ1058" t="inlineStr">
        <is>
          <t>991000327899702656</t>
        </is>
      </c>
      <c r="BA1058" t="inlineStr">
        <is>
          <t>2260810990002656</t>
        </is>
      </c>
      <c r="BB1058" t="inlineStr">
        <is>
          <t>BOOK</t>
        </is>
      </c>
      <c r="BD1058" t="inlineStr">
        <is>
          <t>9780803609136</t>
        </is>
      </c>
      <c r="BE1058" t="inlineStr">
        <is>
          <t>30001004441558</t>
        </is>
      </c>
      <c r="BF1058" t="inlineStr">
        <is>
          <t>893452025</t>
        </is>
      </c>
    </row>
    <row r="1059">
      <c r="A1059" t="inlineStr">
        <is>
          <t>No</t>
        </is>
      </c>
      <c r="B1059" t="inlineStr">
        <is>
          <t>CUHSL</t>
        </is>
      </c>
      <c r="C1059" t="inlineStr">
        <is>
          <t>SHELVES</t>
        </is>
      </c>
      <c r="D1059" t="inlineStr">
        <is>
          <t>WY 100.4 C879 2007</t>
        </is>
      </c>
      <c r="E1059" t="inlineStr">
        <is>
          <t>0                      WY 0100400C  879         2007</t>
        </is>
      </c>
      <c r="F1059" t="inlineStr">
        <is>
          <t>Cox's clinical applications of nursing diagnosis : adult, child, women's, mental health, gerontic, and home health considerations / Susan A. Newfield ... [et al.].</t>
        </is>
      </c>
      <c r="H1059" t="inlineStr">
        <is>
          <t>No</t>
        </is>
      </c>
      <c r="I1059" t="inlineStr">
        <is>
          <t>1</t>
        </is>
      </c>
      <c r="J1059" t="inlineStr">
        <is>
          <t>No</t>
        </is>
      </c>
      <c r="K1059" t="inlineStr">
        <is>
          <t>No</t>
        </is>
      </c>
      <c r="L1059" t="inlineStr">
        <is>
          <t>0</t>
        </is>
      </c>
      <c r="N1059" t="inlineStr">
        <is>
          <t>Philadelphia : F.A. Davis Company, c2007.</t>
        </is>
      </c>
      <c r="O1059" t="inlineStr">
        <is>
          <t>2007</t>
        </is>
      </c>
      <c r="P1059" t="inlineStr">
        <is>
          <t>5th ed.</t>
        </is>
      </c>
      <c r="Q1059" t="inlineStr">
        <is>
          <t>eng</t>
        </is>
      </c>
      <c r="R1059" t="inlineStr">
        <is>
          <t>pau</t>
        </is>
      </c>
      <c r="T1059" t="inlineStr">
        <is>
          <t xml:space="preserve">WY </t>
        </is>
      </c>
      <c r="U1059" t="n">
        <v>0</v>
      </c>
      <c r="V1059" t="n">
        <v>0</v>
      </c>
      <c r="W1059" t="inlineStr">
        <is>
          <t>2008-01-23</t>
        </is>
      </c>
      <c r="X1059" t="inlineStr">
        <is>
          <t>2008-01-23</t>
        </is>
      </c>
      <c r="Y1059" t="inlineStr">
        <is>
          <t>2007-09-12</t>
        </is>
      </c>
      <c r="Z1059" t="inlineStr">
        <is>
          <t>2007-09-12</t>
        </is>
      </c>
      <c r="AA1059" t="n">
        <v>323</v>
      </c>
      <c r="AB1059" t="n">
        <v>257</v>
      </c>
      <c r="AC1059" t="n">
        <v>680</v>
      </c>
      <c r="AD1059" t="n">
        <v>3</v>
      </c>
      <c r="AE1059" t="n">
        <v>15</v>
      </c>
      <c r="AF1059" t="n">
        <v>9</v>
      </c>
      <c r="AG1059" t="n">
        <v>25</v>
      </c>
      <c r="AH1059" t="n">
        <v>0</v>
      </c>
      <c r="AI1059" t="n">
        <v>7</v>
      </c>
      <c r="AJ1059" t="n">
        <v>2</v>
      </c>
      <c r="AK1059" t="n">
        <v>4</v>
      </c>
      <c r="AL1059" t="n">
        <v>6</v>
      </c>
      <c r="AM1059" t="n">
        <v>8</v>
      </c>
      <c r="AN1059" t="n">
        <v>2</v>
      </c>
      <c r="AO1059" t="n">
        <v>10</v>
      </c>
      <c r="AP1059" t="n">
        <v>0</v>
      </c>
      <c r="AQ1059" t="n">
        <v>0</v>
      </c>
      <c r="AR1059" t="inlineStr">
        <is>
          <t>No</t>
        </is>
      </c>
      <c r="AS1059" t="inlineStr">
        <is>
          <t>No</t>
        </is>
      </c>
      <c r="AU1059">
        <f>HYPERLINK("https://creighton-primo.hosted.exlibrisgroup.com/primo-explore/search?tab=default_tab&amp;search_scope=EVERYTHING&amp;vid=01CRU&amp;lang=en_US&amp;offset=0&amp;query=any,contains,991001751249702656","Catalog Record")</f>
        <v/>
      </c>
      <c r="AV1059">
        <f>HYPERLINK("http://www.worldcat.org/oclc/85814171","WorldCat Record")</f>
        <v/>
      </c>
      <c r="AW1059" t="inlineStr">
        <is>
          <t>3855844263:eng</t>
        </is>
      </c>
      <c r="AX1059" t="inlineStr">
        <is>
          <t>85814171</t>
        </is>
      </c>
      <c r="AY1059" t="inlineStr">
        <is>
          <t>991001751249702656</t>
        </is>
      </c>
      <c r="AZ1059" t="inlineStr">
        <is>
          <t>991001751249702656</t>
        </is>
      </c>
      <c r="BA1059" t="inlineStr">
        <is>
          <t>2264406130002656</t>
        </is>
      </c>
      <c r="BB1059" t="inlineStr">
        <is>
          <t>BOOK</t>
        </is>
      </c>
      <c r="BD1059" t="inlineStr">
        <is>
          <t>9780803616554</t>
        </is>
      </c>
      <c r="BE1059" t="inlineStr">
        <is>
          <t>30001005230125</t>
        </is>
      </c>
      <c r="BF1059" t="inlineStr">
        <is>
          <t>893834817</t>
        </is>
      </c>
    </row>
    <row r="1060">
      <c r="A1060" t="inlineStr">
        <is>
          <t>No</t>
        </is>
      </c>
      <c r="B1060" t="inlineStr">
        <is>
          <t>CUHSL</t>
        </is>
      </c>
      <c r="C1060" t="inlineStr">
        <is>
          <t>SHELVES</t>
        </is>
      </c>
      <c r="D1060" t="inlineStr">
        <is>
          <t>WY 100.4 D158h 2007</t>
        </is>
      </c>
      <c r="E1060" t="inlineStr">
        <is>
          <t>0                      WY 0100400D  158h        2007</t>
        </is>
      </c>
      <c r="F1060" t="inlineStr">
        <is>
          <t>Health &amp; physical assessment in nursing / Donita D'Amico, Colleen Barbarito.</t>
        </is>
      </c>
      <c r="H1060" t="inlineStr">
        <is>
          <t>No</t>
        </is>
      </c>
      <c r="I1060" t="inlineStr">
        <is>
          <t>1</t>
        </is>
      </c>
      <c r="J1060" t="inlineStr">
        <is>
          <t>No</t>
        </is>
      </c>
      <c r="K1060" t="inlineStr">
        <is>
          <t>No</t>
        </is>
      </c>
      <c r="L1060" t="inlineStr">
        <is>
          <t>0</t>
        </is>
      </c>
      <c r="M1060" t="inlineStr">
        <is>
          <t>D'Amico, Donita.</t>
        </is>
      </c>
      <c r="N1060" t="inlineStr">
        <is>
          <t>Upper Saddle River, N.J. : Pearson Education, c2007.</t>
        </is>
      </c>
      <c r="O1060" t="inlineStr">
        <is>
          <t>2007</t>
        </is>
      </c>
      <c r="Q1060" t="inlineStr">
        <is>
          <t>eng</t>
        </is>
      </c>
      <c r="R1060" t="inlineStr">
        <is>
          <t>nju</t>
        </is>
      </c>
      <c r="T1060" t="inlineStr">
        <is>
          <t xml:space="preserve">WY </t>
        </is>
      </c>
      <c r="U1060" t="n">
        <v>0</v>
      </c>
      <c r="V1060" t="n">
        <v>0</v>
      </c>
      <c r="W1060" t="inlineStr">
        <is>
          <t>2010-08-24</t>
        </is>
      </c>
      <c r="X1060" t="inlineStr">
        <is>
          <t>2010-08-24</t>
        </is>
      </c>
      <c r="Y1060" t="inlineStr">
        <is>
          <t>2007-07-31</t>
        </is>
      </c>
      <c r="Z1060" t="inlineStr">
        <is>
          <t>2007-07-31</t>
        </is>
      </c>
      <c r="AA1060" t="n">
        <v>224</v>
      </c>
      <c r="AB1060" t="n">
        <v>146</v>
      </c>
      <c r="AC1060" t="n">
        <v>386</v>
      </c>
      <c r="AD1060" t="n">
        <v>2</v>
      </c>
      <c r="AE1060" t="n">
        <v>4</v>
      </c>
      <c r="AF1060" t="n">
        <v>5</v>
      </c>
      <c r="AG1060" t="n">
        <v>8</v>
      </c>
      <c r="AH1060" t="n">
        <v>1</v>
      </c>
      <c r="AI1060" t="n">
        <v>1</v>
      </c>
      <c r="AJ1060" t="n">
        <v>1</v>
      </c>
      <c r="AK1060" t="n">
        <v>2</v>
      </c>
      <c r="AL1060" t="n">
        <v>3</v>
      </c>
      <c r="AM1060" t="n">
        <v>5</v>
      </c>
      <c r="AN1060" t="n">
        <v>1</v>
      </c>
      <c r="AO1060" t="n">
        <v>2</v>
      </c>
      <c r="AP1060" t="n">
        <v>0</v>
      </c>
      <c r="AQ1060" t="n">
        <v>0</v>
      </c>
      <c r="AR1060" t="inlineStr">
        <is>
          <t>No</t>
        </is>
      </c>
      <c r="AS1060" t="inlineStr">
        <is>
          <t>No</t>
        </is>
      </c>
      <c r="AU1060">
        <f>HYPERLINK("https://creighton-primo.hosted.exlibrisgroup.com/primo-explore/search?tab=default_tab&amp;search_scope=EVERYTHING&amp;vid=01CRU&amp;lang=en_US&amp;offset=0&amp;query=any,contains,991001750849702656","Catalog Record")</f>
        <v/>
      </c>
      <c r="AV1060">
        <f>HYPERLINK("http://www.worldcat.org/oclc/60590141","WorldCat Record")</f>
        <v/>
      </c>
      <c r="AW1060" t="inlineStr">
        <is>
          <t>48537711:eng</t>
        </is>
      </c>
      <c r="AX1060" t="inlineStr">
        <is>
          <t>60590141</t>
        </is>
      </c>
      <c r="AY1060" t="inlineStr">
        <is>
          <t>991001750849702656</t>
        </is>
      </c>
      <c r="AZ1060" t="inlineStr">
        <is>
          <t>991001750849702656</t>
        </is>
      </c>
      <c r="BA1060" t="inlineStr">
        <is>
          <t>2272341890002656</t>
        </is>
      </c>
      <c r="BB1060" t="inlineStr">
        <is>
          <t>BOOK</t>
        </is>
      </c>
      <c r="BD1060" t="inlineStr">
        <is>
          <t>9780130493736</t>
        </is>
      </c>
      <c r="BE1060" t="inlineStr">
        <is>
          <t>30001005218005</t>
        </is>
      </c>
      <c r="BF1060" t="inlineStr">
        <is>
          <t>893364800</t>
        </is>
      </c>
    </row>
    <row r="1061">
      <c r="A1061" t="inlineStr">
        <is>
          <t>No</t>
        </is>
      </c>
      <c r="B1061" t="inlineStr">
        <is>
          <t>CUHSL</t>
        </is>
      </c>
      <c r="C1061" t="inlineStr">
        <is>
          <t>SHELVES</t>
        </is>
      </c>
      <c r="D1061" t="inlineStr">
        <is>
          <t>WY100.4 H433 2006</t>
        </is>
      </c>
      <c r="E1061" t="inlineStr">
        <is>
          <t>0                      WY 0100400H  433         2006</t>
        </is>
      </c>
      <c r="F1061" t="inlineStr">
        <is>
          <t>Health assessment &amp; physical examination / [edited by] Mary Ellen Zator Estes.</t>
        </is>
      </c>
      <c r="H1061" t="inlineStr">
        <is>
          <t>No</t>
        </is>
      </c>
      <c r="I1061" t="inlineStr">
        <is>
          <t>1</t>
        </is>
      </c>
      <c r="J1061" t="inlineStr">
        <is>
          <t>No</t>
        </is>
      </c>
      <c r="K1061" t="inlineStr">
        <is>
          <t>Yes</t>
        </is>
      </c>
      <c r="L1061" t="inlineStr">
        <is>
          <t>0</t>
        </is>
      </c>
      <c r="N1061" t="inlineStr">
        <is>
          <t>Clifton Park, NY : Thomson Delmar Learning, c2006.</t>
        </is>
      </c>
      <c r="O1061" t="inlineStr">
        <is>
          <t>2006</t>
        </is>
      </c>
      <c r="P1061" t="inlineStr">
        <is>
          <t>3rd ed.</t>
        </is>
      </c>
      <c r="Q1061" t="inlineStr">
        <is>
          <t>eng</t>
        </is>
      </c>
      <c r="R1061" t="inlineStr">
        <is>
          <t>nyu</t>
        </is>
      </c>
      <c r="T1061" t="inlineStr">
        <is>
          <t xml:space="preserve">WY </t>
        </is>
      </c>
      <c r="U1061" t="n">
        <v>1</v>
      </c>
      <c r="V1061" t="n">
        <v>1</v>
      </c>
      <c r="W1061" t="inlineStr">
        <is>
          <t>2005-09-29</t>
        </is>
      </c>
      <c r="X1061" t="inlineStr">
        <is>
          <t>2005-09-29</t>
        </is>
      </c>
      <c r="Y1061" t="inlineStr">
        <is>
          <t>2005-09-28</t>
        </is>
      </c>
      <c r="Z1061" t="inlineStr">
        <is>
          <t>2005-09-28</t>
        </is>
      </c>
      <c r="AA1061" t="n">
        <v>273</v>
      </c>
      <c r="AB1061" t="n">
        <v>197</v>
      </c>
      <c r="AC1061" t="n">
        <v>648</v>
      </c>
      <c r="AD1061" t="n">
        <v>2</v>
      </c>
      <c r="AE1061" t="n">
        <v>5</v>
      </c>
      <c r="AF1061" t="n">
        <v>6</v>
      </c>
      <c r="AG1061" t="n">
        <v>23</v>
      </c>
      <c r="AH1061" t="n">
        <v>2</v>
      </c>
      <c r="AI1061" t="n">
        <v>9</v>
      </c>
      <c r="AJ1061" t="n">
        <v>0</v>
      </c>
      <c r="AK1061" t="n">
        <v>3</v>
      </c>
      <c r="AL1061" t="n">
        <v>3</v>
      </c>
      <c r="AM1061" t="n">
        <v>11</v>
      </c>
      <c r="AN1061" t="n">
        <v>1</v>
      </c>
      <c r="AO1061" t="n">
        <v>4</v>
      </c>
      <c r="AP1061" t="n">
        <v>0</v>
      </c>
      <c r="AQ1061" t="n">
        <v>0</v>
      </c>
      <c r="AR1061" t="inlineStr">
        <is>
          <t>No</t>
        </is>
      </c>
      <c r="AS1061" t="inlineStr">
        <is>
          <t>Yes</t>
        </is>
      </c>
      <c r="AT1061">
        <f>HYPERLINK("http://catalog.hathitrust.org/Record/005057086","HathiTrust Record")</f>
        <v/>
      </c>
      <c r="AU1061">
        <f>HYPERLINK("https://creighton-primo.hosted.exlibrisgroup.com/primo-explore/search?tab=default_tab&amp;search_scope=EVERYTHING&amp;vid=01CRU&amp;lang=en_US&amp;offset=0&amp;query=any,contains,991000445049702656","Catalog Record")</f>
        <v/>
      </c>
      <c r="AV1061">
        <f>HYPERLINK("http://www.worldcat.org/oclc/60393388","WorldCat Record")</f>
        <v/>
      </c>
      <c r="AW1061" t="inlineStr">
        <is>
          <t>4924899054:eng</t>
        </is>
      </c>
      <c r="AX1061" t="inlineStr">
        <is>
          <t>60393388</t>
        </is>
      </c>
      <c r="AY1061" t="inlineStr">
        <is>
          <t>991000445049702656</t>
        </is>
      </c>
      <c r="AZ1061" t="inlineStr">
        <is>
          <t>991000445049702656</t>
        </is>
      </c>
      <c r="BA1061" t="inlineStr">
        <is>
          <t>2263156070002656</t>
        </is>
      </c>
      <c r="BB1061" t="inlineStr">
        <is>
          <t>BOOK</t>
        </is>
      </c>
      <c r="BD1061" t="inlineStr">
        <is>
          <t>9781401872069</t>
        </is>
      </c>
      <c r="BE1061" t="inlineStr">
        <is>
          <t>30001004913952</t>
        </is>
      </c>
      <c r="BF1061" t="inlineStr">
        <is>
          <t>893123157</t>
        </is>
      </c>
    </row>
    <row r="1062">
      <c r="A1062" t="inlineStr">
        <is>
          <t>No</t>
        </is>
      </c>
      <c r="B1062" t="inlineStr">
        <is>
          <t>CUHSL</t>
        </is>
      </c>
      <c r="C1062" t="inlineStr">
        <is>
          <t>SHELVES</t>
        </is>
      </c>
      <c r="D1062" t="inlineStr">
        <is>
          <t>WY100.4 H434 2002</t>
        </is>
      </c>
      <c r="E1062" t="inlineStr">
        <is>
          <t>0                      WY 0100400H  434         2002</t>
        </is>
      </c>
      <c r="F1062" t="inlineStr">
        <is>
          <t>Health assessment &amp; physical examination / Mary Ellen Zator Estes.</t>
        </is>
      </c>
      <c r="H1062" t="inlineStr">
        <is>
          <t>No</t>
        </is>
      </c>
      <c r="I1062" t="inlineStr">
        <is>
          <t>1</t>
        </is>
      </c>
      <c r="J1062" t="inlineStr">
        <is>
          <t>No</t>
        </is>
      </c>
      <c r="K1062" t="inlineStr">
        <is>
          <t>Yes</t>
        </is>
      </c>
      <c r="L1062" t="inlineStr">
        <is>
          <t>0</t>
        </is>
      </c>
      <c r="M1062" t="inlineStr">
        <is>
          <t>Estes, Mary Ellen Zator.</t>
        </is>
      </c>
      <c r="N1062" t="inlineStr">
        <is>
          <t>Albany, N.Y. : Delmar/Thomson Learning, c2002.</t>
        </is>
      </c>
      <c r="O1062" t="inlineStr">
        <is>
          <t>2002</t>
        </is>
      </c>
      <c r="P1062" t="inlineStr">
        <is>
          <t>2nd ed.</t>
        </is>
      </c>
      <c r="Q1062" t="inlineStr">
        <is>
          <t>eng</t>
        </is>
      </c>
      <c r="R1062" t="inlineStr">
        <is>
          <t>nyu</t>
        </is>
      </c>
      <c r="T1062" t="inlineStr">
        <is>
          <t xml:space="preserve">WY </t>
        </is>
      </c>
      <c r="U1062" t="n">
        <v>6</v>
      </c>
      <c r="V1062" t="n">
        <v>6</v>
      </c>
      <c r="W1062" t="inlineStr">
        <is>
          <t>2003-09-11</t>
        </is>
      </c>
      <c r="X1062" t="inlineStr">
        <is>
          <t>2003-09-11</t>
        </is>
      </c>
      <c r="Y1062" t="inlineStr">
        <is>
          <t>2001-12-20</t>
        </is>
      </c>
      <c r="Z1062" t="inlineStr">
        <is>
          <t>2001-12-20</t>
        </is>
      </c>
      <c r="AA1062" t="n">
        <v>288</v>
      </c>
      <c r="AB1062" t="n">
        <v>218</v>
      </c>
      <c r="AC1062" t="n">
        <v>648</v>
      </c>
      <c r="AD1062" t="n">
        <v>1</v>
      </c>
      <c r="AE1062" t="n">
        <v>5</v>
      </c>
      <c r="AF1062" t="n">
        <v>6</v>
      </c>
      <c r="AG1062" t="n">
        <v>23</v>
      </c>
      <c r="AH1062" t="n">
        <v>2</v>
      </c>
      <c r="AI1062" t="n">
        <v>9</v>
      </c>
      <c r="AJ1062" t="n">
        <v>1</v>
      </c>
      <c r="AK1062" t="n">
        <v>3</v>
      </c>
      <c r="AL1062" t="n">
        <v>5</v>
      </c>
      <c r="AM1062" t="n">
        <v>11</v>
      </c>
      <c r="AN1062" t="n">
        <v>0</v>
      </c>
      <c r="AO1062" t="n">
        <v>4</v>
      </c>
      <c r="AP1062" t="n">
        <v>0</v>
      </c>
      <c r="AQ1062" t="n">
        <v>0</v>
      </c>
      <c r="AR1062" t="inlineStr">
        <is>
          <t>No</t>
        </is>
      </c>
      <c r="AS1062" t="inlineStr">
        <is>
          <t>No</t>
        </is>
      </c>
      <c r="AU1062">
        <f>HYPERLINK("https://creighton-primo.hosted.exlibrisgroup.com/primo-explore/search?tab=default_tab&amp;search_scope=EVERYTHING&amp;vid=01CRU&amp;lang=en_US&amp;offset=0&amp;query=any,contains,991000298859702656","Catalog Record")</f>
        <v/>
      </c>
      <c r="AV1062">
        <f>HYPERLINK("http://www.worldcat.org/oclc/47023703","WorldCat Record")</f>
        <v/>
      </c>
      <c r="AW1062" t="inlineStr">
        <is>
          <t>4924899054:eng</t>
        </is>
      </c>
      <c r="AX1062" t="inlineStr">
        <is>
          <t>47023703</t>
        </is>
      </c>
      <c r="AY1062" t="inlineStr">
        <is>
          <t>991000298859702656</t>
        </is>
      </c>
      <c r="AZ1062" t="inlineStr">
        <is>
          <t>991000298859702656</t>
        </is>
      </c>
      <c r="BA1062" t="inlineStr">
        <is>
          <t>2257027830002656</t>
        </is>
      </c>
      <c r="BB1062" t="inlineStr">
        <is>
          <t>BOOK</t>
        </is>
      </c>
      <c r="BD1062" t="inlineStr">
        <is>
          <t>9780766824102</t>
        </is>
      </c>
      <c r="BE1062" t="inlineStr">
        <is>
          <t>30001004560308</t>
        </is>
      </c>
      <c r="BF1062" t="inlineStr">
        <is>
          <t>893269333</t>
        </is>
      </c>
    </row>
    <row r="1063">
      <c r="A1063" t="inlineStr">
        <is>
          <t>No</t>
        </is>
      </c>
      <c r="B1063" t="inlineStr">
        <is>
          <t>CUHSL</t>
        </is>
      </c>
      <c r="C1063" t="inlineStr">
        <is>
          <t>SHELVES</t>
        </is>
      </c>
      <c r="D1063" t="inlineStr">
        <is>
          <t>WY 100.4 M983h 1997</t>
        </is>
      </c>
      <c r="E1063" t="inlineStr">
        <is>
          <t>0                      WY 0100400M  983h        1997</t>
        </is>
      </c>
      <c r="F1063" t="inlineStr">
        <is>
          <t>Health assessment &amp; promotion strategies through the life span / Ruth Beckmann Murray, Judith Proctor Zentner.</t>
        </is>
      </c>
      <c r="H1063" t="inlineStr">
        <is>
          <t>No</t>
        </is>
      </c>
      <c r="I1063" t="inlineStr">
        <is>
          <t>1</t>
        </is>
      </c>
      <c r="J1063" t="inlineStr">
        <is>
          <t>No</t>
        </is>
      </c>
      <c r="K1063" t="inlineStr">
        <is>
          <t>No</t>
        </is>
      </c>
      <c r="L1063" t="inlineStr">
        <is>
          <t>0</t>
        </is>
      </c>
      <c r="M1063" t="inlineStr">
        <is>
          <t>Murray, Ruth Beckmann.</t>
        </is>
      </c>
      <c r="N1063" t="inlineStr">
        <is>
          <t>Stamford, Conn. : Appleton &amp; Lange, c1997.</t>
        </is>
      </c>
      <c r="O1063" t="inlineStr">
        <is>
          <t>1997</t>
        </is>
      </c>
      <c r="P1063" t="inlineStr">
        <is>
          <t>6th ed.</t>
        </is>
      </c>
      <c r="Q1063" t="inlineStr">
        <is>
          <t>eng</t>
        </is>
      </c>
      <c r="R1063" t="inlineStr">
        <is>
          <t>ctu</t>
        </is>
      </c>
      <c r="T1063" t="inlineStr">
        <is>
          <t xml:space="preserve">WY </t>
        </is>
      </c>
      <c r="U1063" t="n">
        <v>8</v>
      </c>
      <c r="V1063" t="n">
        <v>8</v>
      </c>
      <c r="W1063" t="inlineStr">
        <is>
          <t>2001-02-12</t>
        </is>
      </c>
      <c r="X1063" t="inlineStr">
        <is>
          <t>2001-02-12</t>
        </is>
      </c>
      <c r="Y1063" t="inlineStr">
        <is>
          <t>1997-05-02</t>
        </is>
      </c>
      <c r="Z1063" t="inlineStr">
        <is>
          <t>1997-05-02</t>
        </is>
      </c>
      <c r="AA1063" t="n">
        <v>328</v>
      </c>
      <c r="AB1063" t="n">
        <v>251</v>
      </c>
      <c r="AC1063" t="n">
        <v>254</v>
      </c>
      <c r="AD1063" t="n">
        <v>1</v>
      </c>
      <c r="AE1063" t="n">
        <v>1</v>
      </c>
      <c r="AF1063" t="n">
        <v>11</v>
      </c>
      <c r="AG1063" t="n">
        <v>11</v>
      </c>
      <c r="AH1063" t="n">
        <v>8</v>
      </c>
      <c r="AI1063" t="n">
        <v>8</v>
      </c>
      <c r="AJ1063" t="n">
        <v>0</v>
      </c>
      <c r="AK1063" t="n">
        <v>0</v>
      </c>
      <c r="AL1063" t="n">
        <v>7</v>
      </c>
      <c r="AM1063" t="n">
        <v>7</v>
      </c>
      <c r="AN1063" t="n">
        <v>0</v>
      </c>
      <c r="AO1063" t="n">
        <v>0</v>
      </c>
      <c r="AP1063" t="n">
        <v>0</v>
      </c>
      <c r="AQ1063" t="n">
        <v>0</v>
      </c>
      <c r="AR1063" t="inlineStr">
        <is>
          <t>No</t>
        </is>
      </c>
      <c r="AS1063" t="inlineStr">
        <is>
          <t>Yes</t>
        </is>
      </c>
      <c r="AT1063">
        <f>HYPERLINK("http://catalog.hathitrust.org/Record/003110555","HathiTrust Record")</f>
        <v/>
      </c>
      <c r="AU1063">
        <f>HYPERLINK("https://creighton-primo.hosted.exlibrisgroup.com/primo-explore/search?tab=default_tab&amp;search_scope=EVERYTHING&amp;vid=01CRU&amp;lang=en_US&amp;offset=0&amp;query=any,contains,991001551749702656","Catalog Record")</f>
        <v/>
      </c>
      <c r="AV1063">
        <f>HYPERLINK("http://www.worldcat.org/oclc/34776054","WorldCat Record")</f>
        <v/>
      </c>
      <c r="AW1063" t="inlineStr">
        <is>
          <t>3856508567:eng</t>
        </is>
      </c>
      <c r="AX1063" t="inlineStr">
        <is>
          <t>34776054</t>
        </is>
      </c>
      <c r="AY1063" t="inlineStr">
        <is>
          <t>991001551749702656</t>
        </is>
      </c>
      <c r="AZ1063" t="inlineStr">
        <is>
          <t>991001551749702656</t>
        </is>
      </c>
      <c r="BA1063" t="inlineStr">
        <is>
          <t>2260411030002656</t>
        </is>
      </c>
      <c r="BB1063" t="inlineStr">
        <is>
          <t>BOOK</t>
        </is>
      </c>
      <c r="BD1063" t="inlineStr">
        <is>
          <t>9780838569870</t>
        </is>
      </c>
      <c r="BE1063" t="inlineStr">
        <is>
          <t>30001003443589</t>
        </is>
      </c>
      <c r="BF1063" t="inlineStr">
        <is>
          <t>893546813</t>
        </is>
      </c>
    </row>
    <row r="1064">
      <c r="A1064" t="inlineStr">
        <is>
          <t>No</t>
        </is>
      </c>
      <c r="B1064" t="inlineStr">
        <is>
          <t>CUHSL</t>
        </is>
      </c>
      <c r="C1064" t="inlineStr">
        <is>
          <t>SHELVES</t>
        </is>
      </c>
      <c r="D1064" t="inlineStr">
        <is>
          <t>WY 100.4 N974 1997</t>
        </is>
      </c>
      <c r="E1064" t="inlineStr">
        <is>
          <t>0                      WY 0100400N  974         1997</t>
        </is>
      </c>
      <c r="F1064" t="inlineStr">
        <is>
          <t>Nursing diagnosis &amp; intervention : planning for patient care / [edited by] Gertrude K. McFarland, Elizabeth A. McFarlane.</t>
        </is>
      </c>
      <c r="H1064" t="inlineStr">
        <is>
          <t>No</t>
        </is>
      </c>
      <c r="I1064" t="inlineStr">
        <is>
          <t>1</t>
        </is>
      </c>
      <c r="J1064" t="inlineStr">
        <is>
          <t>No</t>
        </is>
      </c>
      <c r="K1064" t="inlineStr">
        <is>
          <t>Yes</t>
        </is>
      </c>
      <c r="L1064" t="inlineStr">
        <is>
          <t>0</t>
        </is>
      </c>
      <c r="N1064" t="inlineStr">
        <is>
          <t>St. Louis : Mosby, c1997.</t>
        </is>
      </c>
      <c r="O1064" t="inlineStr">
        <is>
          <t>1997</t>
        </is>
      </c>
      <c r="P1064" t="inlineStr">
        <is>
          <t>3rd ed.</t>
        </is>
      </c>
      <c r="Q1064" t="inlineStr">
        <is>
          <t>eng</t>
        </is>
      </c>
      <c r="R1064" t="inlineStr">
        <is>
          <t>xxu</t>
        </is>
      </c>
      <c r="T1064" t="inlineStr">
        <is>
          <t xml:space="preserve">WY </t>
        </is>
      </c>
      <c r="U1064" t="n">
        <v>30</v>
      </c>
      <c r="V1064" t="n">
        <v>30</v>
      </c>
      <c r="W1064" t="inlineStr">
        <is>
          <t>2005-02-16</t>
        </is>
      </c>
      <c r="X1064" t="inlineStr">
        <is>
          <t>2005-02-16</t>
        </is>
      </c>
      <c r="Y1064" t="inlineStr">
        <is>
          <t>1997-05-28</t>
        </is>
      </c>
      <c r="Z1064" t="inlineStr">
        <is>
          <t>1997-05-28</t>
        </is>
      </c>
      <c r="AA1064" t="n">
        <v>320</v>
      </c>
      <c r="AB1064" t="n">
        <v>240</v>
      </c>
      <c r="AC1064" t="n">
        <v>487</v>
      </c>
      <c r="AD1064" t="n">
        <v>3</v>
      </c>
      <c r="AE1064" t="n">
        <v>3</v>
      </c>
      <c r="AF1064" t="n">
        <v>11</v>
      </c>
      <c r="AG1064" t="n">
        <v>14</v>
      </c>
      <c r="AH1064" t="n">
        <v>5</v>
      </c>
      <c r="AI1064" t="n">
        <v>6</v>
      </c>
      <c r="AJ1064" t="n">
        <v>0</v>
      </c>
      <c r="AK1064" t="n">
        <v>2</v>
      </c>
      <c r="AL1064" t="n">
        <v>7</v>
      </c>
      <c r="AM1064" t="n">
        <v>9</v>
      </c>
      <c r="AN1064" t="n">
        <v>1</v>
      </c>
      <c r="AO1064" t="n">
        <v>1</v>
      </c>
      <c r="AP1064" t="n">
        <v>0</v>
      </c>
      <c r="AQ1064" t="n">
        <v>0</v>
      </c>
      <c r="AR1064" t="inlineStr">
        <is>
          <t>No</t>
        </is>
      </c>
      <c r="AS1064" t="inlineStr">
        <is>
          <t>Yes</t>
        </is>
      </c>
      <c r="AT1064">
        <f>HYPERLINK("http://catalog.hathitrust.org/Record/003123070","HathiTrust Record")</f>
        <v/>
      </c>
      <c r="AU1064">
        <f>HYPERLINK("https://creighton-primo.hosted.exlibrisgroup.com/primo-explore/search?tab=default_tab&amp;search_scope=EVERYTHING&amp;vid=01CRU&amp;lang=en_US&amp;offset=0&amp;query=any,contains,991001560399702656","Catalog Record")</f>
        <v/>
      </c>
      <c r="AV1064">
        <f>HYPERLINK("http://www.worldcat.org/oclc/36291676","WorldCat Record")</f>
        <v/>
      </c>
      <c r="AW1064" t="inlineStr">
        <is>
          <t>836900739:eng</t>
        </is>
      </c>
      <c r="AX1064" t="inlineStr">
        <is>
          <t>36291676</t>
        </is>
      </c>
      <c r="AY1064" t="inlineStr">
        <is>
          <t>991001560399702656</t>
        </is>
      </c>
      <c r="AZ1064" t="inlineStr">
        <is>
          <t>991001560399702656</t>
        </is>
      </c>
      <c r="BA1064" t="inlineStr">
        <is>
          <t>2255727620002656</t>
        </is>
      </c>
      <c r="BB1064" t="inlineStr">
        <is>
          <t>BOOK</t>
        </is>
      </c>
      <c r="BD1064" t="inlineStr">
        <is>
          <t>9780815170266</t>
        </is>
      </c>
      <c r="BE1064" t="inlineStr">
        <is>
          <t>30001003670744</t>
        </is>
      </c>
      <c r="BF1064" t="inlineStr">
        <is>
          <t>893541510</t>
        </is>
      </c>
    </row>
    <row r="1065">
      <c r="A1065" t="inlineStr">
        <is>
          <t>No</t>
        </is>
      </c>
      <c r="B1065" t="inlineStr">
        <is>
          <t>CUHSL</t>
        </is>
      </c>
      <c r="C1065" t="inlineStr">
        <is>
          <t>SHELVES</t>
        </is>
      </c>
      <c r="D1065" t="inlineStr">
        <is>
          <t>WY 100.4 P476c 1999</t>
        </is>
      </c>
      <c r="E1065" t="inlineStr">
        <is>
          <t>0                      WY 0100400P  476c        1999</t>
        </is>
      </c>
      <c r="F1065" t="inlineStr">
        <is>
          <t>Clinical reasoning : the art and science of critical and creative thinking / Daniel J. Pesut, JoAnne Herman.</t>
        </is>
      </c>
      <c r="H1065" t="inlineStr">
        <is>
          <t>No</t>
        </is>
      </c>
      <c r="I1065" t="inlineStr">
        <is>
          <t>1</t>
        </is>
      </c>
      <c r="J1065" t="inlineStr">
        <is>
          <t>No</t>
        </is>
      </c>
      <c r="K1065" t="inlineStr">
        <is>
          <t>No</t>
        </is>
      </c>
      <c r="L1065" t="inlineStr">
        <is>
          <t>0</t>
        </is>
      </c>
      <c r="M1065" t="inlineStr">
        <is>
          <t>Pesut, Daniel J.</t>
        </is>
      </c>
      <c r="N1065" t="inlineStr">
        <is>
          <t>Albany : Delmar, c1999.</t>
        </is>
      </c>
      <c r="O1065" t="inlineStr">
        <is>
          <t>1999</t>
        </is>
      </c>
      <c r="Q1065" t="inlineStr">
        <is>
          <t>eng</t>
        </is>
      </c>
      <c r="R1065" t="inlineStr">
        <is>
          <t>nyu</t>
        </is>
      </c>
      <c r="T1065" t="inlineStr">
        <is>
          <t xml:space="preserve">WY </t>
        </is>
      </c>
      <c r="U1065" t="n">
        <v>5</v>
      </c>
      <c r="V1065" t="n">
        <v>5</v>
      </c>
      <c r="W1065" t="inlineStr">
        <is>
          <t>2007-11-04</t>
        </is>
      </c>
      <c r="X1065" t="inlineStr">
        <is>
          <t>2007-11-04</t>
        </is>
      </c>
      <c r="Y1065" t="inlineStr">
        <is>
          <t>1999-08-31</t>
        </is>
      </c>
      <c r="Z1065" t="inlineStr">
        <is>
          <t>1999-08-31</t>
        </is>
      </c>
      <c r="AA1065" t="n">
        <v>319</v>
      </c>
      <c r="AB1065" t="n">
        <v>240</v>
      </c>
      <c r="AC1065" t="n">
        <v>247</v>
      </c>
      <c r="AD1065" t="n">
        <v>1</v>
      </c>
      <c r="AE1065" t="n">
        <v>1</v>
      </c>
      <c r="AF1065" t="n">
        <v>7</v>
      </c>
      <c r="AG1065" t="n">
        <v>7</v>
      </c>
      <c r="AH1065" t="n">
        <v>2</v>
      </c>
      <c r="AI1065" t="n">
        <v>2</v>
      </c>
      <c r="AJ1065" t="n">
        <v>0</v>
      </c>
      <c r="AK1065" t="n">
        <v>0</v>
      </c>
      <c r="AL1065" t="n">
        <v>5</v>
      </c>
      <c r="AM1065" t="n">
        <v>5</v>
      </c>
      <c r="AN1065" t="n">
        <v>0</v>
      </c>
      <c r="AO1065" t="n">
        <v>0</v>
      </c>
      <c r="AP1065" t="n">
        <v>0</v>
      </c>
      <c r="AQ1065" t="n">
        <v>0</v>
      </c>
      <c r="AR1065" t="inlineStr">
        <is>
          <t>No</t>
        </is>
      </c>
      <c r="AS1065" t="inlineStr">
        <is>
          <t>Yes</t>
        </is>
      </c>
      <c r="AT1065">
        <f>HYPERLINK("http://catalog.hathitrust.org/Record/004031654","HathiTrust Record")</f>
        <v/>
      </c>
      <c r="AU1065">
        <f>HYPERLINK("https://creighton-primo.hosted.exlibrisgroup.com/primo-explore/search?tab=default_tab&amp;search_scope=EVERYTHING&amp;vid=01CRU&amp;lang=en_US&amp;offset=0&amp;query=any,contains,991000797589702656","Catalog Record")</f>
        <v/>
      </c>
      <c r="AV1065">
        <f>HYPERLINK("http://www.worldcat.org/oclc/39914299","WorldCat Record")</f>
        <v/>
      </c>
      <c r="AW1065" t="inlineStr">
        <is>
          <t>1024885:eng</t>
        </is>
      </c>
      <c r="AX1065" t="inlineStr">
        <is>
          <t>39914299</t>
        </is>
      </c>
      <c r="AY1065" t="inlineStr">
        <is>
          <t>991000797589702656</t>
        </is>
      </c>
      <c r="AZ1065" t="inlineStr">
        <is>
          <t>991000797589702656</t>
        </is>
      </c>
      <c r="BA1065" t="inlineStr">
        <is>
          <t>2262712320002656</t>
        </is>
      </c>
      <c r="BB1065" t="inlineStr">
        <is>
          <t>BOOK</t>
        </is>
      </c>
      <c r="BD1065" t="inlineStr">
        <is>
          <t>9780827378698</t>
        </is>
      </c>
      <c r="BE1065" t="inlineStr">
        <is>
          <t>30001004080133</t>
        </is>
      </c>
      <c r="BF1065" t="inlineStr">
        <is>
          <t>893557227</t>
        </is>
      </c>
    </row>
    <row r="1066">
      <c r="A1066" t="inlineStr">
        <is>
          <t>No</t>
        </is>
      </c>
      <c r="B1066" t="inlineStr">
        <is>
          <t>CUHSL</t>
        </is>
      </c>
      <c r="C1066" t="inlineStr">
        <is>
          <t>SHELVES</t>
        </is>
      </c>
      <c r="D1066" t="inlineStr">
        <is>
          <t>WY 100.4 W374h 1998</t>
        </is>
      </c>
      <c r="E1066" t="inlineStr">
        <is>
          <t>0                      WY 0100400W  374h        1998</t>
        </is>
      </c>
      <c r="F1066" t="inlineStr">
        <is>
          <t>Health assessment in nursing / Janet Weber, Jane Kelley.</t>
        </is>
      </c>
      <c r="H1066" t="inlineStr">
        <is>
          <t>No</t>
        </is>
      </c>
      <c r="I1066" t="inlineStr">
        <is>
          <t>1</t>
        </is>
      </c>
      <c r="J1066" t="inlineStr">
        <is>
          <t>No</t>
        </is>
      </c>
      <c r="K1066" t="inlineStr">
        <is>
          <t>Yes</t>
        </is>
      </c>
      <c r="L1066" t="inlineStr">
        <is>
          <t>0</t>
        </is>
      </c>
      <c r="M1066" t="inlineStr">
        <is>
          <t>Weber, Janet.</t>
        </is>
      </c>
      <c r="N1066" t="inlineStr">
        <is>
          <t>Philadelphia : Lippincott-Raven, c1998.</t>
        </is>
      </c>
      <c r="O1066" t="inlineStr">
        <is>
          <t>1998</t>
        </is>
      </c>
      <c r="Q1066" t="inlineStr">
        <is>
          <t>eng</t>
        </is>
      </c>
      <c r="R1066" t="inlineStr">
        <is>
          <t>pau</t>
        </is>
      </c>
      <c r="S1066" t="inlineStr">
        <is>
          <t>Lippincott's learning system</t>
        </is>
      </c>
      <c r="T1066" t="inlineStr">
        <is>
          <t xml:space="preserve">WY </t>
        </is>
      </c>
      <c r="U1066" t="n">
        <v>5</v>
      </c>
      <c r="V1066" t="n">
        <v>5</v>
      </c>
      <c r="W1066" t="inlineStr">
        <is>
          <t>1999-04-09</t>
        </is>
      </c>
      <c r="X1066" t="inlineStr">
        <is>
          <t>1999-04-09</t>
        </is>
      </c>
      <c r="Y1066" t="inlineStr">
        <is>
          <t>1999-04-08</t>
        </is>
      </c>
      <c r="Z1066" t="inlineStr">
        <is>
          <t>1999-04-08</t>
        </is>
      </c>
      <c r="AA1066" t="n">
        <v>107</v>
      </c>
      <c r="AB1066" t="n">
        <v>76</v>
      </c>
      <c r="AC1066" t="n">
        <v>602</v>
      </c>
      <c r="AD1066" t="n">
        <v>1</v>
      </c>
      <c r="AE1066" t="n">
        <v>5</v>
      </c>
      <c r="AF1066" t="n">
        <v>4</v>
      </c>
      <c r="AG1066" t="n">
        <v>19</v>
      </c>
      <c r="AH1066" t="n">
        <v>2</v>
      </c>
      <c r="AI1066" t="n">
        <v>5</v>
      </c>
      <c r="AJ1066" t="n">
        <v>0</v>
      </c>
      <c r="AK1066" t="n">
        <v>4</v>
      </c>
      <c r="AL1066" t="n">
        <v>2</v>
      </c>
      <c r="AM1066" t="n">
        <v>8</v>
      </c>
      <c r="AN1066" t="n">
        <v>0</v>
      </c>
      <c r="AO1066" t="n">
        <v>4</v>
      </c>
      <c r="AP1066" t="n">
        <v>0</v>
      </c>
      <c r="AQ1066" t="n">
        <v>0</v>
      </c>
      <c r="AR1066" t="inlineStr">
        <is>
          <t>No</t>
        </is>
      </c>
      <c r="AS1066" t="inlineStr">
        <is>
          <t>No</t>
        </is>
      </c>
      <c r="AU1066">
        <f>HYPERLINK("https://creighton-primo.hosted.exlibrisgroup.com/primo-explore/search?tab=default_tab&amp;search_scope=EVERYTHING&amp;vid=01CRU&amp;lang=en_US&amp;offset=0&amp;query=any,contains,991001572809702656","Catalog Record")</f>
        <v/>
      </c>
      <c r="AV1066">
        <f>HYPERLINK("http://www.worldcat.org/oclc/37031263","WorldCat Record")</f>
        <v/>
      </c>
      <c r="AW1066" t="inlineStr">
        <is>
          <t>766909:eng</t>
        </is>
      </c>
      <c r="AX1066" t="inlineStr">
        <is>
          <t>37031263</t>
        </is>
      </c>
      <c r="AY1066" t="inlineStr">
        <is>
          <t>991001572809702656</t>
        </is>
      </c>
      <c r="AZ1066" t="inlineStr">
        <is>
          <t>991001572809702656</t>
        </is>
      </c>
      <c r="BA1066" t="inlineStr">
        <is>
          <t>2255072160002656</t>
        </is>
      </c>
      <c r="BB1066" t="inlineStr">
        <is>
          <t>BOOK</t>
        </is>
      </c>
      <c r="BD1066" t="inlineStr">
        <is>
          <t>9780397553259</t>
        </is>
      </c>
      <c r="BE1066" t="inlineStr">
        <is>
          <t>30001004071090</t>
        </is>
      </c>
      <c r="BF1066" t="inlineStr">
        <is>
          <t>893816512</t>
        </is>
      </c>
    </row>
    <row r="1067">
      <c r="A1067" t="inlineStr">
        <is>
          <t>No</t>
        </is>
      </c>
      <c r="B1067" t="inlineStr">
        <is>
          <t>CUHSL</t>
        </is>
      </c>
      <c r="C1067" t="inlineStr">
        <is>
          <t>SHELVES</t>
        </is>
      </c>
      <c r="D1067" t="inlineStr">
        <is>
          <t>WY100.4 W753H 2001</t>
        </is>
      </c>
      <c r="E1067" t="inlineStr">
        <is>
          <t>0                      WY 0100400W  753H        2001</t>
        </is>
      </c>
      <c r="F1067" t="inlineStr">
        <is>
          <t>Health assessment for nursing practice / Susan F. Wilson, Jean Foret Giddens.</t>
        </is>
      </c>
      <c r="H1067" t="inlineStr">
        <is>
          <t>No</t>
        </is>
      </c>
      <c r="I1067" t="inlineStr">
        <is>
          <t>1</t>
        </is>
      </c>
      <c r="J1067" t="inlineStr">
        <is>
          <t>No</t>
        </is>
      </c>
      <c r="K1067" t="inlineStr">
        <is>
          <t>Yes</t>
        </is>
      </c>
      <c r="L1067" t="inlineStr">
        <is>
          <t>0</t>
        </is>
      </c>
      <c r="M1067" t="inlineStr">
        <is>
          <t>Wilson, Susan Fickertt.</t>
        </is>
      </c>
      <c r="N1067" t="inlineStr">
        <is>
          <t>St. Louis : Mosby, c2001.</t>
        </is>
      </c>
      <c r="O1067" t="inlineStr">
        <is>
          <t>2001</t>
        </is>
      </c>
      <c r="P1067" t="inlineStr">
        <is>
          <t>2nd ed.</t>
        </is>
      </c>
      <c r="Q1067" t="inlineStr">
        <is>
          <t>eng</t>
        </is>
      </c>
      <c r="R1067" t="inlineStr">
        <is>
          <t>mou</t>
        </is>
      </c>
      <c r="T1067" t="inlineStr">
        <is>
          <t xml:space="preserve">WY </t>
        </is>
      </c>
      <c r="U1067" t="n">
        <v>18</v>
      </c>
      <c r="V1067" t="n">
        <v>18</v>
      </c>
      <c r="W1067" t="inlineStr">
        <is>
          <t>2002-05-07</t>
        </is>
      </c>
      <c r="X1067" t="inlineStr">
        <is>
          <t>2002-05-07</t>
        </is>
      </c>
      <c r="Y1067" t="inlineStr">
        <is>
          <t>2001-06-06</t>
        </is>
      </c>
      <c r="Z1067" t="inlineStr">
        <is>
          <t>2001-06-06</t>
        </is>
      </c>
      <c r="AA1067" t="n">
        <v>146</v>
      </c>
      <c r="AB1067" t="n">
        <v>96</v>
      </c>
      <c r="AC1067" t="n">
        <v>501</v>
      </c>
      <c r="AD1067" t="n">
        <v>0</v>
      </c>
      <c r="AE1067" t="n">
        <v>6</v>
      </c>
      <c r="AF1067" t="n">
        <v>3</v>
      </c>
      <c r="AG1067" t="n">
        <v>20</v>
      </c>
      <c r="AH1067" t="n">
        <v>1</v>
      </c>
      <c r="AI1067" t="n">
        <v>6</v>
      </c>
      <c r="AJ1067" t="n">
        <v>1</v>
      </c>
      <c r="AK1067" t="n">
        <v>4</v>
      </c>
      <c r="AL1067" t="n">
        <v>1</v>
      </c>
      <c r="AM1067" t="n">
        <v>9</v>
      </c>
      <c r="AN1067" t="n">
        <v>0</v>
      </c>
      <c r="AO1067" t="n">
        <v>4</v>
      </c>
      <c r="AP1067" t="n">
        <v>0</v>
      </c>
      <c r="AQ1067" t="n">
        <v>0</v>
      </c>
      <c r="AR1067" t="inlineStr">
        <is>
          <t>No</t>
        </is>
      </c>
      <c r="AS1067" t="inlineStr">
        <is>
          <t>Yes</t>
        </is>
      </c>
      <c r="AT1067">
        <f>HYPERLINK("http://catalog.hathitrust.org/Record/004137080","HathiTrust Record")</f>
        <v/>
      </c>
      <c r="AU1067">
        <f>HYPERLINK("https://creighton-primo.hosted.exlibrisgroup.com/primo-explore/search?tab=default_tab&amp;search_scope=EVERYTHING&amp;vid=01CRU&amp;lang=en_US&amp;offset=0&amp;query=any,contains,991001705619702656","Catalog Record")</f>
        <v/>
      </c>
      <c r="AV1067">
        <f>HYPERLINK("http://www.worldcat.org/oclc/46928927","WorldCat Record")</f>
        <v/>
      </c>
      <c r="AW1067" t="inlineStr">
        <is>
          <t>2558890037:eng</t>
        </is>
      </c>
      <c r="AX1067" t="inlineStr">
        <is>
          <t>46928927</t>
        </is>
      </c>
      <c r="AY1067" t="inlineStr">
        <is>
          <t>991001705619702656</t>
        </is>
      </c>
      <c r="AZ1067" t="inlineStr">
        <is>
          <t>991001705619702656</t>
        </is>
      </c>
      <c r="BA1067" t="inlineStr">
        <is>
          <t>2263587950002656</t>
        </is>
      </c>
      <c r="BB1067" t="inlineStr">
        <is>
          <t>BOOK</t>
        </is>
      </c>
      <c r="BD1067" t="inlineStr">
        <is>
          <t>9780323008761</t>
        </is>
      </c>
      <c r="BE1067" t="inlineStr">
        <is>
          <t>30001004233799</t>
        </is>
      </c>
      <c r="BF1067" t="inlineStr">
        <is>
          <t>893649350</t>
        </is>
      </c>
    </row>
    <row r="1068">
      <c r="A1068" t="inlineStr">
        <is>
          <t>No</t>
        </is>
      </c>
      <c r="B1068" t="inlineStr">
        <is>
          <t>CUHSL</t>
        </is>
      </c>
      <c r="C1068" t="inlineStr">
        <is>
          <t>SHELVES</t>
        </is>
      </c>
      <c r="D1068" t="inlineStr">
        <is>
          <t>WY 100.5 B463n 1973</t>
        </is>
      </c>
      <c r="E1068" t="inlineStr">
        <is>
          <t>0                      WY 0100500B  463n        1973</t>
        </is>
      </c>
      <c r="F1068" t="inlineStr">
        <is>
          <t>The nursing audit ... a necessity : how shall it be done?</t>
        </is>
      </c>
      <c r="H1068" t="inlineStr">
        <is>
          <t>No</t>
        </is>
      </c>
      <c r="I1068" t="inlineStr">
        <is>
          <t>1</t>
        </is>
      </c>
      <c r="J1068" t="inlineStr">
        <is>
          <t>No</t>
        </is>
      </c>
      <c r="K1068" t="inlineStr">
        <is>
          <t>No</t>
        </is>
      </c>
      <c r="L1068" t="inlineStr">
        <is>
          <t>0</t>
        </is>
      </c>
      <c r="M1068" t="inlineStr">
        <is>
          <t>Benedikter, Helen.</t>
        </is>
      </c>
      <c r="N1068" t="inlineStr">
        <is>
          <t>New York : Council of Hospital and Related Institutional Nursing Services, National League for Nursing, c1973.</t>
        </is>
      </c>
      <c r="O1068" t="inlineStr">
        <is>
          <t>1973</t>
        </is>
      </c>
      <c r="Q1068" t="inlineStr">
        <is>
          <t>eng</t>
        </is>
      </c>
      <c r="R1068" t="inlineStr">
        <is>
          <t>xxu</t>
        </is>
      </c>
      <c r="S1068" t="inlineStr">
        <is>
          <t>NLN pub. no. 20-1501</t>
        </is>
      </c>
      <c r="T1068" t="inlineStr">
        <is>
          <t xml:space="preserve">WY </t>
        </is>
      </c>
      <c r="U1068" t="n">
        <v>3</v>
      </c>
      <c r="V1068" t="n">
        <v>3</v>
      </c>
      <c r="W1068" t="inlineStr">
        <is>
          <t>1990-05-04</t>
        </is>
      </c>
      <c r="X1068" t="inlineStr">
        <is>
          <t>1990-05-04</t>
        </is>
      </c>
      <c r="Y1068" t="inlineStr">
        <is>
          <t>1987-11-04</t>
        </is>
      </c>
      <c r="Z1068" t="inlineStr">
        <is>
          <t>1987-11-04</t>
        </is>
      </c>
      <c r="AA1068" t="n">
        <v>65</v>
      </c>
      <c r="AB1068" t="n">
        <v>57</v>
      </c>
      <c r="AC1068" t="n">
        <v>57</v>
      </c>
      <c r="AD1068" t="n">
        <v>1</v>
      </c>
      <c r="AE1068" t="n">
        <v>1</v>
      </c>
      <c r="AF1068" t="n">
        <v>2</v>
      </c>
      <c r="AG1068" t="n">
        <v>2</v>
      </c>
      <c r="AH1068" t="n">
        <v>0</v>
      </c>
      <c r="AI1068" t="n">
        <v>0</v>
      </c>
      <c r="AJ1068" t="n">
        <v>0</v>
      </c>
      <c r="AK1068" t="n">
        <v>0</v>
      </c>
      <c r="AL1068" t="n">
        <v>2</v>
      </c>
      <c r="AM1068" t="n">
        <v>2</v>
      </c>
      <c r="AN1068" t="n">
        <v>0</v>
      </c>
      <c r="AO1068" t="n">
        <v>0</v>
      </c>
      <c r="AP1068" t="n">
        <v>0</v>
      </c>
      <c r="AQ1068" t="n">
        <v>0</v>
      </c>
      <c r="AR1068" t="inlineStr">
        <is>
          <t>No</t>
        </is>
      </c>
      <c r="AS1068" t="inlineStr">
        <is>
          <t>No</t>
        </is>
      </c>
      <c r="AU1068">
        <f>HYPERLINK("https://creighton-primo.hosted.exlibrisgroup.com/primo-explore/search?tab=default_tab&amp;search_scope=EVERYTHING&amp;vid=01CRU&amp;lang=en_US&amp;offset=0&amp;query=any,contains,991001384379702656","Catalog Record")</f>
        <v/>
      </c>
      <c r="AV1068">
        <f>HYPERLINK("http://www.worldcat.org/oclc/811594","WorldCat Record")</f>
        <v/>
      </c>
      <c r="AW1068" t="inlineStr">
        <is>
          <t>1656286:eng</t>
        </is>
      </c>
      <c r="AX1068" t="inlineStr">
        <is>
          <t>811594</t>
        </is>
      </c>
      <c r="AY1068" t="inlineStr">
        <is>
          <t>991001384379702656</t>
        </is>
      </c>
      <c r="AZ1068" t="inlineStr">
        <is>
          <t>991001384379702656</t>
        </is>
      </c>
      <c r="BA1068" t="inlineStr">
        <is>
          <t>2255763090002656</t>
        </is>
      </c>
      <c r="BB1068" t="inlineStr">
        <is>
          <t>BOOK</t>
        </is>
      </c>
      <c r="BE1068" t="inlineStr">
        <is>
          <t>30001000463408</t>
        </is>
      </c>
      <c r="BF1068" t="inlineStr">
        <is>
          <t>893358524</t>
        </is>
      </c>
    </row>
    <row r="1069">
      <c r="A1069" t="inlineStr">
        <is>
          <t>No</t>
        </is>
      </c>
      <c r="B1069" t="inlineStr">
        <is>
          <t>CUHSL</t>
        </is>
      </c>
      <c r="C1069" t="inlineStr">
        <is>
          <t>SHELVES</t>
        </is>
      </c>
      <c r="D1069" t="inlineStr">
        <is>
          <t>WY 100.5 F528d 1991</t>
        </is>
      </c>
      <c r="E1069" t="inlineStr">
        <is>
          <t>0                      WY 0100500F  528d        1991</t>
        </is>
      </c>
      <c r="F1069" t="inlineStr">
        <is>
          <t>Documenting care : communication--the nursing process and documentation standards / Frances Talaska Fischbach.</t>
        </is>
      </c>
      <c r="H1069" t="inlineStr">
        <is>
          <t>No</t>
        </is>
      </c>
      <c r="I1069" t="inlineStr">
        <is>
          <t>1</t>
        </is>
      </c>
      <c r="J1069" t="inlineStr">
        <is>
          <t>No</t>
        </is>
      </c>
      <c r="K1069" t="inlineStr">
        <is>
          <t>No</t>
        </is>
      </c>
      <c r="L1069" t="inlineStr">
        <is>
          <t>0</t>
        </is>
      </c>
      <c r="M1069" t="inlineStr">
        <is>
          <t>Fischbach, Frances Talaska.</t>
        </is>
      </c>
      <c r="N1069" t="inlineStr">
        <is>
          <t>Philadelphia : Davis, c1991.</t>
        </is>
      </c>
      <c r="O1069" t="inlineStr">
        <is>
          <t>1991</t>
        </is>
      </c>
      <c r="Q1069" t="inlineStr">
        <is>
          <t>eng</t>
        </is>
      </c>
      <c r="R1069" t="inlineStr">
        <is>
          <t>pau</t>
        </is>
      </c>
      <c r="T1069" t="inlineStr">
        <is>
          <t xml:space="preserve">WY </t>
        </is>
      </c>
      <c r="U1069" t="n">
        <v>4</v>
      </c>
      <c r="V1069" t="n">
        <v>4</v>
      </c>
      <c r="W1069" t="inlineStr">
        <is>
          <t>2007-03-13</t>
        </is>
      </c>
      <c r="X1069" t="inlineStr">
        <is>
          <t>2007-03-13</t>
        </is>
      </c>
      <c r="Y1069" t="inlineStr">
        <is>
          <t>1991-09-16</t>
        </is>
      </c>
      <c r="Z1069" t="inlineStr">
        <is>
          <t>1991-09-16</t>
        </is>
      </c>
      <c r="AA1069" t="n">
        <v>266</v>
      </c>
      <c r="AB1069" t="n">
        <v>203</v>
      </c>
      <c r="AC1069" t="n">
        <v>205</v>
      </c>
      <c r="AD1069" t="n">
        <v>2</v>
      </c>
      <c r="AE1069" t="n">
        <v>2</v>
      </c>
      <c r="AF1069" t="n">
        <v>5</v>
      </c>
      <c r="AG1069" t="n">
        <v>5</v>
      </c>
      <c r="AH1069" t="n">
        <v>1</v>
      </c>
      <c r="AI1069" t="n">
        <v>1</v>
      </c>
      <c r="AJ1069" t="n">
        <v>1</v>
      </c>
      <c r="AK1069" t="n">
        <v>1</v>
      </c>
      <c r="AL1069" t="n">
        <v>5</v>
      </c>
      <c r="AM1069" t="n">
        <v>5</v>
      </c>
      <c r="AN1069" t="n">
        <v>0</v>
      </c>
      <c r="AO1069" t="n">
        <v>0</v>
      </c>
      <c r="AP1069" t="n">
        <v>0</v>
      </c>
      <c r="AQ1069" t="n">
        <v>0</v>
      </c>
      <c r="AR1069" t="inlineStr">
        <is>
          <t>No</t>
        </is>
      </c>
      <c r="AS1069" t="inlineStr">
        <is>
          <t>Yes</t>
        </is>
      </c>
      <c r="AT1069">
        <f>HYPERLINK("http://catalog.hathitrust.org/Record/002443420","HathiTrust Record")</f>
        <v/>
      </c>
      <c r="AU1069">
        <f>HYPERLINK("https://creighton-primo.hosted.exlibrisgroup.com/primo-explore/search?tab=default_tab&amp;search_scope=EVERYTHING&amp;vid=01CRU&amp;lang=en_US&amp;offset=0&amp;query=any,contains,991001014689702656","Catalog Record")</f>
        <v/>
      </c>
      <c r="AV1069">
        <f>HYPERLINK("http://www.worldcat.org/oclc/22706137","WorldCat Record")</f>
        <v/>
      </c>
      <c r="AW1069" t="inlineStr">
        <is>
          <t>23993613:eng</t>
        </is>
      </c>
      <c r="AX1069" t="inlineStr">
        <is>
          <t>22706137</t>
        </is>
      </c>
      <c r="AY1069" t="inlineStr">
        <is>
          <t>991001014689702656</t>
        </is>
      </c>
      <c r="AZ1069" t="inlineStr">
        <is>
          <t>991001014689702656</t>
        </is>
      </c>
      <c r="BA1069" t="inlineStr">
        <is>
          <t>2257521550002656</t>
        </is>
      </c>
      <c r="BB1069" t="inlineStr">
        <is>
          <t>BOOK</t>
        </is>
      </c>
      <c r="BD1069" t="inlineStr">
        <is>
          <t>9780803635616</t>
        </is>
      </c>
      <c r="BE1069" t="inlineStr">
        <is>
          <t>30001002240499</t>
        </is>
      </c>
      <c r="BF1069" t="inlineStr">
        <is>
          <t>893540937</t>
        </is>
      </c>
    </row>
    <row r="1070">
      <c r="A1070" t="inlineStr">
        <is>
          <t>No</t>
        </is>
      </c>
      <c r="B1070" t="inlineStr">
        <is>
          <t>CUHSL</t>
        </is>
      </c>
      <c r="C1070" t="inlineStr">
        <is>
          <t>SHELVES</t>
        </is>
      </c>
      <c r="D1070" t="inlineStr">
        <is>
          <t>WY 100.5 I19 1985</t>
        </is>
      </c>
      <c r="E1070" t="inlineStr">
        <is>
          <t>0                      WY 0100500I  19          1985</t>
        </is>
      </c>
      <c r="F1070" t="inlineStr">
        <is>
          <t>Identification of the nursing minimum data set / Harriet H. Werley, Norma M. Lang, editors.</t>
        </is>
      </c>
      <c r="H1070" t="inlineStr">
        <is>
          <t>No</t>
        </is>
      </c>
      <c r="I1070" t="inlineStr">
        <is>
          <t>1</t>
        </is>
      </c>
      <c r="J1070" t="inlineStr">
        <is>
          <t>No</t>
        </is>
      </c>
      <c r="K1070" t="inlineStr">
        <is>
          <t>No</t>
        </is>
      </c>
      <c r="L1070" t="inlineStr">
        <is>
          <t>0</t>
        </is>
      </c>
      <c r="N1070" t="inlineStr">
        <is>
          <t>New York : Springer Pub. Co., c1988.</t>
        </is>
      </c>
      <c r="O1070" t="inlineStr">
        <is>
          <t>1988</t>
        </is>
      </c>
      <c r="Q1070" t="inlineStr">
        <is>
          <t>eng</t>
        </is>
      </c>
      <c r="R1070" t="inlineStr">
        <is>
          <t>xxu</t>
        </is>
      </c>
      <c r="T1070" t="inlineStr">
        <is>
          <t xml:space="preserve">WY </t>
        </is>
      </c>
      <c r="U1070" t="n">
        <v>7</v>
      </c>
      <c r="V1070" t="n">
        <v>7</v>
      </c>
      <c r="W1070" t="inlineStr">
        <is>
          <t>1991-10-16</t>
        </is>
      </c>
      <c r="X1070" t="inlineStr">
        <is>
          <t>1991-10-16</t>
        </is>
      </c>
      <c r="Y1070" t="inlineStr">
        <is>
          <t>1989-05-22</t>
        </is>
      </c>
      <c r="Z1070" t="inlineStr">
        <is>
          <t>1989-05-22</t>
        </is>
      </c>
      <c r="AA1070" t="n">
        <v>182</v>
      </c>
      <c r="AB1070" t="n">
        <v>157</v>
      </c>
      <c r="AC1070" t="n">
        <v>161</v>
      </c>
      <c r="AD1070" t="n">
        <v>2</v>
      </c>
      <c r="AE1070" t="n">
        <v>2</v>
      </c>
      <c r="AF1070" t="n">
        <v>6</v>
      </c>
      <c r="AG1070" t="n">
        <v>6</v>
      </c>
      <c r="AH1070" t="n">
        <v>1</v>
      </c>
      <c r="AI1070" t="n">
        <v>1</v>
      </c>
      <c r="AJ1070" t="n">
        <v>2</v>
      </c>
      <c r="AK1070" t="n">
        <v>2</v>
      </c>
      <c r="AL1070" t="n">
        <v>4</v>
      </c>
      <c r="AM1070" t="n">
        <v>4</v>
      </c>
      <c r="AN1070" t="n">
        <v>1</v>
      </c>
      <c r="AO1070" t="n">
        <v>1</v>
      </c>
      <c r="AP1070" t="n">
        <v>0</v>
      </c>
      <c r="AQ1070" t="n">
        <v>0</v>
      </c>
      <c r="AR1070" t="inlineStr">
        <is>
          <t>No</t>
        </is>
      </c>
      <c r="AS1070" t="inlineStr">
        <is>
          <t>Yes</t>
        </is>
      </c>
      <c r="AT1070">
        <f>HYPERLINK("http://catalog.hathitrust.org/Record/000921303","HathiTrust Record")</f>
        <v/>
      </c>
      <c r="AU1070">
        <f>HYPERLINK("https://creighton-primo.hosted.exlibrisgroup.com/primo-explore/search?tab=default_tab&amp;search_scope=EVERYTHING&amp;vid=01CRU&amp;lang=en_US&amp;offset=0&amp;query=any,contains,991001248909702656","Catalog Record")</f>
        <v/>
      </c>
      <c r="AV1070">
        <f>HYPERLINK("http://www.worldcat.org/oclc/16950127","WorldCat Record")</f>
        <v/>
      </c>
      <c r="AW1070" t="inlineStr">
        <is>
          <t>356767653:eng</t>
        </is>
      </c>
      <c r="AX1070" t="inlineStr">
        <is>
          <t>16950127</t>
        </is>
      </c>
      <c r="AY1070" t="inlineStr">
        <is>
          <t>991001248909702656</t>
        </is>
      </c>
      <c r="AZ1070" t="inlineStr">
        <is>
          <t>991001248909702656</t>
        </is>
      </c>
      <c r="BA1070" t="inlineStr">
        <is>
          <t>2261002380002656</t>
        </is>
      </c>
      <c r="BB1070" t="inlineStr">
        <is>
          <t>BOOK</t>
        </is>
      </c>
      <c r="BD1070" t="inlineStr">
        <is>
          <t>9780826153401</t>
        </is>
      </c>
      <c r="BE1070" t="inlineStr">
        <is>
          <t>30001001678384</t>
        </is>
      </c>
      <c r="BF1070" t="inlineStr">
        <is>
          <t>893743688</t>
        </is>
      </c>
    </row>
    <row r="1071">
      <c r="A1071" t="inlineStr">
        <is>
          <t>No</t>
        </is>
      </c>
      <c r="B1071" t="inlineStr">
        <is>
          <t>CUHSL</t>
        </is>
      </c>
      <c r="C1071" t="inlineStr">
        <is>
          <t>SHELVES</t>
        </is>
      </c>
      <c r="D1071" t="inlineStr">
        <is>
          <t>WY 100.5 I97n 1999</t>
        </is>
      </c>
      <c r="E1071" t="inlineStr">
        <is>
          <t>0                      WY 0100500I  97n         1999</t>
        </is>
      </c>
      <c r="F1071" t="inlineStr">
        <is>
          <t>Nursing documentation : a nursing process approach / Patricia W. Iyer, Nancy H. Camp.</t>
        </is>
      </c>
      <c r="H1071" t="inlineStr">
        <is>
          <t>No</t>
        </is>
      </c>
      <c r="I1071" t="inlineStr">
        <is>
          <t>1</t>
        </is>
      </c>
      <c r="J1071" t="inlineStr">
        <is>
          <t>No</t>
        </is>
      </c>
      <c r="K1071" t="inlineStr">
        <is>
          <t>No</t>
        </is>
      </c>
      <c r="L1071" t="inlineStr">
        <is>
          <t>0</t>
        </is>
      </c>
      <c r="M1071" t="inlineStr">
        <is>
          <t>Iyer, Patricia W.</t>
        </is>
      </c>
      <c r="N1071" t="inlineStr">
        <is>
          <t>St. Louis : Mosby, c1999.</t>
        </is>
      </c>
      <c r="O1071" t="inlineStr">
        <is>
          <t>1999</t>
        </is>
      </c>
      <c r="P1071" t="inlineStr">
        <is>
          <t>3rd ed.</t>
        </is>
      </c>
      <c r="Q1071" t="inlineStr">
        <is>
          <t>eng</t>
        </is>
      </c>
      <c r="R1071" t="inlineStr">
        <is>
          <t>mou</t>
        </is>
      </c>
      <c r="T1071" t="inlineStr">
        <is>
          <t xml:space="preserve">WY </t>
        </is>
      </c>
      <c r="U1071" t="n">
        <v>4</v>
      </c>
      <c r="V1071" t="n">
        <v>4</v>
      </c>
      <c r="W1071" t="inlineStr">
        <is>
          <t>2002-02-04</t>
        </is>
      </c>
      <c r="X1071" t="inlineStr">
        <is>
          <t>2002-02-04</t>
        </is>
      </c>
      <c r="Y1071" t="inlineStr">
        <is>
          <t>1999-09-03</t>
        </is>
      </c>
      <c r="Z1071" t="inlineStr">
        <is>
          <t>1999-09-03</t>
        </is>
      </c>
      <c r="AA1071" t="n">
        <v>249</v>
      </c>
      <c r="AB1071" t="n">
        <v>202</v>
      </c>
      <c r="AC1071" t="n">
        <v>407</v>
      </c>
      <c r="AD1071" t="n">
        <v>3</v>
      </c>
      <c r="AE1071" t="n">
        <v>5</v>
      </c>
      <c r="AF1071" t="n">
        <v>10</v>
      </c>
      <c r="AG1071" t="n">
        <v>17</v>
      </c>
      <c r="AH1071" t="n">
        <v>3</v>
      </c>
      <c r="AI1071" t="n">
        <v>5</v>
      </c>
      <c r="AJ1071" t="n">
        <v>0</v>
      </c>
      <c r="AK1071" t="n">
        <v>1</v>
      </c>
      <c r="AL1071" t="n">
        <v>6</v>
      </c>
      <c r="AM1071" t="n">
        <v>12</v>
      </c>
      <c r="AN1071" t="n">
        <v>2</v>
      </c>
      <c r="AO1071" t="n">
        <v>3</v>
      </c>
      <c r="AP1071" t="n">
        <v>0</v>
      </c>
      <c r="AQ1071" t="n">
        <v>0</v>
      </c>
      <c r="AR1071" t="inlineStr">
        <is>
          <t>No</t>
        </is>
      </c>
      <c r="AS1071" t="inlineStr">
        <is>
          <t>Yes</t>
        </is>
      </c>
      <c r="AT1071">
        <f>HYPERLINK("http://catalog.hathitrust.org/Record/004017051","HathiTrust Record")</f>
        <v/>
      </c>
      <c r="AU1071">
        <f>HYPERLINK("https://creighton-primo.hosted.exlibrisgroup.com/primo-explore/search?tab=default_tab&amp;search_scope=EVERYTHING&amp;vid=01CRU&amp;lang=en_US&amp;offset=0&amp;query=any,contains,991000797689702656","Catalog Record")</f>
        <v/>
      </c>
      <c r="AV1071">
        <f>HYPERLINK("http://www.worldcat.org/oclc/40180621","WorldCat Record")</f>
        <v/>
      </c>
      <c r="AW1071" t="inlineStr">
        <is>
          <t>815107137:eng</t>
        </is>
      </c>
      <c r="AX1071" t="inlineStr">
        <is>
          <t>40180621</t>
        </is>
      </c>
      <c r="AY1071" t="inlineStr">
        <is>
          <t>991000797689702656</t>
        </is>
      </c>
      <c r="AZ1071" t="inlineStr">
        <is>
          <t>991000797689702656</t>
        </is>
      </c>
      <c r="BA1071" t="inlineStr">
        <is>
          <t>2262585120002656</t>
        </is>
      </c>
      <c r="BB1071" t="inlineStr">
        <is>
          <t>BOOK</t>
        </is>
      </c>
      <c r="BD1071" t="inlineStr">
        <is>
          <t>9780323002233</t>
        </is>
      </c>
      <c r="BE1071" t="inlineStr">
        <is>
          <t>30001004080117</t>
        </is>
      </c>
      <c r="BF1071" t="inlineStr">
        <is>
          <t>893735804</t>
        </is>
      </c>
    </row>
    <row r="1072">
      <c r="A1072" t="inlineStr">
        <is>
          <t>No</t>
        </is>
      </c>
      <c r="B1072" t="inlineStr">
        <is>
          <t>CUHSL</t>
        </is>
      </c>
      <c r="C1072" t="inlineStr">
        <is>
          <t>SHELVES</t>
        </is>
      </c>
      <c r="D1072" t="inlineStr">
        <is>
          <t>WY 100.5 M744 1991</t>
        </is>
      </c>
      <c r="E1072" t="inlineStr">
        <is>
          <t>0                      WY 0100500M  744         1991</t>
        </is>
      </c>
      <c r="F1072" t="inlineStr">
        <is>
          <t>Monitoring and evaluation in nursing / edited by Patricia Schroeder.</t>
        </is>
      </c>
      <c r="G1072" t="inlineStr">
        <is>
          <t>V. 3</t>
        </is>
      </c>
      <c r="H1072" t="inlineStr">
        <is>
          <t>No</t>
        </is>
      </c>
      <c r="I1072" t="inlineStr">
        <is>
          <t>1</t>
        </is>
      </c>
      <c r="J1072" t="inlineStr">
        <is>
          <t>No</t>
        </is>
      </c>
      <c r="K1072" t="inlineStr">
        <is>
          <t>No</t>
        </is>
      </c>
      <c r="L1072" t="inlineStr">
        <is>
          <t>0</t>
        </is>
      </c>
      <c r="N1072" t="inlineStr">
        <is>
          <t>Gaithersburg, Md. : Aspen Publishers, c1991.</t>
        </is>
      </c>
      <c r="O1072" t="inlineStr">
        <is>
          <t>1991</t>
        </is>
      </c>
      <c r="Q1072" t="inlineStr">
        <is>
          <t>eng</t>
        </is>
      </c>
      <c r="R1072" t="inlineStr">
        <is>
          <t>mdu</t>
        </is>
      </c>
      <c r="S1072" t="inlineStr">
        <is>
          <t>The Encyclopedia of nursing care quality ; v. 3.</t>
        </is>
      </c>
      <c r="T1072" t="inlineStr">
        <is>
          <t xml:space="preserve">WY </t>
        </is>
      </c>
      <c r="U1072" t="n">
        <v>2</v>
      </c>
      <c r="V1072" t="n">
        <v>2</v>
      </c>
      <c r="W1072" t="inlineStr">
        <is>
          <t>1993-04-02</t>
        </is>
      </c>
      <c r="X1072" t="inlineStr">
        <is>
          <t>1993-04-02</t>
        </is>
      </c>
      <c r="Y1072" t="inlineStr">
        <is>
          <t>1993-03-25</t>
        </is>
      </c>
      <c r="Z1072" t="inlineStr">
        <is>
          <t>1993-03-25</t>
        </is>
      </c>
      <c r="AA1072" t="n">
        <v>225</v>
      </c>
      <c r="AB1072" t="n">
        <v>180</v>
      </c>
      <c r="AC1072" t="n">
        <v>185</v>
      </c>
      <c r="AD1072" t="n">
        <v>1</v>
      </c>
      <c r="AE1072" t="n">
        <v>1</v>
      </c>
      <c r="AF1072" t="n">
        <v>7</v>
      </c>
      <c r="AG1072" t="n">
        <v>7</v>
      </c>
      <c r="AH1072" t="n">
        <v>2</v>
      </c>
      <c r="AI1072" t="n">
        <v>2</v>
      </c>
      <c r="AJ1072" t="n">
        <v>2</v>
      </c>
      <c r="AK1072" t="n">
        <v>2</v>
      </c>
      <c r="AL1072" t="n">
        <v>6</v>
      </c>
      <c r="AM1072" t="n">
        <v>6</v>
      </c>
      <c r="AN1072" t="n">
        <v>0</v>
      </c>
      <c r="AO1072" t="n">
        <v>0</v>
      </c>
      <c r="AP1072" t="n">
        <v>0</v>
      </c>
      <c r="AQ1072" t="n">
        <v>0</v>
      </c>
      <c r="AR1072" t="inlineStr">
        <is>
          <t>No</t>
        </is>
      </c>
      <c r="AS1072" t="inlineStr">
        <is>
          <t>No</t>
        </is>
      </c>
      <c r="AU1072">
        <f>HYPERLINK("https://creighton-primo.hosted.exlibrisgroup.com/primo-explore/search?tab=default_tab&amp;search_scope=EVERYTHING&amp;vid=01CRU&amp;lang=en_US&amp;offset=0&amp;query=any,contains,991001470479702656","Catalog Record")</f>
        <v/>
      </c>
      <c r="AV1072">
        <f>HYPERLINK("http://www.worldcat.org/oclc/22956338","WorldCat Record")</f>
        <v/>
      </c>
      <c r="AW1072" t="inlineStr">
        <is>
          <t>24042409:eng</t>
        </is>
      </c>
      <c r="AX1072" t="inlineStr">
        <is>
          <t>22956338</t>
        </is>
      </c>
      <c r="AY1072" t="inlineStr">
        <is>
          <t>991001470479702656</t>
        </is>
      </c>
      <c r="AZ1072" t="inlineStr">
        <is>
          <t>991001470479702656</t>
        </is>
      </c>
      <c r="BA1072" t="inlineStr">
        <is>
          <t>2260512620002656</t>
        </is>
      </c>
      <c r="BB1072" t="inlineStr">
        <is>
          <t>BOOK</t>
        </is>
      </c>
      <c r="BD1072" t="inlineStr">
        <is>
          <t>9780834202177</t>
        </is>
      </c>
      <c r="BE1072" t="inlineStr">
        <is>
          <t>30001002563031</t>
        </is>
      </c>
      <c r="BF1072" t="inlineStr">
        <is>
          <t>893268540</t>
        </is>
      </c>
    </row>
    <row r="1073">
      <c r="A1073" t="inlineStr">
        <is>
          <t>No</t>
        </is>
      </c>
      <c r="B1073" t="inlineStr">
        <is>
          <t>CUHSL</t>
        </is>
      </c>
      <c r="C1073" t="inlineStr">
        <is>
          <t>SHELVES</t>
        </is>
      </c>
      <c r="D1073" t="inlineStr">
        <is>
          <t>WY 100.5 S359w 1983</t>
        </is>
      </c>
      <c r="E1073" t="inlineStr">
        <is>
          <t>0                      WY 0100500S  359w        1983</t>
        </is>
      </c>
      <c r="F1073" t="inlineStr">
        <is>
          <t>Writing skills for nurses : a practical text/workbook / Trudy Schneller and Christine Godwin.</t>
        </is>
      </c>
      <c r="H1073" t="inlineStr">
        <is>
          <t>No</t>
        </is>
      </c>
      <c r="I1073" t="inlineStr">
        <is>
          <t>1</t>
        </is>
      </c>
      <c r="J1073" t="inlineStr">
        <is>
          <t>No</t>
        </is>
      </c>
      <c r="K1073" t="inlineStr">
        <is>
          <t>No</t>
        </is>
      </c>
      <c r="L1073" t="inlineStr">
        <is>
          <t>0</t>
        </is>
      </c>
      <c r="M1073" t="inlineStr">
        <is>
          <t>Schneller, Trudy.</t>
        </is>
      </c>
      <c r="N1073" t="inlineStr">
        <is>
          <t>Reston, Va. : Reston Pub. Co., c1983.</t>
        </is>
      </c>
      <c r="O1073" t="inlineStr">
        <is>
          <t>1983</t>
        </is>
      </c>
      <c r="Q1073" t="inlineStr">
        <is>
          <t>eng</t>
        </is>
      </c>
      <c r="R1073" t="inlineStr">
        <is>
          <t>xxu</t>
        </is>
      </c>
      <c r="T1073" t="inlineStr">
        <is>
          <t xml:space="preserve">WY </t>
        </is>
      </c>
      <c r="U1073" t="n">
        <v>2</v>
      </c>
      <c r="V1073" t="n">
        <v>2</v>
      </c>
      <c r="W1073" t="inlineStr">
        <is>
          <t>1990-10-25</t>
        </is>
      </c>
      <c r="X1073" t="inlineStr">
        <is>
          <t>1990-10-25</t>
        </is>
      </c>
      <c r="Y1073" t="inlineStr">
        <is>
          <t>1987-12-30</t>
        </is>
      </c>
      <c r="Z1073" t="inlineStr">
        <is>
          <t>1987-12-30</t>
        </is>
      </c>
      <c r="AA1073" t="n">
        <v>87</v>
      </c>
      <c r="AB1073" t="n">
        <v>68</v>
      </c>
      <c r="AC1073" t="n">
        <v>75</v>
      </c>
      <c r="AD1073" t="n">
        <v>1</v>
      </c>
      <c r="AE1073" t="n">
        <v>1</v>
      </c>
      <c r="AF1073" t="n">
        <v>0</v>
      </c>
      <c r="AG1073" t="n">
        <v>1</v>
      </c>
      <c r="AH1073" t="n">
        <v>0</v>
      </c>
      <c r="AI1073" t="n">
        <v>0</v>
      </c>
      <c r="AJ1073" t="n">
        <v>0</v>
      </c>
      <c r="AK1073" t="n">
        <v>0</v>
      </c>
      <c r="AL1073" t="n">
        <v>0</v>
      </c>
      <c r="AM1073" t="n">
        <v>1</v>
      </c>
      <c r="AN1073" t="n">
        <v>0</v>
      </c>
      <c r="AO1073" t="n">
        <v>0</v>
      </c>
      <c r="AP1073" t="n">
        <v>0</v>
      </c>
      <c r="AQ1073" t="n">
        <v>0</v>
      </c>
      <c r="AR1073" t="inlineStr">
        <is>
          <t>No</t>
        </is>
      </c>
      <c r="AS1073" t="inlineStr">
        <is>
          <t>No</t>
        </is>
      </c>
      <c r="AU1073">
        <f>HYPERLINK("https://creighton-primo.hosted.exlibrisgroup.com/primo-explore/search?tab=default_tab&amp;search_scope=EVERYTHING&amp;vid=01CRU&amp;lang=en_US&amp;offset=0&amp;query=any,contains,991001150169702656","Catalog Record")</f>
        <v/>
      </c>
      <c r="AV1073">
        <f>HYPERLINK("http://www.worldcat.org/oclc/9154629","WorldCat Record")</f>
        <v/>
      </c>
      <c r="AW1073" t="inlineStr">
        <is>
          <t>10279590:eng</t>
        </is>
      </c>
      <c r="AX1073" t="inlineStr">
        <is>
          <t>9154629</t>
        </is>
      </c>
      <c r="AY1073" t="inlineStr">
        <is>
          <t>991001150169702656</t>
        </is>
      </c>
      <c r="AZ1073" t="inlineStr">
        <is>
          <t>991001150169702656</t>
        </is>
      </c>
      <c r="BA1073" t="inlineStr">
        <is>
          <t>2266536460002656</t>
        </is>
      </c>
      <c r="BB1073" t="inlineStr">
        <is>
          <t>BOOK</t>
        </is>
      </c>
      <c r="BD1073" t="inlineStr">
        <is>
          <t>9780835987981</t>
        </is>
      </c>
      <c r="BE1073" t="inlineStr">
        <is>
          <t>30001000295743</t>
        </is>
      </c>
      <c r="BF1073" t="inlineStr">
        <is>
          <t>893268141</t>
        </is>
      </c>
    </row>
    <row r="1074">
      <c r="A1074" t="inlineStr">
        <is>
          <t>No</t>
        </is>
      </c>
      <c r="B1074" t="inlineStr">
        <is>
          <t>CUHSL</t>
        </is>
      </c>
      <c r="C1074" t="inlineStr">
        <is>
          <t>SHELVES</t>
        </is>
      </c>
      <c r="D1074" t="inlineStr">
        <is>
          <t>WY 100.5 V256 1982</t>
        </is>
      </c>
      <c r="E1074" t="inlineStr">
        <is>
          <t>0                      WY 0100500V  256         1982</t>
        </is>
      </c>
      <c r="F1074" t="inlineStr">
        <is>
          <t>Introduction to charting / developed by Helen Van Hoozer, Lavonne Ruther and Martha Craft.</t>
        </is>
      </c>
      <c r="H1074" t="inlineStr">
        <is>
          <t>No</t>
        </is>
      </c>
      <c r="I1074" t="inlineStr">
        <is>
          <t>1</t>
        </is>
      </c>
      <c r="J1074" t="inlineStr">
        <is>
          <t>No</t>
        </is>
      </c>
      <c r="K1074" t="inlineStr">
        <is>
          <t>No</t>
        </is>
      </c>
      <c r="L1074" t="inlineStr">
        <is>
          <t>0</t>
        </is>
      </c>
      <c r="M1074" t="inlineStr">
        <is>
          <t>Van Hoozer, Helen L.</t>
        </is>
      </c>
      <c r="N1074" t="inlineStr">
        <is>
          <t>Philadelphia : Lippincott , c1982.</t>
        </is>
      </c>
      <c r="O1074" t="inlineStr">
        <is>
          <t>1982</t>
        </is>
      </c>
      <c r="Q1074" t="inlineStr">
        <is>
          <t>eng</t>
        </is>
      </c>
      <c r="R1074" t="inlineStr">
        <is>
          <t>pau</t>
        </is>
      </c>
      <c r="T1074" t="inlineStr">
        <is>
          <t xml:space="preserve">WY </t>
        </is>
      </c>
      <c r="U1074" t="n">
        <v>8</v>
      </c>
      <c r="V1074" t="n">
        <v>8</v>
      </c>
      <c r="W1074" t="inlineStr">
        <is>
          <t>1993-08-13</t>
        </is>
      </c>
      <c r="X1074" t="inlineStr">
        <is>
          <t>1993-08-13</t>
        </is>
      </c>
      <c r="Y1074" t="inlineStr">
        <is>
          <t>1987-12-30</t>
        </is>
      </c>
      <c r="Z1074" t="inlineStr">
        <is>
          <t>1987-12-30</t>
        </is>
      </c>
      <c r="AA1074" t="n">
        <v>56</v>
      </c>
      <c r="AB1074" t="n">
        <v>48</v>
      </c>
      <c r="AC1074" t="n">
        <v>48</v>
      </c>
      <c r="AD1074" t="n">
        <v>2</v>
      </c>
      <c r="AE1074" t="n">
        <v>2</v>
      </c>
      <c r="AF1074" t="n">
        <v>1</v>
      </c>
      <c r="AG1074" t="n">
        <v>1</v>
      </c>
      <c r="AH1074" t="n">
        <v>0</v>
      </c>
      <c r="AI1074" t="n">
        <v>0</v>
      </c>
      <c r="AJ1074" t="n">
        <v>0</v>
      </c>
      <c r="AK1074" t="n">
        <v>0</v>
      </c>
      <c r="AL1074" t="n">
        <v>1</v>
      </c>
      <c r="AM1074" t="n">
        <v>1</v>
      </c>
      <c r="AN1074" t="n">
        <v>0</v>
      </c>
      <c r="AO1074" t="n">
        <v>0</v>
      </c>
      <c r="AP1074" t="n">
        <v>0</v>
      </c>
      <c r="AQ1074" t="n">
        <v>0</v>
      </c>
      <c r="AR1074" t="inlineStr">
        <is>
          <t>No</t>
        </is>
      </c>
      <c r="AS1074" t="inlineStr">
        <is>
          <t>No</t>
        </is>
      </c>
      <c r="AU1074">
        <f>HYPERLINK("https://creighton-primo.hosted.exlibrisgroup.com/primo-explore/search?tab=default_tab&amp;search_scope=EVERYTHING&amp;vid=01CRU&amp;lang=en_US&amp;offset=0&amp;query=any,contains,991001150219702656","Catalog Record")</f>
        <v/>
      </c>
      <c r="AV1074">
        <f>HYPERLINK("http://www.worldcat.org/oclc/8424738","WorldCat Record")</f>
        <v/>
      </c>
      <c r="AW1074" t="inlineStr">
        <is>
          <t>471054:eng</t>
        </is>
      </c>
      <c r="AX1074" t="inlineStr">
        <is>
          <t>8424738</t>
        </is>
      </c>
      <c r="AY1074" t="inlineStr">
        <is>
          <t>991001150219702656</t>
        </is>
      </c>
      <c r="AZ1074" t="inlineStr">
        <is>
          <t>991001150219702656</t>
        </is>
      </c>
      <c r="BA1074" t="inlineStr">
        <is>
          <t>2258103220002656</t>
        </is>
      </c>
      <c r="BB1074" t="inlineStr">
        <is>
          <t>BOOK</t>
        </is>
      </c>
      <c r="BD1074" t="inlineStr">
        <is>
          <t>9780397544004</t>
        </is>
      </c>
      <c r="BE1074" t="inlineStr">
        <is>
          <t>30001000295750</t>
        </is>
      </c>
      <c r="BF1074" t="inlineStr">
        <is>
          <t>893826489</t>
        </is>
      </c>
    </row>
    <row r="1075">
      <c r="A1075" t="inlineStr">
        <is>
          <t>No</t>
        </is>
      </c>
      <c r="B1075" t="inlineStr">
        <is>
          <t>CUHSL</t>
        </is>
      </c>
      <c r="C1075" t="inlineStr">
        <is>
          <t>SHELVES</t>
        </is>
      </c>
      <c r="D1075" t="inlineStr">
        <is>
          <t>WY 101 A244 1996</t>
        </is>
      </c>
      <c r="E1075" t="inlineStr">
        <is>
          <t>0                      WY 0101000A  244         1996</t>
        </is>
      </c>
      <c r="F1075" t="inlineStr">
        <is>
          <t>Advanced nursing practice : an integrative approach / [edited by] Ann B. Hamric, Judith A. Spross, Charlene M. Hanson.</t>
        </is>
      </c>
      <c r="H1075" t="inlineStr">
        <is>
          <t>No</t>
        </is>
      </c>
      <c r="I1075" t="inlineStr">
        <is>
          <t>1</t>
        </is>
      </c>
      <c r="J1075" t="inlineStr">
        <is>
          <t>No</t>
        </is>
      </c>
      <c r="K1075" t="inlineStr">
        <is>
          <t>Yes</t>
        </is>
      </c>
      <c r="L1075" t="inlineStr">
        <is>
          <t>0</t>
        </is>
      </c>
      <c r="N1075" t="inlineStr">
        <is>
          <t>Philadelphia : W.B. Saunders Co., c1996.</t>
        </is>
      </c>
      <c r="O1075" t="inlineStr">
        <is>
          <t>1996</t>
        </is>
      </c>
      <c r="Q1075" t="inlineStr">
        <is>
          <t>eng</t>
        </is>
      </c>
      <c r="R1075" t="inlineStr">
        <is>
          <t>pau</t>
        </is>
      </c>
      <c r="T1075" t="inlineStr">
        <is>
          <t xml:space="preserve">WY </t>
        </is>
      </c>
      <c r="U1075" t="n">
        <v>6</v>
      </c>
      <c r="V1075" t="n">
        <v>6</v>
      </c>
      <c r="W1075" t="inlineStr">
        <is>
          <t>2003-03-17</t>
        </is>
      </c>
      <c r="X1075" t="inlineStr">
        <is>
          <t>2003-03-17</t>
        </is>
      </c>
      <c r="Y1075" t="inlineStr">
        <is>
          <t>1997-01-17</t>
        </is>
      </c>
      <c r="Z1075" t="inlineStr">
        <is>
          <t>1997-01-17</t>
        </is>
      </c>
      <c r="AA1075" t="n">
        <v>265</v>
      </c>
      <c r="AB1075" t="n">
        <v>214</v>
      </c>
      <c r="AC1075" t="n">
        <v>313</v>
      </c>
      <c r="AD1075" t="n">
        <v>4</v>
      </c>
      <c r="AE1075" t="n">
        <v>4</v>
      </c>
      <c r="AF1075" t="n">
        <v>11</v>
      </c>
      <c r="AG1075" t="n">
        <v>15</v>
      </c>
      <c r="AH1075" t="n">
        <v>6</v>
      </c>
      <c r="AI1075" t="n">
        <v>7</v>
      </c>
      <c r="AJ1075" t="n">
        <v>1</v>
      </c>
      <c r="AK1075" t="n">
        <v>1</v>
      </c>
      <c r="AL1075" t="n">
        <v>5</v>
      </c>
      <c r="AM1075" t="n">
        <v>8</v>
      </c>
      <c r="AN1075" t="n">
        <v>2</v>
      </c>
      <c r="AO1075" t="n">
        <v>2</v>
      </c>
      <c r="AP1075" t="n">
        <v>0</v>
      </c>
      <c r="AQ1075" t="n">
        <v>0</v>
      </c>
      <c r="AR1075" t="inlineStr">
        <is>
          <t>No</t>
        </is>
      </c>
      <c r="AS1075" t="inlineStr">
        <is>
          <t>Yes</t>
        </is>
      </c>
      <c r="AT1075">
        <f>HYPERLINK("http://catalog.hathitrust.org/Record/003071615","HathiTrust Record")</f>
        <v/>
      </c>
      <c r="AU1075">
        <f>HYPERLINK("https://creighton-primo.hosted.exlibrisgroup.com/primo-explore/search?tab=default_tab&amp;search_scope=EVERYTHING&amp;vid=01CRU&amp;lang=en_US&amp;offset=0&amp;query=any,contains,991000852769702656","Catalog Record")</f>
        <v/>
      </c>
      <c r="AV1075">
        <f>HYPERLINK("http://www.worldcat.org/oclc/34286737","WorldCat Record")</f>
        <v/>
      </c>
      <c r="AW1075" t="inlineStr">
        <is>
          <t>836911253:eng</t>
        </is>
      </c>
      <c r="AX1075" t="inlineStr">
        <is>
          <t>34286737</t>
        </is>
      </c>
      <c r="AY1075" t="inlineStr">
        <is>
          <t>991000852769702656</t>
        </is>
      </c>
      <c r="AZ1075" t="inlineStr">
        <is>
          <t>991000852769702656</t>
        </is>
      </c>
      <c r="BA1075" t="inlineStr">
        <is>
          <t>2261289940002656</t>
        </is>
      </c>
      <c r="BB1075" t="inlineStr">
        <is>
          <t>BOOK</t>
        </is>
      </c>
      <c r="BD1075" t="inlineStr">
        <is>
          <t>9780721658940</t>
        </is>
      </c>
      <c r="BE1075" t="inlineStr">
        <is>
          <t>30001003474238</t>
        </is>
      </c>
      <c r="BF1075" t="inlineStr">
        <is>
          <t>893815795</t>
        </is>
      </c>
    </row>
    <row r="1076">
      <c r="A1076" t="inlineStr">
        <is>
          <t>No</t>
        </is>
      </c>
      <c r="B1076" t="inlineStr">
        <is>
          <t>CUHSL</t>
        </is>
      </c>
      <c r="C1076" t="inlineStr">
        <is>
          <t>SHELVES</t>
        </is>
      </c>
      <c r="D1076" t="inlineStr">
        <is>
          <t>WY101 C761 2008</t>
        </is>
      </c>
      <c r="E1076" t="inlineStr">
        <is>
          <t>0                      WY 0101000C  761         2008</t>
        </is>
      </c>
      <c r="F1076" t="inlineStr">
        <is>
          <t>Contemporary nursing : issues, trends, &amp; management / [edited by] Barbara Cherry, Susan R. Jacob.</t>
        </is>
      </c>
      <c r="H1076" t="inlineStr">
        <is>
          <t>No</t>
        </is>
      </c>
      <c r="I1076" t="inlineStr">
        <is>
          <t>1</t>
        </is>
      </c>
      <c r="J1076" t="inlineStr">
        <is>
          <t>No</t>
        </is>
      </c>
      <c r="K1076" t="inlineStr">
        <is>
          <t>No</t>
        </is>
      </c>
      <c r="L1076" t="inlineStr">
        <is>
          <t>0</t>
        </is>
      </c>
      <c r="N1076" t="inlineStr">
        <is>
          <t>St. Louis, Mo. : Mosby Elsevier, c2008.</t>
        </is>
      </c>
      <c r="O1076" t="inlineStr">
        <is>
          <t>2008</t>
        </is>
      </c>
      <c r="P1076" t="inlineStr">
        <is>
          <t>Ed. 4.</t>
        </is>
      </c>
      <c r="Q1076" t="inlineStr">
        <is>
          <t>eng</t>
        </is>
      </c>
      <c r="R1076" t="inlineStr">
        <is>
          <t>mou</t>
        </is>
      </c>
      <c r="T1076" t="inlineStr">
        <is>
          <t xml:space="preserve">WY </t>
        </is>
      </c>
      <c r="U1076" t="n">
        <v>1</v>
      </c>
      <c r="V1076" t="n">
        <v>1</v>
      </c>
      <c r="W1076" t="inlineStr">
        <is>
          <t>2008-05-30</t>
        </is>
      </c>
      <c r="X1076" t="inlineStr">
        <is>
          <t>2008-05-30</t>
        </is>
      </c>
      <c r="Y1076" t="inlineStr">
        <is>
          <t>2008-04-15</t>
        </is>
      </c>
      <c r="Z1076" t="inlineStr">
        <is>
          <t>2008-04-15</t>
        </is>
      </c>
      <c r="AA1076" t="n">
        <v>338</v>
      </c>
      <c r="AB1076" t="n">
        <v>257</v>
      </c>
      <c r="AC1076" t="n">
        <v>952</v>
      </c>
      <c r="AD1076" t="n">
        <v>1</v>
      </c>
      <c r="AE1076" t="n">
        <v>5</v>
      </c>
      <c r="AF1076" t="n">
        <v>7</v>
      </c>
      <c r="AG1076" t="n">
        <v>26</v>
      </c>
      <c r="AH1076" t="n">
        <v>2</v>
      </c>
      <c r="AI1076" t="n">
        <v>8</v>
      </c>
      <c r="AJ1076" t="n">
        <v>1</v>
      </c>
      <c r="AK1076" t="n">
        <v>5</v>
      </c>
      <c r="AL1076" t="n">
        <v>5</v>
      </c>
      <c r="AM1076" t="n">
        <v>14</v>
      </c>
      <c r="AN1076" t="n">
        <v>0</v>
      </c>
      <c r="AO1076" t="n">
        <v>4</v>
      </c>
      <c r="AP1076" t="n">
        <v>0</v>
      </c>
      <c r="AQ1076" t="n">
        <v>0</v>
      </c>
      <c r="AR1076" t="inlineStr">
        <is>
          <t>No</t>
        </is>
      </c>
      <c r="AS1076" t="inlineStr">
        <is>
          <t>Yes</t>
        </is>
      </c>
      <c r="AT1076">
        <f>HYPERLINK("http://catalog.hathitrust.org/Record/005804195","HathiTrust Record")</f>
        <v/>
      </c>
      <c r="AU1076">
        <f>HYPERLINK("https://creighton-primo.hosted.exlibrisgroup.com/primo-explore/search?tab=default_tab&amp;search_scope=EVERYTHING&amp;vid=01CRU&amp;lang=en_US&amp;offset=0&amp;query=any,contains,991001756549702656","Catalog Record")</f>
        <v/>
      </c>
      <c r="AV1076">
        <f>HYPERLINK("http://www.worldcat.org/oclc/156812147","WorldCat Record")</f>
        <v/>
      </c>
      <c r="AW1076" t="inlineStr">
        <is>
          <t>36984651:eng</t>
        </is>
      </c>
      <c r="AX1076" t="inlineStr">
        <is>
          <t>156812147</t>
        </is>
      </c>
      <c r="AY1076" t="inlineStr">
        <is>
          <t>991001756549702656</t>
        </is>
      </c>
      <c r="AZ1076" t="inlineStr">
        <is>
          <t>991001756549702656</t>
        </is>
      </c>
      <c r="BA1076" t="inlineStr">
        <is>
          <t>2265004440002656</t>
        </is>
      </c>
      <c r="BB1076" t="inlineStr">
        <is>
          <t>BOOK</t>
        </is>
      </c>
      <c r="BD1076" t="inlineStr">
        <is>
          <t>9780323052177</t>
        </is>
      </c>
      <c r="BE1076" t="inlineStr">
        <is>
          <t>30001005292026</t>
        </is>
      </c>
      <c r="BF1076" t="inlineStr">
        <is>
          <t>893279603</t>
        </is>
      </c>
    </row>
    <row r="1077">
      <c r="A1077" t="inlineStr">
        <is>
          <t>No</t>
        </is>
      </c>
      <c r="B1077" t="inlineStr">
        <is>
          <t>CUHSL</t>
        </is>
      </c>
      <c r="C1077" t="inlineStr">
        <is>
          <t>SHELVES</t>
        </is>
      </c>
      <c r="D1077" t="inlineStr">
        <is>
          <t>WY 101 G227e 1989</t>
        </is>
      </c>
      <c r="E1077" t="inlineStr">
        <is>
          <t>0                      WY 0101000G  227e        1989</t>
        </is>
      </c>
      <c r="F1077" t="inlineStr">
        <is>
          <t>The effects of primary versus team nursing on quality of patient care and impact on nursing staff and costs : a five year study / by Kathryn G. Gardner.</t>
        </is>
      </c>
      <c r="H1077" t="inlineStr">
        <is>
          <t>No</t>
        </is>
      </c>
      <c r="I1077" t="inlineStr">
        <is>
          <t>1</t>
        </is>
      </c>
      <c r="J1077" t="inlineStr">
        <is>
          <t>No</t>
        </is>
      </c>
      <c r="K1077" t="inlineStr">
        <is>
          <t>No</t>
        </is>
      </c>
      <c r="L1077" t="inlineStr">
        <is>
          <t>0</t>
        </is>
      </c>
      <c r="M1077" t="inlineStr">
        <is>
          <t>Gardner, Kathryn G.</t>
        </is>
      </c>
      <c r="N1077" t="inlineStr">
        <is>
          <t>Rochester, New York : Rochester General Hospital, 1989.</t>
        </is>
      </c>
      <c r="O1077" t="inlineStr">
        <is>
          <t>1989</t>
        </is>
      </c>
      <c r="Q1077" t="inlineStr">
        <is>
          <t>eng</t>
        </is>
      </c>
      <c r="R1077" t="inlineStr">
        <is>
          <t>nyu</t>
        </is>
      </c>
      <c r="T1077" t="inlineStr">
        <is>
          <t xml:space="preserve">WY </t>
        </is>
      </c>
      <c r="U1077" t="n">
        <v>1</v>
      </c>
      <c r="V1077" t="n">
        <v>1</v>
      </c>
      <c r="W1077" t="inlineStr">
        <is>
          <t>1990-03-22</t>
        </is>
      </c>
      <c r="X1077" t="inlineStr">
        <is>
          <t>1990-03-22</t>
        </is>
      </c>
      <c r="Y1077" t="inlineStr">
        <is>
          <t>1990-03-22</t>
        </is>
      </c>
      <c r="Z1077" t="inlineStr">
        <is>
          <t>1990-03-22</t>
        </is>
      </c>
      <c r="AA1077" t="n">
        <v>56</v>
      </c>
      <c r="AB1077" t="n">
        <v>56</v>
      </c>
      <c r="AC1077" t="n">
        <v>81</v>
      </c>
      <c r="AD1077" t="n">
        <v>1</v>
      </c>
      <c r="AE1077" t="n">
        <v>1</v>
      </c>
      <c r="AF1077" t="n">
        <v>2</v>
      </c>
      <c r="AG1077" t="n">
        <v>2</v>
      </c>
      <c r="AH1077" t="n">
        <v>1</v>
      </c>
      <c r="AI1077" t="n">
        <v>1</v>
      </c>
      <c r="AJ1077" t="n">
        <v>0</v>
      </c>
      <c r="AK1077" t="n">
        <v>0</v>
      </c>
      <c r="AL1077" t="n">
        <v>1</v>
      </c>
      <c r="AM1077" t="n">
        <v>1</v>
      </c>
      <c r="AN1077" t="n">
        <v>0</v>
      </c>
      <c r="AO1077" t="n">
        <v>0</v>
      </c>
      <c r="AP1077" t="n">
        <v>0</v>
      </c>
      <c r="AQ1077" t="n">
        <v>0</v>
      </c>
      <c r="AR1077" t="inlineStr">
        <is>
          <t>No</t>
        </is>
      </c>
      <c r="AS1077" t="inlineStr">
        <is>
          <t>Yes</t>
        </is>
      </c>
      <c r="AT1077">
        <f>HYPERLINK("http://catalog.hathitrust.org/Record/002714027","HathiTrust Record")</f>
        <v/>
      </c>
      <c r="AU1077">
        <f>HYPERLINK("https://creighton-primo.hosted.exlibrisgroup.com/primo-explore/search?tab=default_tab&amp;search_scope=EVERYTHING&amp;vid=01CRU&amp;lang=en_US&amp;offset=0&amp;query=any,contains,991001447609702656","Catalog Record")</f>
        <v/>
      </c>
      <c r="AV1077">
        <f>HYPERLINK("http://www.worldcat.org/oclc/21278597","WorldCat Record")</f>
        <v/>
      </c>
      <c r="AW1077" t="inlineStr">
        <is>
          <t>23268101:eng</t>
        </is>
      </c>
      <c r="AX1077" t="inlineStr">
        <is>
          <t>21278597</t>
        </is>
      </c>
      <c r="AY1077" t="inlineStr">
        <is>
          <t>991001447609702656</t>
        </is>
      </c>
      <c r="AZ1077" t="inlineStr">
        <is>
          <t>991001447609702656</t>
        </is>
      </c>
      <c r="BA1077" t="inlineStr">
        <is>
          <t>2268398860002656</t>
        </is>
      </c>
      <c r="BB1077" t="inlineStr">
        <is>
          <t>BOOK</t>
        </is>
      </c>
      <c r="BE1077" t="inlineStr">
        <is>
          <t>30001001881178</t>
        </is>
      </c>
      <c r="BF1077" t="inlineStr">
        <is>
          <t>893832199</t>
        </is>
      </c>
    </row>
    <row r="1078">
      <c r="A1078" t="inlineStr">
        <is>
          <t>No</t>
        </is>
      </c>
      <c r="B1078" t="inlineStr">
        <is>
          <t>CUHSL</t>
        </is>
      </c>
      <c r="C1078" t="inlineStr">
        <is>
          <t>SHELVES</t>
        </is>
      </c>
      <c r="D1078" t="inlineStr">
        <is>
          <t>WY101 H232a 2000</t>
        </is>
      </c>
      <c r="E1078" t="inlineStr">
        <is>
          <t>0                      WY 0101000H  232a        2000</t>
        </is>
      </c>
      <c r="F1078" t="inlineStr">
        <is>
          <t>Advanced nursing practice : an integrative approach / Ann B. Hamric, Judith A. Spross, Charlene M. Hanson.</t>
        </is>
      </c>
      <c r="H1078" t="inlineStr">
        <is>
          <t>No</t>
        </is>
      </c>
      <c r="I1078" t="inlineStr">
        <is>
          <t>1</t>
        </is>
      </c>
      <c r="J1078" t="inlineStr">
        <is>
          <t>No</t>
        </is>
      </c>
      <c r="K1078" t="inlineStr">
        <is>
          <t>Yes</t>
        </is>
      </c>
      <c r="L1078" t="inlineStr">
        <is>
          <t>0</t>
        </is>
      </c>
      <c r="M1078" t="inlineStr">
        <is>
          <t>Hamric, Ann B.</t>
        </is>
      </c>
      <c r="N1078" t="inlineStr">
        <is>
          <t>Philadelphia : W.B. Saunders Co., c2000.</t>
        </is>
      </c>
      <c r="O1078" t="inlineStr">
        <is>
          <t>2000</t>
        </is>
      </c>
      <c r="P1078" t="inlineStr">
        <is>
          <t>2nd ed.</t>
        </is>
      </c>
      <c r="Q1078" t="inlineStr">
        <is>
          <t>eng</t>
        </is>
      </c>
      <c r="R1078" t="inlineStr">
        <is>
          <t>pau</t>
        </is>
      </c>
      <c r="T1078" t="inlineStr">
        <is>
          <t xml:space="preserve">WY </t>
        </is>
      </c>
      <c r="U1078" t="n">
        <v>6</v>
      </c>
      <c r="V1078" t="n">
        <v>6</v>
      </c>
      <c r="W1078" t="inlineStr">
        <is>
          <t>2003-04-15</t>
        </is>
      </c>
      <c r="X1078" t="inlineStr">
        <is>
          <t>2003-04-15</t>
        </is>
      </c>
      <c r="Y1078" t="inlineStr">
        <is>
          <t>2002-01-09</t>
        </is>
      </c>
      <c r="Z1078" t="inlineStr">
        <is>
          <t>2002-01-09</t>
        </is>
      </c>
      <c r="AA1078" t="n">
        <v>239</v>
      </c>
      <c r="AB1078" t="n">
        <v>176</v>
      </c>
      <c r="AC1078" t="n">
        <v>313</v>
      </c>
      <c r="AD1078" t="n">
        <v>1</v>
      </c>
      <c r="AE1078" t="n">
        <v>4</v>
      </c>
      <c r="AF1078" t="n">
        <v>7</v>
      </c>
      <c r="AG1078" t="n">
        <v>15</v>
      </c>
      <c r="AH1078" t="n">
        <v>3</v>
      </c>
      <c r="AI1078" t="n">
        <v>7</v>
      </c>
      <c r="AJ1078" t="n">
        <v>0</v>
      </c>
      <c r="AK1078" t="n">
        <v>1</v>
      </c>
      <c r="AL1078" t="n">
        <v>5</v>
      </c>
      <c r="AM1078" t="n">
        <v>8</v>
      </c>
      <c r="AN1078" t="n">
        <v>0</v>
      </c>
      <c r="AO1078" t="n">
        <v>2</v>
      </c>
      <c r="AP1078" t="n">
        <v>0</v>
      </c>
      <c r="AQ1078" t="n">
        <v>0</v>
      </c>
      <c r="AR1078" t="inlineStr">
        <is>
          <t>No</t>
        </is>
      </c>
      <c r="AS1078" t="inlineStr">
        <is>
          <t>Yes</t>
        </is>
      </c>
      <c r="AT1078">
        <f>HYPERLINK("http://catalog.hathitrust.org/Record/004122296","HathiTrust Record")</f>
        <v/>
      </c>
      <c r="AU1078">
        <f>HYPERLINK("https://creighton-primo.hosted.exlibrisgroup.com/primo-explore/search?tab=default_tab&amp;search_scope=EVERYTHING&amp;vid=01CRU&amp;lang=en_US&amp;offset=0&amp;query=any,contains,991001711089702656","Catalog Record")</f>
        <v/>
      </c>
      <c r="AV1078">
        <f>HYPERLINK("http://www.worldcat.org/oclc/43854107","WorldCat Record")</f>
        <v/>
      </c>
      <c r="AW1078" t="inlineStr">
        <is>
          <t>836911253:eng</t>
        </is>
      </c>
      <c r="AX1078" t="inlineStr">
        <is>
          <t>43854107</t>
        </is>
      </c>
      <c r="AY1078" t="inlineStr">
        <is>
          <t>991001711089702656</t>
        </is>
      </c>
      <c r="AZ1078" t="inlineStr">
        <is>
          <t>991001711089702656</t>
        </is>
      </c>
      <c r="BA1078" t="inlineStr">
        <is>
          <t>2272555570002656</t>
        </is>
      </c>
      <c r="BB1078" t="inlineStr">
        <is>
          <t>BOOK</t>
        </is>
      </c>
      <c r="BD1078" t="inlineStr">
        <is>
          <t>9780721686325</t>
        </is>
      </c>
      <c r="BE1078" t="inlineStr">
        <is>
          <t>30001004236172</t>
        </is>
      </c>
      <c r="BF1078" t="inlineStr">
        <is>
          <t>893451459</t>
        </is>
      </c>
    </row>
    <row r="1079">
      <c r="A1079" t="inlineStr">
        <is>
          <t>No</t>
        </is>
      </c>
      <c r="B1079" t="inlineStr">
        <is>
          <t>CUHSL</t>
        </is>
      </c>
      <c r="C1079" t="inlineStr">
        <is>
          <t>SHELVES</t>
        </is>
      </c>
      <c r="D1079" t="inlineStr">
        <is>
          <t>WY101 H232a 2005</t>
        </is>
      </c>
      <c r="E1079" t="inlineStr">
        <is>
          <t>0                      WY 0101000H  232a        2005</t>
        </is>
      </c>
      <c r="F1079" t="inlineStr">
        <is>
          <t>Advanced practice nursing : an integrative approach / Ann B. Hamric, Judith A. Spross, Charlene M. Hanson.</t>
        </is>
      </c>
      <c r="H1079" t="inlineStr">
        <is>
          <t>No</t>
        </is>
      </c>
      <c r="I1079" t="inlineStr">
        <is>
          <t>1</t>
        </is>
      </c>
      <c r="J1079" t="inlineStr">
        <is>
          <t>No</t>
        </is>
      </c>
      <c r="K1079" t="inlineStr">
        <is>
          <t>Yes</t>
        </is>
      </c>
      <c r="L1079" t="inlineStr">
        <is>
          <t>0</t>
        </is>
      </c>
      <c r="M1079" t="inlineStr">
        <is>
          <t>Hamric, Ann B.</t>
        </is>
      </c>
      <c r="N1079" t="inlineStr">
        <is>
          <t>St. Louis : Saunders, c2005.</t>
        </is>
      </c>
      <c r="O1079" t="inlineStr">
        <is>
          <t>2005</t>
        </is>
      </c>
      <c r="P1079" t="inlineStr">
        <is>
          <t>3rd ed.</t>
        </is>
      </c>
      <c r="Q1079" t="inlineStr">
        <is>
          <t>eng</t>
        </is>
      </c>
      <c r="R1079" t="inlineStr">
        <is>
          <t>mou</t>
        </is>
      </c>
      <c r="T1079" t="inlineStr">
        <is>
          <t xml:space="preserve">WY </t>
        </is>
      </c>
      <c r="U1079" t="n">
        <v>3</v>
      </c>
      <c r="V1079" t="n">
        <v>3</v>
      </c>
      <c r="W1079" t="inlineStr">
        <is>
          <t>2006-12-13</t>
        </is>
      </c>
      <c r="X1079" t="inlineStr">
        <is>
          <t>2006-12-13</t>
        </is>
      </c>
      <c r="Y1079" t="inlineStr">
        <is>
          <t>2005-01-13</t>
        </is>
      </c>
      <c r="Z1079" t="inlineStr">
        <is>
          <t>2005-01-13</t>
        </is>
      </c>
      <c r="AA1079" t="n">
        <v>350</v>
      </c>
      <c r="AB1079" t="n">
        <v>261</v>
      </c>
      <c r="AC1079" t="n">
        <v>549</v>
      </c>
      <c r="AD1079" t="n">
        <v>1</v>
      </c>
      <c r="AE1079" t="n">
        <v>3</v>
      </c>
      <c r="AF1079" t="n">
        <v>8</v>
      </c>
      <c r="AG1079" t="n">
        <v>25</v>
      </c>
      <c r="AH1079" t="n">
        <v>4</v>
      </c>
      <c r="AI1079" t="n">
        <v>9</v>
      </c>
      <c r="AJ1079" t="n">
        <v>1</v>
      </c>
      <c r="AK1079" t="n">
        <v>4</v>
      </c>
      <c r="AL1079" t="n">
        <v>5</v>
      </c>
      <c r="AM1079" t="n">
        <v>14</v>
      </c>
      <c r="AN1079" t="n">
        <v>0</v>
      </c>
      <c r="AO1079" t="n">
        <v>2</v>
      </c>
      <c r="AP1079" t="n">
        <v>0</v>
      </c>
      <c r="AQ1079" t="n">
        <v>1</v>
      </c>
      <c r="AR1079" t="inlineStr">
        <is>
          <t>No</t>
        </is>
      </c>
      <c r="AS1079" t="inlineStr">
        <is>
          <t>No</t>
        </is>
      </c>
      <c r="AU1079">
        <f>HYPERLINK("https://creighton-primo.hosted.exlibrisgroup.com/primo-explore/search?tab=default_tab&amp;search_scope=EVERYTHING&amp;vid=01CRU&amp;lang=en_US&amp;offset=0&amp;query=any,contains,991000422559702656","Catalog Record")</f>
        <v/>
      </c>
      <c r="AV1079">
        <f>HYPERLINK("http://www.worldcat.org/oclc/54686581","WorldCat Record")</f>
        <v/>
      </c>
      <c r="AW1079" t="inlineStr">
        <is>
          <t>4916898151:eng</t>
        </is>
      </c>
      <c r="AX1079" t="inlineStr">
        <is>
          <t>54686581</t>
        </is>
      </c>
      <c r="AY1079" t="inlineStr">
        <is>
          <t>991000422559702656</t>
        </is>
      </c>
      <c r="AZ1079" t="inlineStr">
        <is>
          <t>991000422559702656</t>
        </is>
      </c>
      <c r="BA1079" t="inlineStr">
        <is>
          <t>2262676840002656</t>
        </is>
      </c>
      <c r="BB1079" t="inlineStr">
        <is>
          <t>BOOK</t>
        </is>
      </c>
      <c r="BD1079" t="inlineStr">
        <is>
          <t>9780721603308</t>
        </is>
      </c>
      <c r="BE1079" t="inlineStr">
        <is>
          <t>30001004926293</t>
        </is>
      </c>
      <c r="BF1079" t="inlineStr">
        <is>
          <t>893633868</t>
        </is>
      </c>
    </row>
    <row r="1080">
      <c r="A1080" t="inlineStr">
        <is>
          <t>No</t>
        </is>
      </c>
      <c r="B1080" t="inlineStr">
        <is>
          <t>CUHSL</t>
        </is>
      </c>
      <c r="C1080" t="inlineStr">
        <is>
          <t>SHELVES</t>
        </is>
      </c>
      <c r="D1080" t="inlineStr">
        <is>
          <t>WY 101 H393n 1998</t>
        </is>
      </c>
      <c r="E1080" t="inlineStr">
        <is>
          <t>0                      WY 0101000H  393n        1998</t>
        </is>
      </c>
      <c r="F1080" t="inlineStr">
        <is>
          <t>Nurse-social worker collaboration in managed care : a model of community case management / Joellen W. Hawkins, Nancy W. Veeder, Carole W. Pearce.</t>
        </is>
      </c>
      <c r="H1080" t="inlineStr">
        <is>
          <t>No</t>
        </is>
      </c>
      <c r="I1080" t="inlineStr">
        <is>
          <t>1</t>
        </is>
      </c>
      <c r="J1080" t="inlineStr">
        <is>
          <t>No</t>
        </is>
      </c>
      <c r="K1080" t="inlineStr">
        <is>
          <t>No</t>
        </is>
      </c>
      <c r="L1080" t="inlineStr">
        <is>
          <t>0</t>
        </is>
      </c>
      <c r="M1080" t="inlineStr">
        <is>
          <t>Hawkins, Joellen Watson.</t>
        </is>
      </c>
      <c r="N1080" t="inlineStr">
        <is>
          <t>New York : Springer Pub. Co., c1998.</t>
        </is>
      </c>
      <c r="O1080" t="inlineStr">
        <is>
          <t>1998</t>
        </is>
      </c>
      <c r="Q1080" t="inlineStr">
        <is>
          <t>eng</t>
        </is>
      </c>
      <c r="R1080" t="inlineStr">
        <is>
          <t>nyu</t>
        </is>
      </c>
      <c r="T1080" t="inlineStr">
        <is>
          <t xml:space="preserve">WY </t>
        </is>
      </c>
      <c r="U1080" t="n">
        <v>2</v>
      </c>
      <c r="V1080" t="n">
        <v>2</v>
      </c>
      <c r="W1080" t="inlineStr">
        <is>
          <t>2002-09-26</t>
        </is>
      </c>
      <c r="X1080" t="inlineStr">
        <is>
          <t>2002-09-26</t>
        </is>
      </c>
      <c r="Y1080" t="inlineStr">
        <is>
          <t>1998-05-01</t>
        </is>
      </c>
      <c r="Z1080" t="inlineStr">
        <is>
          <t>1998-05-01</t>
        </is>
      </c>
      <c r="AA1080" t="n">
        <v>272</v>
      </c>
      <c r="AB1080" t="n">
        <v>231</v>
      </c>
      <c r="AC1080" t="n">
        <v>233</v>
      </c>
      <c r="AD1080" t="n">
        <v>1</v>
      </c>
      <c r="AE1080" t="n">
        <v>1</v>
      </c>
      <c r="AF1080" t="n">
        <v>16</v>
      </c>
      <c r="AG1080" t="n">
        <v>16</v>
      </c>
      <c r="AH1080" t="n">
        <v>6</v>
      </c>
      <c r="AI1080" t="n">
        <v>6</v>
      </c>
      <c r="AJ1080" t="n">
        <v>4</v>
      </c>
      <c r="AK1080" t="n">
        <v>4</v>
      </c>
      <c r="AL1080" t="n">
        <v>9</v>
      </c>
      <c r="AM1080" t="n">
        <v>9</v>
      </c>
      <c r="AN1080" t="n">
        <v>0</v>
      </c>
      <c r="AO1080" t="n">
        <v>0</v>
      </c>
      <c r="AP1080" t="n">
        <v>0</v>
      </c>
      <c r="AQ1080" t="n">
        <v>0</v>
      </c>
      <c r="AR1080" t="inlineStr">
        <is>
          <t>No</t>
        </is>
      </c>
      <c r="AS1080" t="inlineStr">
        <is>
          <t>Yes</t>
        </is>
      </c>
      <c r="AT1080">
        <f>HYPERLINK("http://catalog.hathitrust.org/Record/003242302","HathiTrust Record")</f>
        <v/>
      </c>
      <c r="AU1080">
        <f>HYPERLINK("https://creighton-primo.hosted.exlibrisgroup.com/primo-explore/search?tab=default_tab&amp;search_scope=EVERYTHING&amp;vid=01CRU&amp;lang=en_US&amp;offset=0&amp;query=any,contains,991000901029702656","Catalog Record")</f>
        <v/>
      </c>
      <c r="AV1080">
        <f>HYPERLINK("http://www.worldcat.org/oclc/37179497","WorldCat Record")</f>
        <v/>
      </c>
      <c r="AW1080" t="inlineStr">
        <is>
          <t>629196:eng</t>
        </is>
      </c>
      <c r="AX1080" t="inlineStr">
        <is>
          <t>37179497</t>
        </is>
      </c>
      <c r="AY1080" t="inlineStr">
        <is>
          <t>991000901029702656</t>
        </is>
      </c>
      <c r="AZ1080" t="inlineStr">
        <is>
          <t>991000901029702656</t>
        </is>
      </c>
      <c r="BA1080" t="inlineStr">
        <is>
          <t>2256561430002656</t>
        </is>
      </c>
      <c r="BB1080" t="inlineStr">
        <is>
          <t>BOOK</t>
        </is>
      </c>
      <c r="BD1080" t="inlineStr">
        <is>
          <t>9780826198303</t>
        </is>
      </c>
      <c r="BE1080" t="inlineStr">
        <is>
          <t>30001004176238</t>
        </is>
      </c>
      <c r="BF1080" t="inlineStr">
        <is>
          <t>893632455</t>
        </is>
      </c>
    </row>
    <row r="1081">
      <c r="A1081" t="inlineStr">
        <is>
          <t>No</t>
        </is>
      </c>
      <c r="B1081" t="inlineStr">
        <is>
          <t>CUHSL</t>
        </is>
      </c>
      <c r="C1081" t="inlineStr">
        <is>
          <t>SHELVES</t>
        </is>
      </c>
      <c r="D1081" t="inlineStr">
        <is>
          <t>WY 101 L439f 1982</t>
        </is>
      </c>
      <c r="E1081" t="inlineStr">
        <is>
          <t>0                      WY 0101000L  439f        1982</t>
        </is>
      </c>
      <c r="F1081" t="inlineStr">
        <is>
          <t>Families at risk : primary prevention in nursing practice / Maribelle Bryde Leavitt.</t>
        </is>
      </c>
      <c r="H1081" t="inlineStr">
        <is>
          <t>No</t>
        </is>
      </c>
      <c r="I1081" t="inlineStr">
        <is>
          <t>1</t>
        </is>
      </c>
      <c r="J1081" t="inlineStr">
        <is>
          <t>No</t>
        </is>
      </c>
      <c r="K1081" t="inlineStr">
        <is>
          <t>No</t>
        </is>
      </c>
      <c r="L1081" t="inlineStr">
        <is>
          <t>0</t>
        </is>
      </c>
      <c r="M1081" t="inlineStr">
        <is>
          <t>Leavitt, Maribelle Bryde.</t>
        </is>
      </c>
      <c r="N1081" t="inlineStr">
        <is>
          <t>Boston, Mass. : Little, Brown, c1982.</t>
        </is>
      </c>
      <c r="O1081" t="inlineStr">
        <is>
          <t>1982</t>
        </is>
      </c>
      <c r="Q1081" t="inlineStr">
        <is>
          <t>eng</t>
        </is>
      </c>
      <c r="R1081" t="inlineStr">
        <is>
          <t>mau</t>
        </is>
      </c>
      <c r="T1081" t="inlineStr">
        <is>
          <t xml:space="preserve">WY </t>
        </is>
      </c>
      <c r="U1081" t="n">
        <v>2</v>
      </c>
      <c r="V1081" t="n">
        <v>2</v>
      </c>
      <c r="W1081" t="inlineStr">
        <is>
          <t>1991-07-29</t>
        </is>
      </c>
      <c r="X1081" t="inlineStr">
        <is>
          <t>1991-07-29</t>
        </is>
      </c>
      <c r="Y1081" t="inlineStr">
        <is>
          <t>1987-10-22</t>
        </is>
      </c>
      <c r="Z1081" t="inlineStr">
        <is>
          <t>1987-10-22</t>
        </is>
      </c>
      <c r="AA1081" t="n">
        <v>186</v>
      </c>
      <c r="AB1081" t="n">
        <v>154</v>
      </c>
      <c r="AC1081" t="n">
        <v>158</v>
      </c>
      <c r="AD1081" t="n">
        <v>2</v>
      </c>
      <c r="AE1081" t="n">
        <v>2</v>
      </c>
      <c r="AF1081" t="n">
        <v>6</v>
      </c>
      <c r="AG1081" t="n">
        <v>6</v>
      </c>
      <c r="AH1081" t="n">
        <v>2</v>
      </c>
      <c r="AI1081" t="n">
        <v>2</v>
      </c>
      <c r="AJ1081" t="n">
        <v>2</v>
      </c>
      <c r="AK1081" t="n">
        <v>2</v>
      </c>
      <c r="AL1081" t="n">
        <v>3</v>
      </c>
      <c r="AM1081" t="n">
        <v>3</v>
      </c>
      <c r="AN1081" t="n">
        <v>0</v>
      </c>
      <c r="AO1081" t="n">
        <v>0</v>
      </c>
      <c r="AP1081" t="n">
        <v>0</v>
      </c>
      <c r="AQ1081" t="n">
        <v>0</v>
      </c>
      <c r="AR1081" t="inlineStr">
        <is>
          <t>No</t>
        </is>
      </c>
      <c r="AS1081" t="inlineStr">
        <is>
          <t>Yes</t>
        </is>
      </c>
      <c r="AT1081">
        <f>HYPERLINK("http://catalog.hathitrust.org/Record/000277453","HathiTrust Record")</f>
        <v/>
      </c>
      <c r="AU1081">
        <f>HYPERLINK("https://creighton-primo.hosted.exlibrisgroup.com/primo-explore/search?tab=default_tab&amp;search_scope=EVERYTHING&amp;vid=01CRU&amp;lang=en_US&amp;offset=0&amp;query=any,contains,991000736859702656","Catalog Record")</f>
        <v/>
      </c>
      <c r="AV1081">
        <f>HYPERLINK("http://www.worldcat.org/oclc/8501222","WorldCat Record")</f>
        <v/>
      </c>
      <c r="AW1081" t="inlineStr">
        <is>
          <t>307987943:eng</t>
        </is>
      </c>
      <c r="AX1081" t="inlineStr">
        <is>
          <t>8501222</t>
        </is>
      </c>
      <c r="AY1081" t="inlineStr">
        <is>
          <t>991000736859702656</t>
        </is>
      </c>
      <c r="AZ1081" t="inlineStr">
        <is>
          <t>991000736859702656</t>
        </is>
      </c>
      <c r="BA1081" t="inlineStr">
        <is>
          <t>2263130710002656</t>
        </is>
      </c>
      <c r="BB1081" t="inlineStr">
        <is>
          <t>BOOK</t>
        </is>
      </c>
      <c r="BE1081" t="inlineStr">
        <is>
          <t>30001000041956</t>
        </is>
      </c>
      <c r="BF1081" t="inlineStr">
        <is>
          <t>893726628</t>
        </is>
      </c>
    </row>
    <row r="1082">
      <c r="A1082" t="inlineStr">
        <is>
          <t>No</t>
        </is>
      </c>
      <c r="B1082" t="inlineStr">
        <is>
          <t>CUHSL</t>
        </is>
      </c>
      <c r="C1082" t="inlineStr">
        <is>
          <t>SHELVES</t>
        </is>
      </c>
      <c r="D1082" t="inlineStr">
        <is>
          <t>WY 101 L496 1998</t>
        </is>
      </c>
      <c r="E1082" t="inlineStr">
        <is>
          <t>0                      WY 0101000L  496         1998</t>
        </is>
      </c>
      <c r="F1082" t="inlineStr">
        <is>
          <t>Legal nurse consulting : principles and practice / American Association of Legal Nurse Consultants ; edited by Julie Brewer Bogart ; associate editors, Shirley Cantwell Davis ... [et al.].</t>
        </is>
      </c>
      <c r="H1082" t="inlineStr">
        <is>
          <t>No</t>
        </is>
      </c>
      <c r="I1082" t="inlineStr">
        <is>
          <t>1</t>
        </is>
      </c>
      <c r="J1082" t="inlineStr">
        <is>
          <t>No</t>
        </is>
      </c>
      <c r="K1082" t="inlineStr">
        <is>
          <t>No</t>
        </is>
      </c>
      <c r="L1082" t="inlineStr">
        <is>
          <t>0</t>
        </is>
      </c>
      <c r="N1082" t="inlineStr">
        <is>
          <t>Boca Raton [Fla.] : CRC Press, c1998.</t>
        </is>
      </c>
      <c r="O1082" t="inlineStr">
        <is>
          <t>1998</t>
        </is>
      </c>
      <c r="Q1082" t="inlineStr">
        <is>
          <t>eng</t>
        </is>
      </c>
      <c r="R1082" t="inlineStr">
        <is>
          <t>flu</t>
        </is>
      </c>
      <c r="T1082" t="inlineStr">
        <is>
          <t xml:space="preserve">WY </t>
        </is>
      </c>
      <c r="U1082" t="n">
        <v>3</v>
      </c>
      <c r="V1082" t="n">
        <v>3</v>
      </c>
      <c r="W1082" t="inlineStr">
        <is>
          <t>1999-11-05</t>
        </is>
      </c>
      <c r="X1082" t="inlineStr">
        <is>
          <t>1999-11-05</t>
        </is>
      </c>
      <c r="Y1082" t="inlineStr">
        <is>
          <t>1999-09-24</t>
        </is>
      </c>
      <c r="Z1082" t="inlineStr">
        <is>
          <t>1999-09-24</t>
        </is>
      </c>
      <c r="AA1082" t="n">
        <v>177</v>
      </c>
      <c r="AB1082" t="n">
        <v>163</v>
      </c>
      <c r="AC1082" t="n">
        <v>165</v>
      </c>
      <c r="AD1082" t="n">
        <v>1</v>
      </c>
      <c r="AE1082" t="n">
        <v>1</v>
      </c>
      <c r="AF1082" t="n">
        <v>9</v>
      </c>
      <c r="AG1082" t="n">
        <v>9</v>
      </c>
      <c r="AH1082" t="n">
        <v>2</v>
      </c>
      <c r="AI1082" t="n">
        <v>2</v>
      </c>
      <c r="AJ1082" t="n">
        <v>2</v>
      </c>
      <c r="AK1082" t="n">
        <v>2</v>
      </c>
      <c r="AL1082" t="n">
        <v>2</v>
      </c>
      <c r="AM1082" t="n">
        <v>2</v>
      </c>
      <c r="AN1082" t="n">
        <v>0</v>
      </c>
      <c r="AO1082" t="n">
        <v>0</v>
      </c>
      <c r="AP1082" t="n">
        <v>5</v>
      </c>
      <c r="AQ1082" t="n">
        <v>5</v>
      </c>
      <c r="AR1082" t="inlineStr">
        <is>
          <t>No</t>
        </is>
      </c>
      <c r="AS1082" t="inlineStr">
        <is>
          <t>Yes</t>
        </is>
      </c>
      <c r="AT1082">
        <f>HYPERLINK("http://catalog.hathitrust.org/Record/003968770","HathiTrust Record")</f>
        <v/>
      </c>
      <c r="AU1082">
        <f>HYPERLINK("https://creighton-primo.hosted.exlibrisgroup.com/primo-explore/search?tab=default_tab&amp;search_scope=EVERYTHING&amp;vid=01CRU&amp;lang=en_US&amp;offset=0&amp;query=any,contains,991001338379702656","Catalog Record")</f>
        <v/>
      </c>
      <c r="AV1082">
        <f>HYPERLINK("http://www.worldcat.org/oclc/38016685","WorldCat Record")</f>
        <v/>
      </c>
      <c r="AW1082" t="inlineStr">
        <is>
          <t>474986835:eng</t>
        </is>
      </c>
      <c r="AX1082" t="inlineStr">
        <is>
          <t>38016685</t>
        </is>
      </c>
      <c r="AY1082" t="inlineStr">
        <is>
          <t>991001338379702656</t>
        </is>
      </c>
      <c r="AZ1082" t="inlineStr">
        <is>
          <t>991001338379702656</t>
        </is>
      </c>
      <c r="BA1082" t="inlineStr">
        <is>
          <t>2266861310002656</t>
        </is>
      </c>
      <c r="BB1082" t="inlineStr">
        <is>
          <t>BOOK</t>
        </is>
      </c>
      <c r="BD1082" t="inlineStr">
        <is>
          <t>9781574441239</t>
        </is>
      </c>
      <c r="BE1082" t="inlineStr">
        <is>
          <t>30001003790922</t>
        </is>
      </c>
      <c r="BF1082" t="inlineStr">
        <is>
          <t>893557851</t>
        </is>
      </c>
    </row>
    <row r="1083">
      <c r="A1083" t="inlineStr">
        <is>
          <t>No</t>
        </is>
      </c>
      <c r="B1083" t="inlineStr">
        <is>
          <t>CUHSL</t>
        </is>
      </c>
      <c r="C1083" t="inlineStr">
        <is>
          <t>SHELVES</t>
        </is>
      </c>
      <c r="D1083" t="inlineStr">
        <is>
          <t>WY 101 M268d 1987</t>
        </is>
      </c>
      <c r="E1083" t="inlineStr">
        <is>
          <t>0                      WY 0101000M  268d        1987</t>
        </is>
      </c>
      <c r="F1083" t="inlineStr">
        <is>
          <t>Decision making in emergency nursing / Mary E. Mancini.</t>
        </is>
      </c>
      <c r="H1083" t="inlineStr">
        <is>
          <t>No</t>
        </is>
      </c>
      <c r="I1083" t="inlineStr">
        <is>
          <t>1</t>
        </is>
      </c>
      <c r="J1083" t="inlineStr">
        <is>
          <t>No</t>
        </is>
      </c>
      <c r="K1083" t="inlineStr">
        <is>
          <t>No</t>
        </is>
      </c>
      <c r="L1083" t="inlineStr">
        <is>
          <t>0</t>
        </is>
      </c>
      <c r="M1083" t="inlineStr">
        <is>
          <t>Mancini, Mary E.</t>
        </is>
      </c>
      <c r="N1083" t="inlineStr">
        <is>
          <t>Philadelphia, PA : B.C. Decker ; St. Louis, MO : Distributed by Mosby, c1987.</t>
        </is>
      </c>
      <c r="O1083" t="inlineStr">
        <is>
          <t>1987</t>
        </is>
      </c>
      <c r="Q1083" t="inlineStr">
        <is>
          <t>eng</t>
        </is>
      </c>
      <c r="R1083" t="inlineStr">
        <is>
          <t>pau</t>
        </is>
      </c>
      <c r="S1083" t="inlineStr">
        <is>
          <t>Decision making series</t>
        </is>
      </c>
      <c r="T1083" t="inlineStr">
        <is>
          <t xml:space="preserve">WY </t>
        </is>
      </c>
      <c r="U1083" t="n">
        <v>2</v>
      </c>
      <c r="V1083" t="n">
        <v>2</v>
      </c>
      <c r="W1083" t="inlineStr">
        <is>
          <t>2003-06-23</t>
        </is>
      </c>
      <c r="X1083" t="inlineStr">
        <is>
          <t>2003-06-23</t>
        </is>
      </c>
      <c r="Y1083" t="inlineStr">
        <is>
          <t>1987-10-21</t>
        </is>
      </c>
      <c r="Z1083" t="inlineStr">
        <is>
          <t>1987-10-21</t>
        </is>
      </c>
      <c r="AA1083" t="n">
        <v>141</v>
      </c>
      <c r="AB1083" t="n">
        <v>112</v>
      </c>
      <c r="AC1083" t="n">
        <v>116</v>
      </c>
      <c r="AD1083" t="n">
        <v>1</v>
      </c>
      <c r="AE1083" t="n">
        <v>1</v>
      </c>
      <c r="AF1083" t="n">
        <v>2</v>
      </c>
      <c r="AG1083" t="n">
        <v>2</v>
      </c>
      <c r="AH1083" t="n">
        <v>1</v>
      </c>
      <c r="AI1083" t="n">
        <v>1</v>
      </c>
      <c r="AJ1083" t="n">
        <v>0</v>
      </c>
      <c r="AK1083" t="n">
        <v>0</v>
      </c>
      <c r="AL1083" t="n">
        <v>1</v>
      </c>
      <c r="AM1083" t="n">
        <v>1</v>
      </c>
      <c r="AN1083" t="n">
        <v>0</v>
      </c>
      <c r="AO1083" t="n">
        <v>0</v>
      </c>
      <c r="AP1083" t="n">
        <v>0</v>
      </c>
      <c r="AQ1083" t="n">
        <v>0</v>
      </c>
      <c r="AR1083" t="inlineStr">
        <is>
          <t>No</t>
        </is>
      </c>
      <c r="AS1083" t="inlineStr">
        <is>
          <t>Yes</t>
        </is>
      </c>
      <c r="AT1083">
        <f>HYPERLINK("http://catalog.hathitrust.org/Record/000845952","HathiTrust Record")</f>
        <v/>
      </c>
      <c r="AU1083">
        <f>HYPERLINK("https://creighton-primo.hosted.exlibrisgroup.com/primo-explore/search?tab=default_tab&amp;search_scope=EVERYTHING&amp;vid=01CRU&amp;lang=en_US&amp;offset=0&amp;query=any,contains,991001527629702656","Catalog Record")</f>
        <v/>
      </c>
      <c r="AV1083">
        <f>HYPERLINK("http://www.worldcat.org/oclc/16016659","WorldCat Record")</f>
        <v/>
      </c>
      <c r="AW1083" t="inlineStr">
        <is>
          <t>11201614:eng</t>
        </is>
      </c>
      <c r="AX1083" t="inlineStr">
        <is>
          <t>16016659</t>
        </is>
      </c>
      <c r="AY1083" t="inlineStr">
        <is>
          <t>991001527629702656</t>
        </is>
      </c>
      <c r="AZ1083" t="inlineStr">
        <is>
          <t>991001527629702656</t>
        </is>
      </c>
      <c r="BA1083" t="inlineStr">
        <is>
          <t>2258504410002656</t>
        </is>
      </c>
      <c r="BB1083" t="inlineStr">
        <is>
          <t>BOOK</t>
        </is>
      </c>
      <c r="BD1083" t="inlineStr">
        <is>
          <t>9781556640032</t>
        </is>
      </c>
      <c r="BE1083" t="inlineStr">
        <is>
          <t>30001000620288</t>
        </is>
      </c>
      <c r="BF1083" t="inlineStr">
        <is>
          <t>893643667</t>
        </is>
      </c>
    </row>
    <row r="1084">
      <c r="A1084" t="inlineStr">
        <is>
          <t>No</t>
        </is>
      </c>
      <c r="B1084" t="inlineStr">
        <is>
          <t>CUHSL</t>
        </is>
      </c>
      <c r="C1084" t="inlineStr">
        <is>
          <t>SHELVES</t>
        </is>
      </c>
      <c r="D1084" t="inlineStr">
        <is>
          <t>WY 101 M358p 1979</t>
        </is>
      </c>
      <c r="E1084" t="inlineStr">
        <is>
          <t>0                      WY 0101000M  358p        1979</t>
        </is>
      </c>
      <c r="F1084" t="inlineStr">
        <is>
          <t>Primary nursing : a model for individualized care / Gwen Marram, Margaret W. Barrett, Em Olivia Bevis.</t>
        </is>
      </c>
      <c r="H1084" t="inlineStr">
        <is>
          <t>No</t>
        </is>
      </c>
      <c r="I1084" t="inlineStr">
        <is>
          <t>1</t>
        </is>
      </c>
      <c r="J1084" t="inlineStr">
        <is>
          <t>No</t>
        </is>
      </c>
      <c r="K1084" t="inlineStr">
        <is>
          <t>No</t>
        </is>
      </c>
      <c r="L1084" t="inlineStr">
        <is>
          <t>0</t>
        </is>
      </c>
      <c r="M1084" t="inlineStr">
        <is>
          <t>Van Servellen, Gwen, 1942-</t>
        </is>
      </c>
      <c r="N1084" t="inlineStr">
        <is>
          <t>St. Louis : Mosby, 1979.</t>
        </is>
      </c>
      <c r="O1084" t="inlineStr">
        <is>
          <t>1979</t>
        </is>
      </c>
      <c r="P1084" t="inlineStr">
        <is>
          <t>2d ed.</t>
        </is>
      </c>
      <c r="Q1084" t="inlineStr">
        <is>
          <t>eng</t>
        </is>
      </c>
      <c r="R1084" t="inlineStr">
        <is>
          <t>mou</t>
        </is>
      </c>
      <c r="T1084" t="inlineStr">
        <is>
          <t xml:space="preserve">WY </t>
        </is>
      </c>
      <c r="U1084" t="n">
        <v>3</v>
      </c>
      <c r="V1084" t="n">
        <v>3</v>
      </c>
      <c r="W1084" t="inlineStr">
        <is>
          <t>1990-11-11</t>
        </is>
      </c>
      <c r="X1084" t="inlineStr">
        <is>
          <t>1990-11-11</t>
        </is>
      </c>
      <c r="Y1084" t="inlineStr">
        <is>
          <t>1987-10-22</t>
        </is>
      </c>
      <c r="Z1084" t="inlineStr">
        <is>
          <t>1987-10-22</t>
        </is>
      </c>
      <c r="AA1084" t="n">
        <v>244</v>
      </c>
      <c r="AB1084" t="n">
        <v>184</v>
      </c>
      <c r="AC1084" t="n">
        <v>280</v>
      </c>
      <c r="AD1084" t="n">
        <v>2</v>
      </c>
      <c r="AE1084" t="n">
        <v>2</v>
      </c>
      <c r="AF1084" t="n">
        <v>6</v>
      </c>
      <c r="AG1084" t="n">
        <v>10</v>
      </c>
      <c r="AH1084" t="n">
        <v>3</v>
      </c>
      <c r="AI1084" t="n">
        <v>4</v>
      </c>
      <c r="AJ1084" t="n">
        <v>1</v>
      </c>
      <c r="AK1084" t="n">
        <v>1</v>
      </c>
      <c r="AL1084" t="n">
        <v>3</v>
      </c>
      <c r="AM1084" t="n">
        <v>6</v>
      </c>
      <c r="AN1084" t="n">
        <v>1</v>
      </c>
      <c r="AO1084" t="n">
        <v>1</v>
      </c>
      <c r="AP1084" t="n">
        <v>0</v>
      </c>
      <c r="AQ1084" t="n">
        <v>0</v>
      </c>
      <c r="AR1084" t="inlineStr">
        <is>
          <t>No</t>
        </is>
      </c>
      <c r="AS1084" t="inlineStr">
        <is>
          <t>Yes</t>
        </is>
      </c>
      <c r="AT1084">
        <f>HYPERLINK("http://catalog.hathitrust.org/Record/000725764","HathiTrust Record")</f>
        <v/>
      </c>
      <c r="AU1084">
        <f>HYPERLINK("https://creighton-primo.hosted.exlibrisgroup.com/primo-explore/search?tab=default_tab&amp;search_scope=EVERYTHING&amp;vid=01CRU&amp;lang=en_US&amp;offset=0&amp;query=any,contains,991000736899702656","Catalog Record")</f>
        <v/>
      </c>
      <c r="AV1084">
        <f>HYPERLINK("http://www.worldcat.org/oclc/4591624","WorldCat Record")</f>
        <v/>
      </c>
      <c r="AW1084" t="inlineStr">
        <is>
          <t>836619720:eng</t>
        </is>
      </c>
      <c r="AX1084" t="inlineStr">
        <is>
          <t>4591624</t>
        </is>
      </c>
      <c r="AY1084" t="inlineStr">
        <is>
          <t>991000736899702656</t>
        </is>
      </c>
      <c r="AZ1084" t="inlineStr">
        <is>
          <t>991000736899702656</t>
        </is>
      </c>
      <c r="BA1084" t="inlineStr">
        <is>
          <t>2265793220002656</t>
        </is>
      </c>
      <c r="BB1084" t="inlineStr">
        <is>
          <t>BOOK</t>
        </is>
      </c>
      <c r="BD1084" t="inlineStr">
        <is>
          <t>9780801631252</t>
        </is>
      </c>
      <c r="BE1084" t="inlineStr">
        <is>
          <t>30001000041964</t>
        </is>
      </c>
      <c r="BF1084" t="inlineStr">
        <is>
          <t>893454792</t>
        </is>
      </c>
    </row>
    <row r="1085">
      <c r="A1085" t="inlineStr">
        <is>
          <t>No</t>
        </is>
      </c>
      <c r="B1085" t="inlineStr">
        <is>
          <t>CUHSL</t>
        </is>
      </c>
      <c r="C1085" t="inlineStr">
        <is>
          <t>SHELVES</t>
        </is>
      </c>
      <c r="D1085" t="inlineStr">
        <is>
          <t>WY 101 N277s 1967</t>
        </is>
      </c>
      <c r="E1085" t="inlineStr">
        <is>
          <t>0                      WY 0101000N  277s        1967</t>
        </is>
      </c>
      <c r="F1085" t="inlineStr">
        <is>
          <t>The shifting scene - structure for strength : papers presented at the first conference and at meetings held jointly with the Council of Public Health Nursing Services, Las Vegas, Nevada, November 14-16, 1967.</t>
        </is>
      </c>
      <c r="H1085" t="inlineStr">
        <is>
          <t>No</t>
        </is>
      </c>
      <c r="I1085" t="inlineStr">
        <is>
          <t>1</t>
        </is>
      </c>
      <c r="J1085" t="inlineStr">
        <is>
          <t>No</t>
        </is>
      </c>
      <c r="K1085" t="inlineStr">
        <is>
          <t>No</t>
        </is>
      </c>
      <c r="L1085" t="inlineStr">
        <is>
          <t>0</t>
        </is>
      </c>
      <c r="M1085" t="inlineStr">
        <is>
          <t>National League for Nursing. Council of Baccalaureate and Higher Degree Programs.</t>
        </is>
      </c>
      <c r="N1085" t="inlineStr">
        <is>
          <t>New York : National League for Nursing, 1968.</t>
        </is>
      </c>
      <c r="O1085" t="inlineStr">
        <is>
          <t>1968</t>
        </is>
      </c>
      <c r="Q1085" t="inlineStr">
        <is>
          <t>eng</t>
        </is>
      </c>
      <c r="R1085" t="inlineStr">
        <is>
          <t xml:space="preserve">xx </t>
        </is>
      </c>
      <c r="S1085" t="inlineStr">
        <is>
          <t>NLN pub. no. 15-1316</t>
        </is>
      </c>
      <c r="T1085" t="inlineStr">
        <is>
          <t xml:space="preserve">WY </t>
        </is>
      </c>
      <c r="U1085" t="n">
        <v>1</v>
      </c>
      <c r="V1085" t="n">
        <v>1</v>
      </c>
      <c r="W1085" t="inlineStr">
        <is>
          <t>1990-04-06</t>
        </is>
      </c>
      <c r="X1085" t="inlineStr">
        <is>
          <t>1990-04-06</t>
        </is>
      </c>
      <c r="Y1085" t="inlineStr">
        <is>
          <t>1987-10-20</t>
        </is>
      </c>
      <c r="Z1085" t="inlineStr">
        <is>
          <t>1987-10-20</t>
        </is>
      </c>
      <c r="AA1085" t="n">
        <v>44</v>
      </c>
      <c r="AB1085" t="n">
        <v>38</v>
      </c>
      <c r="AC1085" t="n">
        <v>38</v>
      </c>
      <c r="AD1085" t="n">
        <v>1</v>
      </c>
      <c r="AE1085" t="n">
        <v>1</v>
      </c>
      <c r="AF1085" t="n">
        <v>1</v>
      </c>
      <c r="AG1085" t="n">
        <v>1</v>
      </c>
      <c r="AH1085" t="n">
        <v>0</v>
      </c>
      <c r="AI1085" t="n">
        <v>0</v>
      </c>
      <c r="AJ1085" t="n">
        <v>0</v>
      </c>
      <c r="AK1085" t="n">
        <v>0</v>
      </c>
      <c r="AL1085" t="n">
        <v>1</v>
      </c>
      <c r="AM1085" t="n">
        <v>1</v>
      </c>
      <c r="AN1085" t="n">
        <v>0</v>
      </c>
      <c r="AO1085" t="n">
        <v>0</v>
      </c>
      <c r="AP1085" t="n">
        <v>0</v>
      </c>
      <c r="AQ1085" t="n">
        <v>0</v>
      </c>
      <c r="AR1085" t="inlineStr">
        <is>
          <t>No</t>
        </is>
      </c>
      <c r="AS1085" t="inlineStr">
        <is>
          <t>No</t>
        </is>
      </c>
      <c r="AU1085">
        <f>HYPERLINK("https://creighton-primo.hosted.exlibrisgroup.com/primo-explore/search?tab=default_tab&amp;search_scope=EVERYTHING&amp;vid=01CRU&amp;lang=en_US&amp;offset=0&amp;query=any,contains,991001367919702656","Catalog Record")</f>
        <v/>
      </c>
      <c r="AV1085">
        <f>HYPERLINK("http://www.worldcat.org/oclc/432784","WorldCat Record")</f>
        <v/>
      </c>
      <c r="AW1085" t="inlineStr">
        <is>
          <t>5395103011:eng</t>
        </is>
      </c>
      <c r="AX1085" t="inlineStr">
        <is>
          <t>432784</t>
        </is>
      </c>
      <c r="AY1085" t="inlineStr">
        <is>
          <t>991001367919702656</t>
        </is>
      </c>
      <c r="AZ1085" t="inlineStr">
        <is>
          <t>991001367919702656</t>
        </is>
      </c>
      <c r="BA1085" t="inlineStr">
        <is>
          <t>2255185580002656</t>
        </is>
      </c>
      <c r="BB1085" t="inlineStr">
        <is>
          <t>BOOK</t>
        </is>
      </c>
      <c r="BE1085" t="inlineStr">
        <is>
          <t>30001000461352</t>
        </is>
      </c>
      <c r="BF1085" t="inlineStr">
        <is>
          <t>893832123</t>
        </is>
      </c>
    </row>
    <row r="1086">
      <c r="A1086" t="inlineStr">
        <is>
          <t>No</t>
        </is>
      </c>
      <c r="B1086" t="inlineStr">
        <is>
          <t>CUHSL</t>
        </is>
      </c>
      <c r="C1086" t="inlineStr">
        <is>
          <t>SHELVES</t>
        </is>
      </c>
      <c r="D1086" t="inlineStr">
        <is>
          <t>WY 101 N974 1989</t>
        </is>
      </c>
      <c r="E1086" t="inlineStr">
        <is>
          <t>0                      WY 0101000N  974         1989</t>
        </is>
      </c>
      <c r="F1086" t="inlineStr">
        <is>
          <t>Nursing centers : meeting the demand for quality health care.</t>
        </is>
      </c>
      <c r="H1086" t="inlineStr">
        <is>
          <t>No</t>
        </is>
      </c>
      <c r="I1086" t="inlineStr">
        <is>
          <t>1</t>
        </is>
      </c>
      <c r="J1086" t="inlineStr">
        <is>
          <t>No</t>
        </is>
      </c>
      <c r="K1086" t="inlineStr">
        <is>
          <t>No</t>
        </is>
      </c>
      <c r="L1086" t="inlineStr">
        <is>
          <t>0</t>
        </is>
      </c>
      <c r="N1086" t="inlineStr">
        <is>
          <t>New York : National League for Nursing, c1989.</t>
        </is>
      </c>
      <c r="O1086" t="inlineStr">
        <is>
          <t>1989</t>
        </is>
      </c>
      <c r="Q1086" t="inlineStr">
        <is>
          <t>eng</t>
        </is>
      </c>
      <c r="R1086" t="inlineStr">
        <is>
          <t>nyu</t>
        </is>
      </c>
      <c r="S1086" t="inlineStr">
        <is>
          <t>NLN pub. no. 21-2311.</t>
        </is>
      </c>
      <c r="T1086" t="inlineStr">
        <is>
          <t xml:space="preserve">WY </t>
        </is>
      </c>
      <c r="U1086" t="n">
        <v>6</v>
      </c>
      <c r="V1086" t="n">
        <v>6</v>
      </c>
      <c r="W1086" t="inlineStr">
        <is>
          <t>1993-04-14</t>
        </is>
      </c>
      <c r="X1086" t="inlineStr">
        <is>
          <t>1993-04-14</t>
        </is>
      </c>
      <c r="Y1086" t="inlineStr">
        <is>
          <t>1990-01-31</t>
        </is>
      </c>
      <c r="Z1086" t="inlineStr">
        <is>
          <t>1990-01-31</t>
        </is>
      </c>
      <c r="AA1086" t="n">
        <v>220</v>
      </c>
      <c r="AB1086" t="n">
        <v>193</v>
      </c>
      <c r="AC1086" t="n">
        <v>200</v>
      </c>
      <c r="AD1086" t="n">
        <v>2</v>
      </c>
      <c r="AE1086" t="n">
        <v>2</v>
      </c>
      <c r="AF1086" t="n">
        <v>11</v>
      </c>
      <c r="AG1086" t="n">
        <v>11</v>
      </c>
      <c r="AH1086" t="n">
        <v>7</v>
      </c>
      <c r="AI1086" t="n">
        <v>7</v>
      </c>
      <c r="AJ1086" t="n">
        <v>1</v>
      </c>
      <c r="AK1086" t="n">
        <v>1</v>
      </c>
      <c r="AL1086" t="n">
        <v>7</v>
      </c>
      <c r="AM1086" t="n">
        <v>7</v>
      </c>
      <c r="AN1086" t="n">
        <v>0</v>
      </c>
      <c r="AO1086" t="n">
        <v>0</v>
      </c>
      <c r="AP1086" t="n">
        <v>0</v>
      </c>
      <c r="AQ1086" t="n">
        <v>0</v>
      </c>
      <c r="AR1086" t="inlineStr">
        <is>
          <t>No</t>
        </is>
      </c>
      <c r="AS1086" t="inlineStr">
        <is>
          <t>Yes</t>
        </is>
      </c>
      <c r="AT1086">
        <f>HYPERLINK("http://catalog.hathitrust.org/Record/002506881","HathiTrust Record")</f>
        <v/>
      </c>
      <c r="AU1086">
        <f>HYPERLINK("https://creighton-primo.hosted.exlibrisgroup.com/primo-explore/search?tab=default_tab&amp;search_scope=EVERYTHING&amp;vid=01CRU&amp;lang=en_US&amp;offset=0&amp;query=any,contains,991001386309702656","Catalog Record")</f>
        <v/>
      </c>
      <c r="AV1086">
        <f>HYPERLINK("http://www.worldcat.org/oclc/22546762","WorldCat Record")</f>
        <v/>
      </c>
      <c r="AW1086" t="inlineStr">
        <is>
          <t>24655051:eng</t>
        </is>
      </c>
      <c r="AX1086" t="inlineStr">
        <is>
          <t>22546762</t>
        </is>
      </c>
      <c r="AY1086" t="inlineStr">
        <is>
          <t>991001386309702656</t>
        </is>
      </c>
      <c r="AZ1086" t="inlineStr">
        <is>
          <t>991001386309702656</t>
        </is>
      </c>
      <c r="BA1086" t="inlineStr">
        <is>
          <t>2258867880002656</t>
        </is>
      </c>
      <c r="BB1086" t="inlineStr">
        <is>
          <t>BOOK</t>
        </is>
      </c>
      <c r="BD1086" t="inlineStr">
        <is>
          <t>9780887374722</t>
        </is>
      </c>
      <c r="BE1086" t="inlineStr">
        <is>
          <t>30001001799834</t>
        </is>
      </c>
      <c r="BF1086" t="inlineStr">
        <is>
          <t>893279030</t>
        </is>
      </c>
    </row>
    <row r="1087">
      <c r="A1087" t="inlineStr">
        <is>
          <t>No</t>
        </is>
      </c>
      <c r="B1087" t="inlineStr">
        <is>
          <t>CUHSL</t>
        </is>
      </c>
      <c r="C1087" t="inlineStr">
        <is>
          <t>SHELVES</t>
        </is>
      </c>
      <c r="D1087" t="inlineStr">
        <is>
          <t>WY 101 P467 1982</t>
        </is>
      </c>
      <c r="E1087" t="inlineStr">
        <is>
          <t>0                      WY 0101000P  467         1982</t>
        </is>
      </c>
      <c r="F1087" t="inlineStr">
        <is>
          <t>Perspectives in primary nursing : professional practice environments / edited by Barbara J. Brown.</t>
        </is>
      </c>
      <c r="H1087" t="inlineStr">
        <is>
          <t>No</t>
        </is>
      </c>
      <c r="I1087" t="inlineStr">
        <is>
          <t>1</t>
        </is>
      </c>
      <c r="J1087" t="inlineStr">
        <is>
          <t>No</t>
        </is>
      </c>
      <c r="K1087" t="inlineStr">
        <is>
          <t>No</t>
        </is>
      </c>
      <c r="L1087" t="inlineStr">
        <is>
          <t>0</t>
        </is>
      </c>
      <c r="N1087" t="inlineStr">
        <is>
          <t>Rockville, Md. : Aspen Systems Corp., c1982.</t>
        </is>
      </c>
      <c r="O1087" t="inlineStr">
        <is>
          <t>1982</t>
        </is>
      </c>
      <c r="Q1087" t="inlineStr">
        <is>
          <t>eng</t>
        </is>
      </c>
      <c r="R1087" t="inlineStr">
        <is>
          <t>xxu</t>
        </is>
      </c>
      <c r="T1087" t="inlineStr">
        <is>
          <t xml:space="preserve">WY </t>
        </is>
      </c>
      <c r="U1087" t="n">
        <v>1</v>
      </c>
      <c r="V1087" t="n">
        <v>1</v>
      </c>
      <c r="W1087" t="inlineStr">
        <is>
          <t>1990-10-27</t>
        </is>
      </c>
      <c r="X1087" t="inlineStr">
        <is>
          <t>1990-10-27</t>
        </is>
      </c>
      <c r="Y1087" t="inlineStr">
        <is>
          <t>1987-12-30</t>
        </is>
      </c>
      <c r="Z1087" t="inlineStr">
        <is>
          <t>1987-12-30</t>
        </is>
      </c>
      <c r="AA1087" t="n">
        <v>142</v>
      </c>
      <c r="AB1087" t="n">
        <v>121</v>
      </c>
      <c r="AC1087" t="n">
        <v>121</v>
      </c>
      <c r="AD1087" t="n">
        <v>1</v>
      </c>
      <c r="AE1087" t="n">
        <v>1</v>
      </c>
      <c r="AF1087" t="n">
        <v>6</v>
      </c>
      <c r="AG1087" t="n">
        <v>6</v>
      </c>
      <c r="AH1087" t="n">
        <v>1</v>
      </c>
      <c r="AI1087" t="n">
        <v>1</v>
      </c>
      <c r="AJ1087" t="n">
        <v>4</v>
      </c>
      <c r="AK1087" t="n">
        <v>4</v>
      </c>
      <c r="AL1087" t="n">
        <v>2</v>
      </c>
      <c r="AM1087" t="n">
        <v>2</v>
      </c>
      <c r="AN1087" t="n">
        <v>0</v>
      </c>
      <c r="AO1087" t="n">
        <v>0</v>
      </c>
      <c r="AP1087" t="n">
        <v>0</v>
      </c>
      <c r="AQ1087" t="n">
        <v>0</v>
      </c>
      <c r="AR1087" t="inlineStr">
        <is>
          <t>No</t>
        </is>
      </c>
      <c r="AS1087" t="inlineStr">
        <is>
          <t>No</t>
        </is>
      </c>
      <c r="AU1087">
        <f>HYPERLINK("https://creighton-primo.hosted.exlibrisgroup.com/primo-explore/search?tab=default_tab&amp;search_scope=EVERYTHING&amp;vid=01CRU&amp;lang=en_US&amp;offset=0&amp;query=any,contains,991001150439702656","Catalog Record")</f>
        <v/>
      </c>
      <c r="AV1087">
        <f>HYPERLINK("http://www.worldcat.org/oclc/8052882","WorldCat Record")</f>
        <v/>
      </c>
      <c r="AW1087" t="inlineStr">
        <is>
          <t>30037068:eng</t>
        </is>
      </c>
      <c r="AX1087" t="inlineStr">
        <is>
          <t>8052882</t>
        </is>
      </c>
      <c r="AY1087" t="inlineStr">
        <is>
          <t>991001150439702656</t>
        </is>
      </c>
      <c r="AZ1087" t="inlineStr">
        <is>
          <t>991001150439702656</t>
        </is>
      </c>
      <c r="BA1087" t="inlineStr">
        <is>
          <t>2259577230002656</t>
        </is>
      </c>
      <c r="BB1087" t="inlineStr">
        <is>
          <t>BOOK</t>
        </is>
      </c>
      <c r="BD1087" t="inlineStr">
        <is>
          <t>9780894436833</t>
        </is>
      </c>
      <c r="BE1087" t="inlineStr">
        <is>
          <t>30001000295867</t>
        </is>
      </c>
      <c r="BF1087" t="inlineStr">
        <is>
          <t>893541061</t>
        </is>
      </c>
    </row>
    <row r="1088">
      <c r="A1088" t="inlineStr">
        <is>
          <t>No</t>
        </is>
      </c>
      <c r="B1088" t="inlineStr">
        <is>
          <t>CUHSL</t>
        </is>
      </c>
      <c r="C1088" t="inlineStr">
        <is>
          <t>SHELVES</t>
        </is>
      </c>
      <c r="D1088" t="inlineStr">
        <is>
          <t>WY 101 P951 1981</t>
        </is>
      </c>
      <c r="E1088" t="inlineStr">
        <is>
          <t>0                      WY 0101000P  951         1981</t>
        </is>
      </c>
      <c r="F1088" t="inlineStr">
        <is>
          <t>Primary care : a contemporary nursing perspective / edited by Ingeborg G. Mauksch.</t>
        </is>
      </c>
      <c r="H1088" t="inlineStr">
        <is>
          <t>No</t>
        </is>
      </c>
      <c r="I1088" t="inlineStr">
        <is>
          <t>1</t>
        </is>
      </c>
      <c r="J1088" t="inlineStr">
        <is>
          <t>No</t>
        </is>
      </c>
      <c r="K1088" t="inlineStr">
        <is>
          <t>No</t>
        </is>
      </c>
      <c r="L1088" t="inlineStr">
        <is>
          <t>0</t>
        </is>
      </c>
      <c r="N1088" t="inlineStr">
        <is>
          <t>New York : Grune &amp; Stratton, c1981.</t>
        </is>
      </c>
      <c r="O1088" t="inlineStr">
        <is>
          <t>1981</t>
        </is>
      </c>
      <c r="Q1088" t="inlineStr">
        <is>
          <t>eng</t>
        </is>
      </c>
      <c r="R1088" t="inlineStr">
        <is>
          <t>xxu</t>
        </is>
      </c>
      <c r="T1088" t="inlineStr">
        <is>
          <t xml:space="preserve">WY </t>
        </is>
      </c>
      <c r="U1088" t="n">
        <v>1</v>
      </c>
      <c r="V1088" t="n">
        <v>1</v>
      </c>
      <c r="W1088" t="inlineStr">
        <is>
          <t>1990-10-27</t>
        </is>
      </c>
      <c r="X1088" t="inlineStr">
        <is>
          <t>1990-10-27</t>
        </is>
      </c>
      <c r="Y1088" t="inlineStr">
        <is>
          <t>1987-12-30</t>
        </is>
      </c>
      <c r="Z1088" t="inlineStr">
        <is>
          <t>1987-12-30</t>
        </is>
      </c>
      <c r="AA1088" t="n">
        <v>127</v>
      </c>
      <c r="AB1088" t="n">
        <v>97</v>
      </c>
      <c r="AC1088" t="n">
        <v>99</v>
      </c>
      <c r="AD1088" t="n">
        <v>1</v>
      </c>
      <c r="AE1088" t="n">
        <v>1</v>
      </c>
      <c r="AF1088" t="n">
        <v>1</v>
      </c>
      <c r="AG1088" t="n">
        <v>1</v>
      </c>
      <c r="AH1088" t="n">
        <v>0</v>
      </c>
      <c r="AI1088" t="n">
        <v>0</v>
      </c>
      <c r="AJ1088" t="n">
        <v>0</v>
      </c>
      <c r="AK1088" t="n">
        <v>0</v>
      </c>
      <c r="AL1088" t="n">
        <v>1</v>
      </c>
      <c r="AM1088" t="n">
        <v>1</v>
      </c>
      <c r="AN1088" t="n">
        <v>0</v>
      </c>
      <c r="AO1088" t="n">
        <v>0</v>
      </c>
      <c r="AP1088" t="n">
        <v>0</v>
      </c>
      <c r="AQ1088" t="n">
        <v>0</v>
      </c>
      <c r="AR1088" t="inlineStr">
        <is>
          <t>No</t>
        </is>
      </c>
      <c r="AS1088" t="inlineStr">
        <is>
          <t>Yes</t>
        </is>
      </c>
      <c r="AT1088">
        <f>HYPERLINK("http://catalog.hathitrust.org/Record/000185698","HathiTrust Record")</f>
        <v/>
      </c>
      <c r="AU1088">
        <f>HYPERLINK("https://creighton-primo.hosted.exlibrisgroup.com/primo-explore/search?tab=default_tab&amp;search_scope=EVERYTHING&amp;vid=01CRU&amp;lang=en_US&amp;offset=0&amp;query=any,contains,991001150499702656","Catalog Record")</f>
        <v/>
      </c>
      <c r="AV1088">
        <f>HYPERLINK("http://www.worldcat.org/oclc/7462527","WorldCat Record")</f>
        <v/>
      </c>
      <c r="AW1088" t="inlineStr">
        <is>
          <t>427183488:eng</t>
        </is>
      </c>
      <c r="AX1088" t="inlineStr">
        <is>
          <t>7462527</t>
        </is>
      </c>
      <c r="AY1088" t="inlineStr">
        <is>
          <t>991001150499702656</t>
        </is>
      </c>
      <c r="AZ1088" t="inlineStr">
        <is>
          <t>991001150499702656</t>
        </is>
      </c>
      <c r="BA1088" t="inlineStr">
        <is>
          <t>2255226060002656</t>
        </is>
      </c>
      <c r="BB1088" t="inlineStr">
        <is>
          <t>BOOK</t>
        </is>
      </c>
      <c r="BD1088" t="inlineStr">
        <is>
          <t>9780808913924</t>
        </is>
      </c>
      <c r="BE1088" t="inlineStr">
        <is>
          <t>30001000295875</t>
        </is>
      </c>
      <c r="BF1088" t="inlineStr">
        <is>
          <t>893736271</t>
        </is>
      </c>
    </row>
    <row r="1089">
      <c r="A1089" t="inlineStr">
        <is>
          <t>No</t>
        </is>
      </c>
      <c r="B1089" t="inlineStr">
        <is>
          <t>CUHSL</t>
        </is>
      </c>
      <c r="C1089" t="inlineStr">
        <is>
          <t>SHELVES</t>
        </is>
      </c>
      <c r="D1089" t="inlineStr">
        <is>
          <t>WY 101 S938o 1989</t>
        </is>
      </c>
      <c r="E1089" t="inlineStr">
        <is>
          <t>0                      WY 0101000S  938o        1989</t>
        </is>
      </c>
      <c r="F1089" t="inlineStr">
        <is>
          <t>On specialization in nursing : toward a new empowerment / Margretta M. Styles.</t>
        </is>
      </c>
      <c r="H1089" t="inlineStr">
        <is>
          <t>No</t>
        </is>
      </c>
      <c r="I1089" t="inlineStr">
        <is>
          <t>1</t>
        </is>
      </c>
      <c r="J1089" t="inlineStr">
        <is>
          <t>No</t>
        </is>
      </c>
      <c r="K1089" t="inlineStr">
        <is>
          <t>No</t>
        </is>
      </c>
      <c r="L1089" t="inlineStr">
        <is>
          <t>0</t>
        </is>
      </c>
      <c r="M1089" t="inlineStr">
        <is>
          <t>Styles, Margretta M.</t>
        </is>
      </c>
      <c r="N1089" t="inlineStr">
        <is>
          <t>Kansas City, Mo. : American Nursesʼ Foundation, c1989.</t>
        </is>
      </c>
      <c r="O1089" t="inlineStr">
        <is>
          <t>1989</t>
        </is>
      </c>
      <c r="Q1089" t="inlineStr">
        <is>
          <t>eng</t>
        </is>
      </c>
      <c r="R1089" t="inlineStr">
        <is>
          <t>mou</t>
        </is>
      </c>
      <c r="S1089" t="inlineStr">
        <is>
          <t>ANA pub ; no. NP-75</t>
        </is>
      </c>
      <c r="T1089" t="inlineStr">
        <is>
          <t xml:space="preserve">WY </t>
        </is>
      </c>
      <c r="U1089" t="n">
        <v>1</v>
      </c>
      <c r="V1089" t="n">
        <v>1</v>
      </c>
      <c r="W1089" t="inlineStr">
        <is>
          <t>2004-03-23</t>
        </is>
      </c>
      <c r="X1089" t="inlineStr">
        <is>
          <t>2004-03-23</t>
        </is>
      </c>
      <c r="Y1089" t="inlineStr">
        <is>
          <t>2000-06-15</t>
        </is>
      </c>
      <c r="Z1089" t="inlineStr">
        <is>
          <t>2000-06-15</t>
        </is>
      </c>
      <c r="AA1089" t="n">
        <v>138</v>
      </c>
      <c r="AB1089" t="n">
        <v>117</v>
      </c>
      <c r="AC1089" t="n">
        <v>128</v>
      </c>
      <c r="AD1089" t="n">
        <v>2</v>
      </c>
      <c r="AE1089" t="n">
        <v>2</v>
      </c>
      <c r="AF1089" t="n">
        <v>6</v>
      </c>
      <c r="AG1089" t="n">
        <v>6</v>
      </c>
      <c r="AH1089" t="n">
        <v>3</v>
      </c>
      <c r="AI1089" t="n">
        <v>3</v>
      </c>
      <c r="AJ1089" t="n">
        <v>0</v>
      </c>
      <c r="AK1089" t="n">
        <v>0</v>
      </c>
      <c r="AL1089" t="n">
        <v>4</v>
      </c>
      <c r="AM1089" t="n">
        <v>4</v>
      </c>
      <c r="AN1089" t="n">
        <v>0</v>
      </c>
      <c r="AO1089" t="n">
        <v>0</v>
      </c>
      <c r="AP1089" t="n">
        <v>0</v>
      </c>
      <c r="AQ1089" t="n">
        <v>0</v>
      </c>
      <c r="AR1089" t="inlineStr">
        <is>
          <t>No</t>
        </is>
      </c>
      <c r="AS1089" t="inlineStr">
        <is>
          <t>Yes</t>
        </is>
      </c>
      <c r="AT1089">
        <f>HYPERLINK("http://catalog.hathitrust.org/Record/002231634","HathiTrust Record")</f>
        <v/>
      </c>
      <c r="AU1089">
        <f>HYPERLINK("https://creighton-primo.hosted.exlibrisgroup.com/primo-explore/search?tab=default_tab&amp;search_scope=EVERYTHING&amp;vid=01CRU&amp;lang=en_US&amp;offset=0&amp;query=any,contains,991000217869702656","Catalog Record")</f>
        <v/>
      </c>
      <c r="AV1089">
        <f>HYPERLINK("http://www.worldcat.org/oclc/19869358","WorldCat Record")</f>
        <v/>
      </c>
      <c r="AW1089" t="inlineStr">
        <is>
          <t>255778656:eng</t>
        </is>
      </c>
      <c r="AX1089" t="inlineStr">
        <is>
          <t>19869358</t>
        </is>
      </c>
      <c r="AY1089" t="inlineStr">
        <is>
          <t>991000217869702656</t>
        </is>
      </c>
      <c r="AZ1089" t="inlineStr">
        <is>
          <t>991000217869702656</t>
        </is>
      </c>
      <c r="BA1089" t="inlineStr">
        <is>
          <t>2272449150002656</t>
        </is>
      </c>
      <c r="BB1089" t="inlineStr">
        <is>
          <t>BOOK</t>
        </is>
      </c>
      <c r="BE1089" t="inlineStr">
        <is>
          <t>30001001750308</t>
        </is>
      </c>
      <c r="BF1089" t="inlineStr">
        <is>
          <t>893547522</t>
        </is>
      </c>
    </row>
    <row r="1090">
      <c r="A1090" t="inlineStr">
        <is>
          <t>No</t>
        </is>
      </c>
      <c r="B1090" t="inlineStr">
        <is>
          <t>CUHSL</t>
        </is>
      </c>
      <c r="C1090" t="inlineStr">
        <is>
          <t>SHELVES</t>
        </is>
      </c>
      <c r="D1090" t="inlineStr">
        <is>
          <t>WY 101 Z27p 1980</t>
        </is>
      </c>
      <c r="E1090" t="inlineStr">
        <is>
          <t>0                      WY 0101000Z  27p         1980</t>
        </is>
      </c>
      <c r="F1090" t="inlineStr">
        <is>
          <t>Primary nursing : development and management / Karen S. Zander.</t>
        </is>
      </c>
      <c r="H1090" t="inlineStr">
        <is>
          <t>No</t>
        </is>
      </c>
      <c r="I1090" t="inlineStr">
        <is>
          <t>1</t>
        </is>
      </c>
      <c r="J1090" t="inlineStr">
        <is>
          <t>No</t>
        </is>
      </c>
      <c r="K1090" t="inlineStr">
        <is>
          <t>No</t>
        </is>
      </c>
      <c r="L1090" t="inlineStr">
        <is>
          <t>0</t>
        </is>
      </c>
      <c r="M1090" t="inlineStr">
        <is>
          <t>Zander, Karen S.</t>
        </is>
      </c>
      <c r="N1090" t="inlineStr">
        <is>
          <t>Germantown, Md. : Aspen Systems Corp., c1980.</t>
        </is>
      </c>
      <c r="O1090" t="inlineStr">
        <is>
          <t>1980</t>
        </is>
      </c>
      <c r="Q1090" t="inlineStr">
        <is>
          <t>eng</t>
        </is>
      </c>
      <c r="R1090" t="inlineStr">
        <is>
          <t>mdu</t>
        </is>
      </c>
      <c r="S1090" t="inlineStr">
        <is>
          <t>Aspen publication</t>
        </is>
      </c>
      <c r="T1090" t="inlineStr">
        <is>
          <t xml:space="preserve">WY </t>
        </is>
      </c>
      <c r="U1090" t="n">
        <v>3</v>
      </c>
      <c r="V1090" t="n">
        <v>3</v>
      </c>
      <c r="W1090" t="inlineStr">
        <is>
          <t>1990-10-27</t>
        </is>
      </c>
      <c r="X1090" t="inlineStr">
        <is>
          <t>1990-10-27</t>
        </is>
      </c>
      <c r="Y1090" t="inlineStr">
        <is>
          <t>1987-12-30</t>
        </is>
      </c>
      <c r="Z1090" t="inlineStr">
        <is>
          <t>1987-12-30</t>
        </is>
      </c>
      <c r="AA1090" t="n">
        <v>289</v>
      </c>
      <c r="AB1090" t="n">
        <v>255</v>
      </c>
      <c r="AC1090" t="n">
        <v>257</v>
      </c>
      <c r="AD1090" t="n">
        <v>1</v>
      </c>
      <c r="AE1090" t="n">
        <v>1</v>
      </c>
      <c r="AF1090" t="n">
        <v>7</v>
      </c>
      <c r="AG1090" t="n">
        <v>7</v>
      </c>
      <c r="AH1090" t="n">
        <v>3</v>
      </c>
      <c r="AI1090" t="n">
        <v>3</v>
      </c>
      <c r="AJ1090" t="n">
        <v>1</v>
      </c>
      <c r="AK1090" t="n">
        <v>1</v>
      </c>
      <c r="AL1090" t="n">
        <v>6</v>
      </c>
      <c r="AM1090" t="n">
        <v>6</v>
      </c>
      <c r="AN1090" t="n">
        <v>0</v>
      </c>
      <c r="AO1090" t="n">
        <v>0</v>
      </c>
      <c r="AP1090" t="n">
        <v>0</v>
      </c>
      <c r="AQ1090" t="n">
        <v>0</v>
      </c>
      <c r="AR1090" t="inlineStr">
        <is>
          <t>No</t>
        </is>
      </c>
      <c r="AS1090" t="inlineStr">
        <is>
          <t>Yes</t>
        </is>
      </c>
      <c r="AT1090">
        <f>HYPERLINK("http://catalog.hathitrust.org/Record/000745820","HathiTrust Record")</f>
        <v/>
      </c>
      <c r="AU1090">
        <f>HYPERLINK("https://creighton-primo.hosted.exlibrisgroup.com/primo-explore/search?tab=default_tab&amp;search_scope=EVERYTHING&amp;vid=01CRU&amp;lang=en_US&amp;offset=0&amp;query=any,contains,991001150629702656","Catalog Record")</f>
        <v/>
      </c>
      <c r="AV1090">
        <f>HYPERLINK("http://www.worldcat.org/oclc/5942846","WorldCat Record")</f>
        <v/>
      </c>
      <c r="AW1090" t="inlineStr">
        <is>
          <t>551513:eng</t>
        </is>
      </c>
      <c r="AX1090" t="inlineStr">
        <is>
          <t>5942846</t>
        </is>
      </c>
      <c r="AY1090" t="inlineStr">
        <is>
          <t>991001150629702656</t>
        </is>
      </c>
      <c r="AZ1090" t="inlineStr">
        <is>
          <t>991001150629702656</t>
        </is>
      </c>
      <c r="BA1090" t="inlineStr">
        <is>
          <t>2267587230002656</t>
        </is>
      </c>
      <c r="BB1090" t="inlineStr">
        <is>
          <t>BOOK</t>
        </is>
      </c>
      <c r="BD1090" t="inlineStr">
        <is>
          <t>9780894431708</t>
        </is>
      </c>
      <c r="BE1090" t="inlineStr">
        <is>
          <t>30001000295891</t>
        </is>
      </c>
      <c r="BF1090" t="inlineStr">
        <is>
          <t>893455515</t>
        </is>
      </c>
    </row>
    <row r="1091">
      <c r="A1091" t="inlineStr">
        <is>
          <t>No</t>
        </is>
      </c>
      <c r="B1091" t="inlineStr">
        <is>
          <t>CUHSL</t>
        </is>
      </c>
      <c r="C1091" t="inlineStr">
        <is>
          <t>SHELVES</t>
        </is>
      </c>
      <c r="D1091" t="inlineStr">
        <is>
          <t>WY 105 A376m 1991</t>
        </is>
      </c>
      <c r="E1091" t="inlineStr">
        <is>
          <t>0                      WY 0105000A  376m        1991</t>
        </is>
      </c>
      <c r="F1091" t="inlineStr">
        <is>
          <t>Management styles and corporate culture / G. Rumay Alexander.</t>
        </is>
      </c>
      <c r="H1091" t="inlineStr">
        <is>
          <t>No</t>
        </is>
      </c>
      <c r="I1091" t="inlineStr">
        <is>
          <t>1</t>
        </is>
      </c>
      <c r="J1091" t="inlineStr">
        <is>
          <t>No</t>
        </is>
      </c>
      <c r="K1091" t="inlineStr">
        <is>
          <t>No</t>
        </is>
      </c>
      <c r="L1091" t="inlineStr">
        <is>
          <t>0</t>
        </is>
      </c>
      <c r="M1091" t="inlineStr">
        <is>
          <t>Alexander, G. Rumay.</t>
        </is>
      </c>
      <c r="N1091" t="inlineStr">
        <is>
          <t>Baltimore : Williams &amp; Wilkins, c1991.</t>
        </is>
      </c>
      <c r="O1091" t="inlineStr">
        <is>
          <t>1991</t>
        </is>
      </c>
      <c r="Q1091" t="inlineStr">
        <is>
          <t>eng</t>
        </is>
      </c>
      <c r="R1091" t="inlineStr">
        <is>
          <t>mdu</t>
        </is>
      </c>
      <c r="S1091" t="inlineStr">
        <is>
          <t>Nurse managers' bookshelf ; v. 2, no. 3, Sept. 1990</t>
        </is>
      </c>
      <c r="T1091" t="inlineStr">
        <is>
          <t xml:space="preserve">WY </t>
        </is>
      </c>
      <c r="U1091" t="n">
        <v>2</v>
      </c>
      <c r="V1091" t="n">
        <v>2</v>
      </c>
      <c r="W1091" t="inlineStr">
        <is>
          <t>1992-05-21</t>
        </is>
      </c>
      <c r="X1091" t="inlineStr">
        <is>
          <t>1992-05-21</t>
        </is>
      </c>
      <c r="Y1091" t="inlineStr">
        <is>
          <t>1992-03-25</t>
        </is>
      </c>
      <c r="Z1091" t="inlineStr">
        <is>
          <t>1992-03-25</t>
        </is>
      </c>
      <c r="AA1091" t="n">
        <v>33</v>
      </c>
      <c r="AB1091" t="n">
        <v>28</v>
      </c>
      <c r="AC1091" t="n">
        <v>28</v>
      </c>
      <c r="AD1091" t="n">
        <v>1</v>
      </c>
      <c r="AE1091" t="n">
        <v>1</v>
      </c>
      <c r="AF1091" t="n">
        <v>1</v>
      </c>
      <c r="AG1091" t="n">
        <v>1</v>
      </c>
      <c r="AH1091" t="n">
        <v>1</v>
      </c>
      <c r="AI1091" t="n">
        <v>1</v>
      </c>
      <c r="AJ1091" t="n">
        <v>0</v>
      </c>
      <c r="AK1091" t="n">
        <v>0</v>
      </c>
      <c r="AL1091" t="n">
        <v>1</v>
      </c>
      <c r="AM1091" t="n">
        <v>1</v>
      </c>
      <c r="AN1091" t="n">
        <v>0</v>
      </c>
      <c r="AO1091" t="n">
        <v>0</v>
      </c>
      <c r="AP1091" t="n">
        <v>0</v>
      </c>
      <c r="AQ1091" t="n">
        <v>0</v>
      </c>
      <c r="AR1091" t="inlineStr">
        <is>
          <t>No</t>
        </is>
      </c>
      <c r="AS1091" t="inlineStr">
        <is>
          <t>No</t>
        </is>
      </c>
      <c r="AU1091">
        <f>HYPERLINK("https://creighton-primo.hosted.exlibrisgroup.com/primo-explore/search?tab=default_tab&amp;search_scope=EVERYTHING&amp;vid=01CRU&amp;lang=en_US&amp;offset=0&amp;query=any,contains,991001035199702656","Catalog Record")</f>
        <v/>
      </c>
      <c r="AV1091">
        <f>HYPERLINK("http://www.worldcat.org/oclc/23136319","WorldCat Record")</f>
        <v/>
      </c>
      <c r="AW1091" t="inlineStr">
        <is>
          <t>24564961:eng</t>
        </is>
      </c>
      <c r="AX1091" t="inlineStr">
        <is>
          <t>23136319</t>
        </is>
      </c>
      <c r="AY1091" t="inlineStr">
        <is>
          <t>991001035199702656</t>
        </is>
      </c>
      <c r="AZ1091" t="inlineStr">
        <is>
          <t>991001035199702656</t>
        </is>
      </c>
      <c r="BA1091" t="inlineStr">
        <is>
          <t>2260393410002656</t>
        </is>
      </c>
      <c r="BB1091" t="inlineStr">
        <is>
          <t>BOOK</t>
        </is>
      </c>
      <c r="BD1091" t="inlineStr">
        <is>
          <t>9780683065350</t>
        </is>
      </c>
      <c r="BE1091" t="inlineStr">
        <is>
          <t>30001002244608</t>
        </is>
      </c>
      <c r="BF1091" t="inlineStr">
        <is>
          <t>893816055</t>
        </is>
      </c>
    </row>
    <row r="1092">
      <c r="A1092" t="inlineStr">
        <is>
          <t>No</t>
        </is>
      </c>
      <c r="B1092" t="inlineStr">
        <is>
          <t>CUHSL</t>
        </is>
      </c>
      <c r="C1092" t="inlineStr">
        <is>
          <t>SHELVES</t>
        </is>
      </c>
      <c r="D1092" t="inlineStr">
        <is>
          <t>WY 105 A477n 1990</t>
        </is>
      </c>
      <c r="E1092" t="inlineStr">
        <is>
          <t>0                      WY 0105000A  477n        1990</t>
        </is>
      </c>
      <c r="F1092" t="inlineStr">
        <is>
          <t>The nurse's guide to marketing / by Ruth R. Alward and Caroline Camuñas.</t>
        </is>
      </c>
      <c r="H1092" t="inlineStr">
        <is>
          <t>No</t>
        </is>
      </c>
      <c r="I1092" t="inlineStr">
        <is>
          <t>1</t>
        </is>
      </c>
      <c r="J1092" t="inlineStr">
        <is>
          <t>No</t>
        </is>
      </c>
      <c r="K1092" t="inlineStr">
        <is>
          <t>No</t>
        </is>
      </c>
      <c r="L1092" t="inlineStr">
        <is>
          <t>0</t>
        </is>
      </c>
      <c r="M1092" t="inlineStr">
        <is>
          <t>Alward, Ruth R.</t>
        </is>
      </c>
      <c r="N1092" t="inlineStr">
        <is>
          <t>Albany, NY : Delmar Publishers, c1990.</t>
        </is>
      </c>
      <c r="O1092" t="inlineStr">
        <is>
          <t>1990</t>
        </is>
      </c>
      <c r="Q1092" t="inlineStr">
        <is>
          <t>eng</t>
        </is>
      </c>
      <c r="R1092" t="inlineStr">
        <is>
          <t>xxu</t>
        </is>
      </c>
      <c r="T1092" t="inlineStr">
        <is>
          <t xml:space="preserve">WY </t>
        </is>
      </c>
      <c r="U1092" t="n">
        <v>6</v>
      </c>
      <c r="V1092" t="n">
        <v>6</v>
      </c>
      <c r="W1092" t="inlineStr">
        <is>
          <t>1994-08-01</t>
        </is>
      </c>
      <c r="X1092" t="inlineStr">
        <is>
          <t>1994-08-01</t>
        </is>
      </c>
      <c r="Y1092" t="inlineStr">
        <is>
          <t>1990-11-15</t>
        </is>
      </c>
      <c r="Z1092" t="inlineStr">
        <is>
          <t>1990-11-15</t>
        </is>
      </c>
      <c r="AA1092" t="n">
        <v>193</v>
      </c>
      <c r="AB1092" t="n">
        <v>157</v>
      </c>
      <c r="AC1092" t="n">
        <v>159</v>
      </c>
      <c r="AD1092" t="n">
        <v>1</v>
      </c>
      <c r="AE1092" t="n">
        <v>1</v>
      </c>
      <c r="AF1092" t="n">
        <v>7</v>
      </c>
      <c r="AG1092" t="n">
        <v>7</v>
      </c>
      <c r="AH1092" t="n">
        <v>4</v>
      </c>
      <c r="AI1092" t="n">
        <v>4</v>
      </c>
      <c r="AJ1092" t="n">
        <v>1</v>
      </c>
      <c r="AK1092" t="n">
        <v>1</v>
      </c>
      <c r="AL1092" t="n">
        <v>4</v>
      </c>
      <c r="AM1092" t="n">
        <v>4</v>
      </c>
      <c r="AN1092" t="n">
        <v>0</v>
      </c>
      <c r="AO1092" t="n">
        <v>0</v>
      </c>
      <c r="AP1092" t="n">
        <v>0</v>
      </c>
      <c r="AQ1092" t="n">
        <v>0</v>
      </c>
      <c r="AR1092" t="inlineStr">
        <is>
          <t>No</t>
        </is>
      </c>
      <c r="AS1092" t="inlineStr">
        <is>
          <t>Yes</t>
        </is>
      </c>
      <c r="AT1092">
        <f>HYPERLINK("http://catalog.hathitrust.org/Record/002551277","HathiTrust Record")</f>
        <v/>
      </c>
      <c r="AU1092">
        <f>HYPERLINK("https://creighton-primo.hosted.exlibrisgroup.com/primo-explore/search?tab=default_tab&amp;search_scope=EVERYTHING&amp;vid=01CRU&amp;lang=en_US&amp;offset=0&amp;query=any,contains,991000780419702656","Catalog Record")</f>
        <v/>
      </c>
      <c r="AV1092">
        <f>HYPERLINK("http://www.worldcat.org/oclc/21442886","WorldCat Record")</f>
        <v/>
      </c>
      <c r="AW1092" t="inlineStr">
        <is>
          <t>23713473:eng</t>
        </is>
      </c>
      <c r="AX1092" t="inlineStr">
        <is>
          <t>21442886</t>
        </is>
      </c>
      <c r="AY1092" t="inlineStr">
        <is>
          <t>991000780419702656</t>
        </is>
      </c>
      <c r="AZ1092" t="inlineStr">
        <is>
          <t>991000780419702656</t>
        </is>
      </c>
      <c r="BA1092" t="inlineStr">
        <is>
          <t>2257147110002656</t>
        </is>
      </c>
      <c r="BB1092" t="inlineStr">
        <is>
          <t>BOOK</t>
        </is>
      </c>
      <c r="BD1092" t="inlineStr">
        <is>
          <t>9780827342033</t>
        </is>
      </c>
      <c r="BE1092" t="inlineStr">
        <is>
          <t>30001002064105</t>
        </is>
      </c>
      <c r="BF1092" t="inlineStr">
        <is>
          <t>893726786</t>
        </is>
      </c>
    </row>
    <row r="1093">
      <c r="A1093" t="inlineStr">
        <is>
          <t>No</t>
        </is>
      </c>
      <c r="B1093" t="inlineStr">
        <is>
          <t>CUHSL</t>
        </is>
      </c>
      <c r="C1093" t="inlineStr">
        <is>
          <t>SHELVES</t>
        </is>
      </c>
      <c r="D1093" t="inlineStr">
        <is>
          <t>WY 105 B154d 1975</t>
        </is>
      </c>
      <c r="E1093" t="inlineStr">
        <is>
          <t>0                      WY 0105000B  154d        1975</t>
        </is>
      </c>
      <c r="F1093" t="inlineStr">
        <is>
          <t>Decision making in nursing : tools for change / June T. Bailey, Karen E. Claus ; with 63 ill., including 29 drawings by Bee Walters.</t>
        </is>
      </c>
      <c r="H1093" t="inlineStr">
        <is>
          <t>No</t>
        </is>
      </c>
      <c r="I1093" t="inlineStr">
        <is>
          <t>1</t>
        </is>
      </c>
      <c r="J1093" t="inlineStr">
        <is>
          <t>No</t>
        </is>
      </c>
      <c r="K1093" t="inlineStr">
        <is>
          <t>No</t>
        </is>
      </c>
      <c r="L1093" t="inlineStr">
        <is>
          <t>0</t>
        </is>
      </c>
      <c r="M1093" t="inlineStr">
        <is>
          <t>Bailey, June T.</t>
        </is>
      </c>
      <c r="N1093" t="inlineStr">
        <is>
          <t>Saint Louis : C. V. Mosby Co., 1975.</t>
        </is>
      </c>
      <c r="O1093" t="inlineStr">
        <is>
          <t>1975</t>
        </is>
      </c>
      <c r="Q1093" t="inlineStr">
        <is>
          <t>eng</t>
        </is>
      </c>
      <c r="R1093" t="inlineStr">
        <is>
          <t>mou</t>
        </is>
      </c>
      <c r="T1093" t="inlineStr">
        <is>
          <t xml:space="preserve">WY </t>
        </is>
      </c>
      <c r="U1093" t="n">
        <v>69</v>
      </c>
      <c r="V1093" t="n">
        <v>69</v>
      </c>
      <c r="W1093" t="inlineStr">
        <is>
          <t>2000-02-15</t>
        </is>
      </c>
      <c r="X1093" t="inlineStr">
        <is>
          <t>2000-02-15</t>
        </is>
      </c>
      <c r="Y1093" t="inlineStr">
        <is>
          <t>1994-01-18</t>
        </is>
      </c>
      <c r="Z1093" t="inlineStr">
        <is>
          <t>1994-01-18</t>
        </is>
      </c>
      <c r="AA1093" t="n">
        <v>268</v>
      </c>
      <c r="AB1093" t="n">
        <v>192</v>
      </c>
      <c r="AC1093" t="n">
        <v>194</v>
      </c>
      <c r="AD1093" t="n">
        <v>4</v>
      </c>
      <c r="AE1093" t="n">
        <v>4</v>
      </c>
      <c r="AF1093" t="n">
        <v>8</v>
      </c>
      <c r="AG1093" t="n">
        <v>8</v>
      </c>
      <c r="AH1093" t="n">
        <v>1</v>
      </c>
      <c r="AI1093" t="n">
        <v>1</v>
      </c>
      <c r="AJ1093" t="n">
        <v>1</v>
      </c>
      <c r="AK1093" t="n">
        <v>1</v>
      </c>
      <c r="AL1093" t="n">
        <v>5</v>
      </c>
      <c r="AM1093" t="n">
        <v>5</v>
      </c>
      <c r="AN1093" t="n">
        <v>2</v>
      </c>
      <c r="AO1093" t="n">
        <v>2</v>
      </c>
      <c r="AP1093" t="n">
        <v>0</v>
      </c>
      <c r="AQ1093" t="n">
        <v>0</v>
      </c>
      <c r="AR1093" t="inlineStr">
        <is>
          <t>No</t>
        </is>
      </c>
      <c r="AS1093" t="inlineStr">
        <is>
          <t>Yes</t>
        </is>
      </c>
      <c r="AT1093">
        <f>HYPERLINK("http://catalog.hathitrust.org/Record/000032970","HathiTrust Record")</f>
        <v/>
      </c>
      <c r="AU1093">
        <f>HYPERLINK("https://creighton-primo.hosted.exlibrisgroup.com/primo-explore/search?tab=default_tab&amp;search_scope=EVERYTHING&amp;vid=01CRU&amp;lang=en_US&amp;offset=0&amp;query=any,contains,991000486189702656","Catalog Record")</f>
        <v/>
      </c>
      <c r="AV1093">
        <f>HYPERLINK("http://www.worldcat.org/oclc/1104290","WorldCat Record")</f>
        <v/>
      </c>
      <c r="AW1093" t="inlineStr">
        <is>
          <t>307793313:eng</t>
        </is>
      </c>
      <c r="AX1093" t="inlineStr">
        <is>
          <t>1104290</t>
        </is>
      </c>
      <c r="AY1093" t="inlineStr">
        <is>
          <t>991000486189702656</t>
        </is>
      </c>
      <c r="AZ1093" t="inlineStr">
        <is>
          <t>991000486189702656</t>
        </is>
      </c>
      <c r="BA1093" t="inlineStr">
        <is>
          <t>2256389020002656</t>
        </is>
      </c>
      <c r="BB1093" t="inlineStr">
        <is>
          <t>BOOK</t>
        </is>
      </c>
      <c r="BD1093" t="inlineStr">
        <is>
          <t>9780801604225</t>
        </is>
      </c>
      <c r="BE1093" t="inlineStr">
        <is>
          <t>30001002680769</t>
        </is>
      </c>
      <c r="BF1093" t="inlineStr">
        <is>
          <t>893137771</t>
        </is>
      </c>
    </row>
    <row r="1094">
      <c r="A1094" t="inlineStr">
        <is>
          <t>No</t>
        </is>
      </c>
      <c r="B1094" t="inlineStr">
        <is>
          <t>CUHSL</t>
        </is>
      </c>
      <c r="C1094" t="inlineStr">
        <is>
          <t>SHELVES</t>
        </is>
      </c>
      <c r="D1094" t="inlineStr">
        <is>
          <t>WY 105 B263e 1989</t>
        </is>
      </c>
      <c r="E1094" t="inlineStr">
        <is>
          <t>0                      WY 0105000B  263e        1989</t>
        </is>
      </c>
      <c r="F1094" t="inlineStr">
        <is>
          <t>Essentials of nursing management : concepts and context of practice / Barbara Stevens Barnum, Catherine O. Mallard.</t>
        </is>
      </c>
      <c r="H1094" t="inlineStr">
        <is>
          <t>No</t>
        </is>
      </c>
      <c r="I1094" t="inlineStr">
        <is>
          <t>1</t>
        </is>
      </c>
      <c r="J1094" t="inlineStr">
        <is>
          <t>No</t>
        </is>
      </c>
      <c r="K1094" t="inlineStr">
        <is>
          <t>No</t>
        </is>
      </c>
      <c r="L1094" t="inlineStr">
        <is>
          <t>0</t>
        </is>
      </c>
      <c r="M1094" t="inlineStr">
        <is>
          <t>Barnum, Barbara Stevens.</t>
        </is>
      </c>
      <c r="N1094" t="inlineStr">
        <is>
          <t>Rockville, Md. : Aspen Publishers, c1989.</t>
        </is>
      </c>
      <c r="O1094" t="inlineStr">
        <is>
          <t>1989</t>
        </is>
      </c>
      <c r="Q1094" t="inlineStr">
        <is>
          <t>eng</t>
        </is>
      </c>
      <c r="R1094" t="inlineStr">
        <is>
          <t>xxu</t>
        </is>
      </c>
      <c r="T1094" t="inlineStr">
        <is>
          <t xml:space="preserve">WY </t>
        </is>
      </c>
      <c r="U1094" t="n">
        <v>3</v>
      </c>
      <c r="V1094" t="n">
        <v>3</v>
      </c>
      <c r="W1094" t="inlineStr">
        <is>
          <t>2001-09-18</t>
        </is>
      </c>
      <c r="X1094" t="inlineStr">
        <is>
          <t>2001-09-18</t>
        </is>
      </c>
      <c r="Y1094" t="inlineStr">
        <is>
          <t>1989-07-07</t>
        </is>
      </c>
      <c r="Z1094" t="inlineStr">
        <is>
          <t>1989-07-07</t>
        </is>
      </c>
      <c r="AA1094" t="n">
        <v>213</v>
      </c>
      <c r="AB1094" t="n">
        <v>186</v>
      </c>
      <c r="AC1094" t="n">
        <v>188</v>
      </c>
      <c r="AD1094" t="n">
        <v>2</v>
      </c>
      <c r="AE1094" t="n">
        <v>2</v>
      </c>
      <c r="AF1094" t="n">
        <v>11</v>
      </c>
      <c r="AG1094" t="n">
        <v>11</v>
      </c>
      <c r="AH1094" t="n">
        <v>4</v>
      </c>
      <c r="AI1094" t="n">
        <v>4</v>
      </c>
      <c r="AJ1094" t="n">
        <v>3</v>
      </c>
      <c r="AK1094" t="n">
        <v>3</v>
      </c>
      <c r="AL1094" t="n">
        <v>6</v>
      </c>
      <c r="AM1094" t="n">
        <v>6</v>
      </c>
      <c r="AN1094" t="n">
        <v>1</v>
      </c>
      <c r="AO1094" t="n">
        <v>1</v>
      </c>
      <c r="AP1094" t="n">
        <v>0</v>
      </c>
      <c r="AQ1094" t="n">
        <v>0</v>
      </c>
      <c r="AR1094" t="inlineStr">
        <is>
          <t>No</t>
        </is>
      </c>
      <c r="AS1094" t="inlineStr">
        <is>
          <t>Yes</t>
        </is>
      </c>
      <c r="AT1094">
        <f>HYPERLINK("http://catalog.hathitrust.org/Record/001080563","HathiTrust Record")</f>
        <v/>
      </c>
      <c r="AU1094">
        <f>HYPERLINK("https://creighton-primo.hosted.exlibrisgroup.com/primo-explore/search?tab=default_tab&amp;search_scope=EVERYTHING&amp;vid=01CRU&amp;lang=en_US&amp;offset=0&amp;query=any,contains,991001310619702656","Catalog Record")</f>
        <v/>
      </c>
      <c r="AV1094">
        <f>HYPERLINK("http://www.worldcat.org/oclc/18521939","WorldCat Record")</f>
        <v/>
      </c>
      <c r="AW1094" t="inlineStr">
        <is>
          <t>205252704:eng</t>
        </is>
      </c>
      <c r="AX1094" t="inlineStr">
        <is>
          <t>18521939</t>
        </is>
      </c>
      <c r="AY1094" t="inlineStr">
        <is>
          <t>991001310619702656</t>
        </is>
      </c>
      <c r="AZ1094" t="inlineStr">
        <is>
          <t>991001310619702656</t>
        </is>
      </c>
      <c r="BA1094" t="inlineStr">
        <is>
          <t>2271533030002656</t>
        </is>
      </c>
      <c r="BB1094" t="inlineStr">
        <is>
          <t>BOOK</t>
        </is>
      </c>
      <c r="BD1094" t="inlineStr">
        <is>
          <t>9780834200180</t>
        </is>
      </c>
      <c r="BE1094" t="inlineStr">
        <is>
          <t>30001001750738</t>
        </is>
      </c>
      <c r="BF1094" t="inlineStr">
        <is>
          <t>893546565</t>
        </is>
      </c>
    </row>
    <row r="1095">
      <c r="A1095" t="inlineStr">
        <is>
          <t>No</t>
        </is>
      </c>
      <c r="B1095" t="inlineStr">
        <is>
          <t>CUHSL</t>
        </is>
      </c>
      <c r="C1095" t="inlineStr">
        <is>
          <t>SHELVES</t>
        </is>
      </c>
      <c r="D1095" t="inlineStr">
        <is>
          <t>WY 105 B397g 1992</t>
        </is>
      </c>
      <c r="E1095" t="inlineStr">
        <is>
          <t>0                      WY 0105000B  397g        1992</t>
        </is>
      </c>
      <c r="F1095" t="inlineStr">
        <is>
          <t>A guide to redesigning nursing practice patterns / Joanne Shultz Beckman, Lillian M. Simms ; with contributions by Marla A. Erbin-Roesemann and Kim L. Christopher.</t>
        </is>
      </c>
      <c r="H1095" t="inlineStr">
        <is>
          <t>No</t>
        </is>
      </c>
      <c r="I1095" t="inlineStr">
        <is>
          <t>1</t>
        </is>
      </c>
      <c r="J1095" t="inlineStr">
        <is>
          <t>No</t>
        </is>
      </c>
      <c r="K1095" t="inlineStr">
        <is>
          <t>No</t>
        </is>
      </c>
      <c r="L1095" t="inlineStr">
        <is>
          <t>0</t>
        </is>
      </c>
      <c r="M1095" t="inlineStr">
        <is>
          <t>Beckman, Joanne Shultz.</t>
        </is>
      </c>
      <c r="N1095" t="inlineStr">
        <is>
          <t>Ann Arbor, Mich. : Health Administration Press, c1992.</t>
        </is>
      </c>
      <c r="O1095" t="inlineStr">
        <is>
          <t>1992</t>
        </is>
      </c>
      <c r="Q1095" t="inlineStr">
        <is>
          <t>eng</t>
        </is>
      </c>
      <c r="R1095" t="inlineStr">
        <is>
          <t>miu</t>
        </is>
      </c>
      <c r="T1095" t="inlineStr">
        <is>
          <t xml:space="preserve">WY </t>
        </is>
      </c>
      <c r="U1095" t="n">
        <v>5</v>
      </c>
      <c r="V1095" t="n">
        <v>5</v>
      </c>
      <c r="W1095" t="inlineStr">
        <is>
          <t>1992-12-11</t>
        </is>
      </c>
      <c r="X1095" t="inlineStr">
        <is>
          <t>1992-12-11</t>
        </is>
      </c>
      <c r="Y1095" t="inlineStr">
        <is>
          <t>1992-12-10</t>
        </is>
      </c>
      <c r="Z1095" t="inlineStr">
        <is>
          <t>1992-12-10</t>
        </is>
      </c>
      <c r="AA1095" t="n">
        <v>87</v>
      </c>
      <c r="AB1095" t="n">
        <v>67</v>
      </c>
      <c r="AC1095" t="n">
        <v>72</v>
      </c>
      <c r="AD1095" t="n">
        <v>1</v>
      </c>
      <c r="AE1095" t="n">
        <v>1</v>
      </c>
      <c r="AF1095" t="n">
        <v>2</v>
      </c>
      <c r="AG1095" t="n">
        <v>2</v>
      </c>
      <c r="AH1095" t="n">
        <v>1</v>
      </c>
      <c r="AI1095" t="n">
        <v>1</v>
      </c>
      <c r="AJ1095" t="n">
        <v>0</v>
      </c>
      <c r="AK1095" t="n">
        <v>0</v>
      </c>
      <c r="AL1095" t="n">
        <v>1</v>
      </c>
      <c r="AM1095" t="n">
        <v>1</v>
      </c>
      <c r="AN1095" t="n">
        <v>0</v>
      </c>
      <c r="AO1095" t="n">
        <v>0</v>
      </c>
      <c r="AP1095" t="n">
        <v>0</v>
      </c>
      <c r="AQ1095" t="n">
        <v>0</v>
      </c>
      <c r="AR1095" t="inlineStr">
        <is>
          <t>No</t>
        </is>
      </c>
      <c r="AS1095" t="inlineStr">
        <is>
          <t>No</t>
        </is>
      </c>
      <c r="AU1095">
        <f>HYPERLINK("https://creighton-primo.hosted.exlibrisgroup.com/primo-explore/search?tab=default_tab&amp;search_scope=EVERYTHING&amp;vid=01CRU&amp;lang=en_US&amp;offset=0&amp;query=any,contains,991001349829702656","Catalog Record")</f>
        <v/>
      </c>
      <c r="AV1095">
        <f>HYPERLINK("http://www.worldcat.org/oclc/24468178","WorldCat Record")</f>
        <v/>
      </c>
      <c r="AW1095" t="inlineStr">
        <is>
          <t>26534586:eng</t>
        </is>
      </c>
      <c r="AX1095" t="inlineStr">
        <is>
          <t>24468178</t>
        </is>
      </c>
      <c r="AY1095" t="inlineStr">
        <is>
          <t>991001349829702656</t>
        </is>
      </c>
      <c r="AZ1095" t="inlineStr">
        <is>
          <t>991001349829702656</t>
        </is>
      </c>
      <c r="BA1095" t="inlineStr">
        <is>
          <t>2271161490002656</t>
        </is>
      </c>
      <c r="BB1095" t="inlineStr">
        <is>
          <t>BOOK</t>
        </is>
      </c>
      <c r="BD1095" t="inlineStr">
        <is>
          <t>9780910701754</t>
        </is>
      </c>
      <c r="BE1095" t="inlineStr">
        <is>
          <t>30001002459214</t>
        </is>
      </c>
      <c r="BF1095" t="inlineStr">
        <is>
          <t>893546608</t>
        </is>
      </c>
    </row>
    <row r="1096">
      <c r="A1096" t="inlineStr">
        <is>
          <t>No</t>
        </is>
      </c>
      <c r="B1096" t="inlineStr">
        <is>
          <t>CUHSL</t>
        </is>
      </c>
      <c r="C1096" t="inlineStr">
        <is>
          <t>SHELVES</t>
        </is>
      </c>
      <c r="D1096" t="inlineStr">
        <is>
          <t>WY 105 B636g 1981</t>
        </is>
      </c>
      <c r="E1096" t="inlineStr">
        <is>
          <t>0                      WY 0105000B  636g        1981</t>
        </is>
      </c>
      <c r="F1096" t="inlineStr">
        <is>
          <t>Grid approaches for managerial leadership in nursing / Robert R. Blake, Jane Srygley Mouton, Mildred Tapper.</t>
        </is>
      </c>
      <c r="H1096" t="inlineStr">
        <is>
          <t>No</t>
        </is>
      </c>
      <c r="I1096" t="inlineStr">
        <is>
          <t>1</t>
        </is>
      </c>
      <c r="J1096" t="inlineStr">
        <is>
          <t>No</t>
        </is>
      </c>
      <c r="K1096" t="inlineStr">
        <is>
          <t>No</t>
        </is>
      </c>
      <c r="L1096" t="inlineStr">
        <is>
          <t>0</t>
        </is>
      </c>
      <c r="M1096" t="inlineStr">
        <is>
          <t>Blake, Robert R. (Robert Rogers), 1918-2004.</t>
        </is>
      </c>
      <c r="N1096" t="inlineStr">
        <is>
          <t>St. Louis : Mosby, c1981.</t>
        </is>
      </c>
      <c r="O1096" t="inlineStr">
        <is>
          <t>1981</t>
        </is>
      </c>
      <c r="Q1096" t="inlineStr">
        <is>
          <t>eng</t>
        </is>
      </c>
      <c r="R1096" t="inlineStr">
        <is>
          <t>xxu</t>
        </is>
      </c>
      <c r="T1096" t="inlineStr">
        <is>
          <t xml:space="preserve">WY </t>
        </is>
      </c>
      <c r="U1096" t="n">
        <v>2</v>
      </c>
      <c r="V1096" t="n">
        <v>2</v>
      </c>
      <c r="W1096" t="inlineStr">
        <is>
          <t>1992-04-28</t>
        </is>
      </c>
      <c r="X1096" t="inlineStr">
        <is>
          <t>1992-04-28</t>
        </is>
      </c>
      <c r="Y1096" t="inlineStr">
        <is>
          <t>1987-12-30</t>
        </is>
      </c>
      <c r="Z1096" t="inlineStr">
        <is>
          <t>1987-12-30</t>
        </is>
      </c>
      <c r="AA1096" t="n">
        <v>235</v>
      </c>
      <c r="AB1096" t="n">
        <v>189</v>
      </c>
      <c r="AC1096" t="n">
        <v>196</v>
      </c>
      <c r="AD1096" t="n">
        <v>1</v>
      </c>
      <c r="AE1096" t="n">
        <v>1</v>
      </c>
      <c r="AF1096" t="n">
        <v>5</v>
      </c>
      <c r="AG1096" t="n">
        <v>5</v>
      </c>
      <c r="AH1096" t="n">
        <v>1</v>
      </c>
      <c r="AI1096" t="n">
        <v>1</v>
      </c>
      <c r="AJ1096" t="n">
        <v>1</v>
      </c>
      <c r="AK1096" t="n">
        <v>1</v>
      </c>
      <c r="AL1096" t="n">
        <v>3</v>
      </c>
      <c r="AM1096" t="n">
        <v>3</v>
      </c>
      <c r="AN1096" t="n">
        <v>0</v>
      </c>
      <c r="AO1096" t="n">
        <v>0</v>
      </c>
      <c r="AP1096" t="n">
        <v>0</v>
      </c>
      <c r="AQ1096" t="n">
        <v>0</v>
      </c>
      <c r="AR1096" t="inlineStr">
        <is>
          <t>No</t>
        </is>
      </c>
      <c r="AS1096" t="inlineStr">
        <is>
          <t>Yes</t>
        </is>
      </c>
      <c r="AT1096">
        <f>HYPERLINK("http://catalog.hathitrust.org/Record/000185549","HathiTrust Record")</f>
        <v/>
      </c>
      <c r="AU1096">
        <f>HYPERLINK("https://creighton-primo.hosted.exlibrisgroup.com/primo-explore/search?tab=default_tab&amp;search_scope=EVERYTHING&amp;vid=01CRU&amp;lang=en_US&amp;offset=0&amp;query=any,contains,991001150829702656","Catalog Record")</f>
        <v/>
      </c>
      <c r="AV1096">
        <f>HYPERLINK("http://www.worldcat.org/oclc/6707692","WorldCat Record")</f>
        <v/>
      </c>
      <c r="AW1096" t="inlineStr">
        <is>
          <t>500068557:eng</t>
        </is>
      </c>
      <c r="AX1096" t="inlineStr">
        <is>
          <t>6707692</t>
        </is>
      </c>
      <c r="AY1096" t="inlineStr">
        <is>
          <t>991001150829702656</t>
        </is>
      </c>
      <c r="AZ1096" t="inlineStr">
        <is>
          <t>991001150829702656</t>
        </is>
      </c>
      <c r="BA1096" t="inlineStr">
        <is>
          <t>2257698430002656</t>
        </is>
      </c>
      <c r="BB1096" t="inlineStr">
        <is>
          <t>BOOK</t>
        </is>
      </c>
      <c r="BD1096" t="inlineStr">
        <is>
          <t>9780801606960</t>
        </is>
      </c>
      <c r="BE1096" t="inlineStr">
        <is>
          <t>30001000296030</t>
        </is>
      </c>
      <c r="BF1096" t="inlineStr">
        <is>
          <t>893148908</t>
        </is>
      </c>
    </row>
    <row r="1097">
      <c r="A1097" t="inlineStr">
        <is>
          <t>No</t>
        </is>
      </c>
      <c r="B1097" t="inlineStr">
        <is>
          <t>CUHSL</t>
        </is>
      </c>
      <c r="C1097" t="inlineStr">
        <is>
          <t>SHELVES</t>
        </is>
      </c>
      <c r="D1097" t="inlineStr">
        <is>
          <t>WY 105 C337 1990</t>
        </is>
      </c>
      <c r="E1097" t="inlineStr">
        <is>
          <t>0                      WY 0105000C  337         1990</t>
        </is>
      </c>
      <c r="F1097" t="inlineStr">
        <is>
          <t>Case studies in nursing management : practice, theory, and research / [edited by] Ann Marriner-Tomey.</t>
        </is>
      </c>
      <c r="H1097" t="inlineStr">
        <is>
          <t>No</t>
        </is>
      </c>
      <c r="I1097" t="inlineStr">
        <is>
          <t>1</t>
        </is>
      </c>
      <c r="J1097" t="inlineStr">
        <is>
          <t>No</t>
        </is>
      </c>
      <c r="K1097" t="inlineStr">
        <is>
          <t>No</t>
        </is>
      </c>
      <c r="L1097" t="inlineStr">
        <is>
          <t>0</t>
        </is>
      </c>
      <c r="N1097" t="inlineStr">
        <is>
          <t>St. Louis : Mosby, c1990.</t>
        </is>
      </c>
      <c r="O1097" t="inlineStr">
        <is>
          <t>1990</t>
        </is>
      </c>
      <c r="Q1097" t="inlineStr">
        <is>
          <t>eng</t>
        </is>
      </c>
      <c r="R1097" t="inlineStr">
        <is>
          <t>mou</t>
        </is>
      </c>
      <c r="T1097" t="inlineStr">
        <is>
          <t xml:space="preserve">WY </t>
        </is>
      </c>
      <c r="U1097" t="n">
        <v>6</v>
      </c>
      <c r="V1097" t="n">
        <v>6</v>
      </c>
      <c r="W1097" t="inlineStr">
        <is>
          <t>2002-09-26</t>
        </is>
      </c>
      <c r="X1097" t="inlineStr">
        <is>
          <t>2002-09-26</t>
        </is>
      </c>
      <c r="Y1097" t="inlineStr">
        <is>
          <t>1990-07-10</t>
        </is>
      </c>
      <c r="Z1097" t="inlineStr">
        <is>
          <t>1990-07-10</t>
        </is>
      </c>
      <c r="AA1097" t="n">
        <v>293</v>
      </c>
      <c r="AB1097" t="n">
        <v>213</v>
      </c>
      <c r="AC1097" t="n">
        <v>215</v>
      </c>
      <c r="AD1097" t="n">
        <v>1</v>
      </c>
      <c r="AE1097" t="n">
        <v>1</v>
      </c>
      <c r="AF1097" t="n">
        <v>8</v>
      </c>
      <c r="AG1097" t="n">
        <v>8</v>
      </c>
      <c r="AH1097" t="n">
        <v>3</v>
      </c>
      <c r="AI1097" t="n">
        <v>3</v>
      </c>
      <c r="AJ1097" t="n">
        <v>2</v>
      </c>
      <c r="AK1097" t="n">
        <v>2</v>
      </c>
      <c r="AL1097" t="n">
        <v>5</v>
      </c>
      <c r="AM1097" t="n">
        <v>5</v>
      </c>
      <c r="AN1097" t="n">
        <v>0</v>
      </c>
      <c r="AO1097" t="n">
        <v>0</v>
      </c>
      <c r="AP1097" t="n">
        <v>0</v>
      </c>
      <c r="AQ1097" t="n">
        <v>0</v>
      </c>
      <c r="AR1097" t="inlineStr">
        <is>
          <t>No</t>
        </is>
      </c>
      <c r="AS1097" t="inlineStr">
        <is>
          <t>Yes</t>
        </is>
      </c>
      <c r="AT1097">
        <f>HYPERLINK("http://catalog.hathitrust.org/Record/002164855","HathiTrust Record")</f>
        <v/>
      </c>
      <c r="AU1097">
        <f>HYPERLINK("https://creighton-primo.hosted.exlibrisgroup.com/primo-explore/search?tab=default_tab&amp;search_scope=EVERYTHING&amp;vid=01CRU&amp;lang=en_US&amp;offset=0&amp;query=any,contains,991001451369702656","Catalog Record")</f>
        <v/>
      </c>
      <c r="AV1097">
        <f>HYPERLINK("http://www.worldcat.org/oclc/20594079","WorldCat Record")</f>
        <v/>
      </c>
      <c r="AW1097" t="inlineStr">
        <is>
          <t>905398000:eng</t>
        </is>
      </c>
      <c r="AX1097" t="inlineStr">
        <is>
          <t>20594079</t>
        </is>
      </c>
      <c r="AY1097" t="inlineStr">
        <is>
          <t>991001451369702656</t>
        </is>
      </c>
      <c r="AZ1097" t="inlineStr">
        <is>
          <t>991001451369702656</t>
        </is>
      </c>
      <c r="BA1097" t="inlineStr">
        <is>
          <t>2267478600002656</t>
        </is>
      </c>
      <c r="BB1097" t="inlineStr">
        <is>
          <t>BOOK</t>
        </is>
      </c>
      <c r="BD1097" t="inlineStr">
        <is>
          <t>9780801658488</t>
        </is>
      </c>
      <c r="BE1097" t="inlineStr">
        <is>
          <t>30001001883091</t>
        </is>
      </c>
      <c r="BF1097" t="inlineStr">
        <is>
          <t>893451220</t>
        </is>
      </c>
    </row>
    <row r="1098">
      <c r="A1098" t="inlineStr">
        <is>
          <t>No</t>
        </is>
      </c>
      <c r="B1098" t="inlineStr">
        <is>
          <t>CUHSL</t>
        </is>
      </c>
      <c r="C1098" t="inlineStr">
        <is>
          <t>SHELVES</t>
        </is>
      </c>
      <c r="D1098" t="inlineStr">
        <is>
          <t>WY 105 C456 1989</t>
        </is>
      </c>
      <c r="E1098" t="inlineStr">
        <is>
          <t>0                      WY 0105000C  456         1989</t>
        </is>
      </c>
      <c r="F1098" t="inlineStr">
        <is>
          <t>Changing organizational structures / editor, Marion Johnson.</t>
        </is>
      </c>
      <c r="H1098" t="inlineStr">
        <is>
          <t>No</t>
        </is>
      </c>
      <c r="I1098" t="inlineStr">
        <is>
          <t>1</t>
        </is>
      </c>
      <c r="J1098" t="inlineStr">
        <is>
          <t>No</t>
        </is>
      </c>
      <c r="K1098" t="inlineStr">
        <is>
          <t>No</t>
        </is>
      </c>
      <c r="L1098" t="inlineStr">
        <is>
          <t>0</t>
        </is>
      </c>
      <c r="N1098" t="inlineStr">
        <is>
          <t>Redwood City, Calif. : Addison-Wesley Pub. Co., c1989.</t>
        </is>
      </c>
      <c r="O1098" t="inlineStr">
        <is>
          <t>1989</t>
        </is>
      </c>
      <c r="Q1098" t="inlineStr">
        <is>
          <t>eng</t>
        </is>
      </c>
      <c r="R1098" t="inlineStr">
        <is>
          <t>xxu</t>
        </is>
      </c>
      <c r="S1098" t="inlineStr">
        <is>
          <t>Series on nursing administration, 0895-4364 ; v. 2</t>
        </is>
      </c>
      <c r="T1098" t="inlineStr">
        <is>
          <t xml:space="preserve">WY </t>
        </is>
      </c>
      <c r="U1098" t="n">
        <v>6</v>
      </c>
      <c r="V1098" t="n">
        <v>6</v>
      </c>
      <c r="W1098" t="inlineStr">
        <is>
          <t>1990-08-31</t>
        </is>
      </c>
      <c r="X1098" t="inlineStr">
        <is>
          <t>1990-08-31</t>
        </is>
      </c>
      <c r="Y1098" t="inlineStr">
        <is>
          <t>1990-08-24</t>
        </is>
      </c>
      <c r="Z1098" t="inlineStr">
        <is>
          <t>1990-08-24</t>
        </is>
      </c>
      <c r="AA1098" t="n">
        <v>66</v>
      </c>
      <c r="AB1098" t="n">
        <v>52</v>
      </c>
      <c r="AC1098" t="n">
        <v>52</v>
      </c>
      <c r="AD1098" t="n">
        <v>1</v>
      </c>
      <c r="AE1098" t="n">
        <v>1</v>
      </c>
      <c r="AF1098" t="n">
        <v>2</v>
      </c>
      <c r="AG1098" t="n">
        <v>2</v>
      </c>
      <c r="AH1098" t="n">
        <v>0</v>
      </c>
      <c r="AI1098" t="n">
        <v>0</v>
      </c>
      <c r="AJ1098" t="n">
        <v>1</v>
      </c>
      <c r="AK1098" t="n">
        <v>1</v>
      </c>
      <c r="AL1098" t="n">
        <v>1</v>
      </c>
      <c r="AM1098" t="n">
        <v>1</v>
      </c>
      <c r="AN1098" t="n">
        <v>0</v>
      </c>
      <c r="AO1098" t="n">
        <v>0</v>
      </c>
      <c r="AP1098" t="n">
        <v>0</v>
      </c>
      <c r="AQ1098" t="n">
        <v>0</v>
      </c>
      <c r="AR1098" t="inlineStr">
        <is>
          <t>No</t>
        </is>
      </c>
      <c r="AS1098" t="inlineStr">
        <is>
          <t>No</t>
        </is>
      </c>
      <c r="AU1098">
        <f>HYPERLINK("https://creighton-primo.hosted.exlibrisgroup.com/primo-explore/search?tab=default_tab&amp;search_scope=EVERYTHING&amp;vid=01CRU&amp;lang=en_US&amp;offset=0&amp;query=any,contains,991001454029702656","Catalog Record")</f>
        <v/>
      </c>
      <c r="AV1098">
        <f>HYPERLINK("http://www.worldcat.org/oclc/20897257","WorldCat Record")</f>
        <v/>
      </c>
      <c r="AW1098" t="inlineStr">
        <is>
          <t>1104267153:eng</t>
        </is>
      </c>
      <c r="AX1098" t="inlineStr">
        <is>
          <t>20897257</t>
        </is>
      </c>
      <c r="AY1098" t="inlineStr">
        <is>
          <t>991001454029702656</t>
        </is>
      </c>
      <c r="AZ1098" t="inlineStr">
        <is>
          <t>991001454029702656</t>
        </is>
      </c>
      <c r="BA1098" t="inlineStr">
        <is>
          <t>2267719320002656</t>
        </is>
      </c>
      <c r="BB1098" t="inlineStr">
        <is>
          <t>BOOK</t>
        </is>
      </c>
      <c r="BD1098" t="inlineStr">
        <is>
          <t>9780201129281</t>
        </is>
      </c>
      <c r="BE1098" t="inlineStr">
        <is>
          <t>30001001884297</t>
        </is>
      </c>
      <c r="BF1098" t="inlineStr">
        <is>
          <t>893816431</t>
        </is>
      </c>
    </row>
    <row r="1099">
      <c r="A1099" t="inlineStr">
        <is>
          <t>No</t>
        </is>
      </c>
      <c r="B1099" t="inlineStr">
        <is>
          <t>CUHSL</t>
        </is>
      </c>
      <c r="C1099" t="inlineStr">
        <is>
          <t>SHELVES</t>
        </is>
      </c>
      <c r="D1099" t="inlineStr">
        <is>
          <t>WY 105 C592n 1994</t>
        </is>
      </c>
      <c r="E1099" t="inlineStr">
        <is>
          <t>0                      WY 0105000C  592n        1994</t>
        </is>
      </c>
      <c r="F1099" t="inlineStr">
        <is>
          <t>The Nurse as group leader / Carolyn Chambers Clark.</t>
        </is>
      </c>
      <c r="H1099" t="inlineStr">
        <is>
          <t>No</t>
        </is>
      </c>
      <c r="I1099" t="inlineStr">
        <is>
          <t>1</t>
        </is>
      </c>
      <c r="J1099" t="inlineStr">
        <is>
          <t>No</t>
        </is>
      </c>
      <c r="K1099" t="inlineStr">
        <is>
          <t>Yes</t>
        </is>
      </c>
      <c r="L1099" t="inlineStr">
        <is>
          <t>0</t>
        </is>
      </c>
      <c r="M1099" t="inlineStr">
        <is>
          <t>Clark, Carolyn Chambers.</t>
        </is>
      </c>
      <c r="N1099" t="inlineStr">
        <is>
          <t>New York : Springer Pub. Co., c1994.</t>
        </is>
      </c>
      <c r="O1099" t="inlineStr">
        <is>
          <t>1994</t>
        </is>
      </c>
      <c r="P1099" t="inlineStr">
        <is>
          <t>3rd ed.</t>
        </is>
      </c>
      <c r="Q1099" t="inlineStr">
        <is>
          <t>eng</t>
        </is>
      </c>
      <c r="R1099" t="inlineStr">
        <is>
          <t>nyu</t>
        </is>
      </c>
      <c r="S1099" t="inlineStr">
        <is>
          <t>Springer series on the teaching of nursing ; v. 3</t>
        </is>
      </c>
      <c r="T1099" t="inlineStr">
        <is>
          <t xml:space="preserve">WY </t>
        </is>
      </c>
      <c r="U1099" t="n">
        <v>4</v>
      </c>
      <c r="V1099" t="n">
        <v>4</v>
      </c>
      <c r="W1099" t="inlineStr">
        <is>
          <t>2002-03-07</t>
        </is>
      </c>
      <c r="X1099" t="inlineStr">
        <is>
          <t>2002-03-07</t>
        </is>
      </c>
      <c r="Y1099" t="inlineStr">
        <is>
          <t>1994-09-12</t>
        </is>
      </c>
      <c r="Z1099" t="inlineStr">
        <is>
          <t>1994-09-12</t>
        </is>
      </c>
      <c r="AA1099" t="n">
        <v>208</v>
      </c>
      <c r="AB1099" t="n">
        <v>166</v>
      </c>
      <c r="AC1099" t="n">
        <v>348</v>
      </c>
      <c r="AD1099" t="n">
        <v>1</v>
      </c>
      <c r="AE1099" t="n">
        <v>2</v>
      </c>
      <c r="AF1099" t="n">
        <v>8</v>
      </c>
      <c r="AG1099" t="n">
        <v>14</v>
      </c>
      <c r="AH1099" t="n">
        <v>3</v>
      </c>
      <c r="AI1099" t="n">
        <v>5</v>
      </c>
      <c r="AJ1099" t="n">
        <v>3</v>
      </c>
      <c r="AK1099" t="n">
        <v>4</v>
      </c>
      <c r="AL1099" t="n">
        <v>5</v>
      </c>
      <c r="AM1099" t="n">
        <v>7</v>
      </c>
      <c r="AN1099" t="n">
        <v>0</v>
      </c>
      <c r="AO1099" t="n">
        <v>1</v>
      </c>
      <c r="AP1099" t="n">
        <v>0</v>
      </c>
      <c r="AQ1099" t="n">
        <v>0</v>
      </c>
      <c r="AR1099" t="inlineStr">
        <is>
          <t>No</t>
        </is>
      </c>
      <c r="AS1099" t="inlineStr">
        <is>
          <t>Yes</t>
        </is>
      </c>
      <c r="AT1099">
        <f>HYPERLINK("http://catalog.hathitrust.org/Record/002867079","HathiTrust Record")</f>
        <v/>
      </c>
      <c r="AU1099">
        <f>HYPERLINK("https://creighton-primo.hosted.exlibrisgroup.com/primo-explore/search?tab=default_tab&amp;search_scope=EVERYTHING&amp;vid=01CRU&amp;lang=en_US&amp;offset=0&amp;query=any,contains,991000677269702656","Catalog Record")</f>
        <v/>
      </c>
      <c r="AV1099">
        <f>HYPERLINK("http://www.worldcat.org/oclc/29847018","WorldCat Record")</f>
        <v/>
      </c>
      <c r="AW1099" t="inlineStr">
        <is>
          <t>7023111:eng</t>
        </is>
      </c>
      <c r="AX1099" t="inlineStr">
        <is>
          <t>29847018</t>
        </is>
      </c>
      <c r="AY1099" t="inlineStr">
        <is>
          <t>991000677269702656</t>
        </is>
      </c>
      <c r="AZ1099" t="inlineStr">
        <is>
          <t>991000677269702656</t>
        </is>
      </c>
      <c r="BA1099" t="inlineStr">
        <is>
          <t>2265818100002656</t>
        </is>
      </c>
      <c r="BB1099" t="inlineStr">
        <is>
          <t>BOOK</t>
        </is>
      </c>
      <c r="BD1099" t="inlineStr">
        <is>
          <t>9780826123336</t>
        </is>
      </c>
      <c r="BE1099" t="inlineStr">
        <is>
          <t>30001002696690</t>
        </is>
      </c>
      <c r="BF1099" t="inlineStr">
        <is>
          <t>893545491</t>
        </is>
      </c>
    </row>
    <row r="1100">
      <c r="A1100" t="inlineStr">
        <is>
          <t>No</t>
        </is>
      </c>
      <c r="B1100" t="inlineStr">
        <is>
          <t>CUHSL</t>
        </is>
      </c>
      <c r="C1100" t="inlineStr">
        <is>
          <t>SHELVES</t>
        </is>
      </c>
      <c r="D1100" t="inlineStr">
        <is>
          <t>WY 105 C762 1982</t>
        </is>
      </c>
      <c r="E1100" t="inlineStr">
        <is>
          <t>0                      WY 0105000C  762         1982</t>
        </is>
      </c>
      <c r="F1100" t="inlineStr">
        <is>
          <t>Contemporary leadership behavior : selected readings / edited by Eleanor C. Hein, M. Jean Nicholson.</t>
        </is>
      </c>
      <c r="H1100" t="inlineStr">
        <is>
          <t>No</t>
        </is>
      </c>
      <c r="I1100" t="inlineStr">
        <is>
          <t>1</t>
        </is>
      </c>
      <c r="J1100" t="inlineStr">
        <is>
          <t>No</t>
        </is>
      </c>
      <c r="K1100" t="inlineStr">
        <is>
          <t>Yes</t>
        </is>
      </c>
      <c r="L1100" t="inlineStr">
        <is>
          <t>0</t>
        </is>
      </c>
      <c r="N1100" t="inlineStr">
        <is>
          <t>Boston : Little, Brown, c1982.</t>
        </is>
      </c>
      <c r="O1100" t="inlineStr">
        <is>
          <t>1982</t>
        </is>
      </c>
      <c r="P1100" t="inlineStr">
        <is>
          <t>1st ed.</t>
        </is>
      </c>
      <c r="Q1100" t="inlineStr">
        <is>
          <t>eng</t>
        </is>
      </c>
      <c r="R1100" t="inlineStr">
        <is>
          <t>mau</t>
        </is>
      </c>
      <c r="T1100" t="inlineStr">
        <is>
          <t xml:space="preserve">WY </t>
        </is>
      </c>
      <c r="U1100" t="n">
        <v>1</v>
      </c>
      <c r="V1100" t="n">
        <v>1</v>
      </c>
      <c r="W1100" t="inlineStr">
        <is>
          <t>1992-03-22</t>
        </is>
      </c>
      <c r="X1100" t="inlineStr">
        <is>
          <t>1992-03-22</t>
        </is>
      </c>
      <c r="Y1100" t="inlineStr">
        <is>
          <t>1987-10-22</t>
        </is>
      </c>
      <c r="Z1100" t="inlineStr">
        <is>
          <t>1987-10-22</t>
        </is>
      </c>
      <c r="AA1100" t="n">
        <v>120</v>
      </c>
      <c r="AB1100" t="n">
        <v>105</v>
      </c>
      <c r="AC1100" t="n">
        <v>458</v>
      </c>
      <c r="AD1100" t="n">
        <v>1</v>
      </c>
      <c r="AE1100" t="n">
        <v>7</v>
      </c>
      <c r="AF1100" t="n">
        <v>3</v>
      </c>
      <c r="AG1100" t="n">
        <v>18</v>
      </c>
      <c r="AH1100" t="n">
        <v>1</v>
      </c>
      <c r="AI1100" t="n">
        <v>8</v>
      </c>
      <c r="AJ1100" t="n">
        <v>0</v>
      </c>
      <c r="AK1100" t="n">
        <v>0</v>
      </c>
      <c r="AL1100" t="n">
        <v>2</v>
      </c>
      <c r="AM1100" t="n">
        <v>8</v>
      </c>
      <c r="AN1100" t="n">
        <v>0</v>
      </c>
      <c r="AO1100" t="n">
        <v>5</v>
      </c>
      <c r="AP1100" t="n">
        <v>0</v>
      </c>
      <c r="AQ1100" t="n">
        <v>0</v>
      </c>
      <c r="AR1100" t="inlineStr">
        <is>
          <t>No</t>
        </is>
      </c>
      <c r="AS1100" t="inlineStr">
        <is>
          <t>Yes</t>
        </is>
      </c>
      <c r="AT1100">
        <f>HYPERLINK("http://catalog.hathitrust.org/Record/000155703","HathiTrust Record")</f>
        <v/>
      </c>
      <c r="AU1100">
        <f>HYPERLINK("https://creighton-primo.hosted.exlibrisgroup.com/primo-explore/search?tab=default_tab&amp;search_scope=EVERYTHING&amp;vid=01CRU&amp;lang=en_US&amp;offset=0&amp;query=any,contains,991000736669702656","Catalog Record")</f>
        <v/>
      </c>
      <c r="AV1100">
        <f>HYPERLINK("http://www.worldcat.org/oclc/9008103","WorldCat Record")</f>
        <v/>
      </c>
      <c r="AW1100" t="inlineStr">
        <is>
          <t>796281615:eng</t>
        </is>
      </c>
      <c r="AX1100" t="inlineStr">
        <is>
          <t>9008103</t>
        </is>
      </c>
      <c r="AY1100" t="inlineStr">
        <is>
          <t>991000736669702656</t>
        </is>
      </c>
      <c r="AZ1100" t="inlineStr">
        <is>
          <t>991000736669702656</t>
        </is>
      </c>
      <c r="BA1100" t="inlineStr">
        <is>
          <t>2255265850002656</t>
        </is>
      </c>
      <c r="BB1100" t="inlineStr">
        <is>
          <t>BOOK</t>
        </is>
      </c>
      <c r="BD1100" t="inlineStr">
        <is>
          <t>9780316354479</t>
        </is>
      </c>
      <c r="BE1100" t="inlineStr">
        <is>
          <t>30001000041865</t>
        </is>
      </c>
      <c r="BF1100" t="inlineStr">
        <is>
          <t>893278051</t>
        </is>
      </c>
    </row>
    <row r="1101">
      <c r="A1101" t="inlineStr">
        <is>
          <t>No</t>
        </is>
      </c>
      <c r="B1101" t="inlineStr">
        <is>
          <t>CUHSL</t>
        </is>
      </c>
      <c r="C1101" t="inlineStr">
        <is>
          <t>SHELVES</t>
        </is>
      </c>
      <c r="D1101" t="inlineStr">
        <is>
          <t>WY 105 C9758 1988</t>
        </is>
      </c>
      <c r="E1101" t="inlineStr">
        <is>
          <t>0                      WY 0105000C  9758        1988</t>
        </is>
      </c>
      <c r="F1101" t="inlineStr">
        <is>
          <t>Current strategies for nurse administrators / edited by Mary K. Stull, SueEllen Pinkerton.</t>
        </is>
      </c>
      <c r="H1101" t="inlineStr">
        <is>
          <t>No</t>
        </is>
      </c>
      <c r="I1101" t="inlineStr">
        <is>
          <t>1</t>
        </is>
      </c>
      <c r="J1101" t="inlineStr">
        <is>
          <t>No</t>
        </is>
      </c>
      <c r="K1101" t="inlineStr">
        <is>
          <t>No</t>
        </is>
      </c>
      <c r="L1101" t="inlineStr">
        <is>
          <t>0</t>
        </is>
      </c>
      <c r="N1101" t="inlineStr">
        <is>
          <t>Rockville, Md. : Aspen Publishers, c1988.</t>
        </is>
      </c>
      <c r="O1101" t="inlineStr">
        <is>
          <t>1988</t>
        </is>
      </c>
      <c r="Q1101" t="inlineStr">
        <is>
          <t>eng</t>
        </is>
      </c>
      <c r="R1101" t="inlineStr">
        <is>
          <t>xxu</t>
        </is>
      </c>
      <c r="T1101" t="inlineStr">
        <is>
          <t xml:space="preserve">WY </t>
        </is>
      </c>
      <c r="U1101" t="n">
        <v>8</v>
      </c>
      <c r="V1101" t="n">
        <v>8</v>
      </c>
      <c r="W1101" t="inlineStr">
        <is>
          <t>1998-11-21</t>
        </is>
      </c>
      <c r="X1101" t="inlineStr">
        <is>
          <t>1998-11-21</t>
        </is>
      </c>
      <c r="Y1101" t="inlineStr">
        <is>
          <t>1988-03-22</t>
        </is>
      </c>
      <c r="Z1101" t="inlineStr">
        <is>
          <t>1988-03-22</t>
        </is>
      </c>
      <c r="AA1101" t="n">
        <v>161</v>
      </c>
      <c r="AB1101" t="n">
        <v>145</v>
      </c>
      <c r="AC1101" t="n">
        <v>148</v>
      </c>
      <c r="AD1101" t="n">
        <v>1</v>
      </c>
      <c r="AE1101" t="n">
        <v>1</v>
      </c>
      <c r="AF1101" t="n">
        <v>6</v>
      </c>
      <c r="AG1101" t="n">
        <v>6</v>
      </c>
      <c r="AH1101" t="n">
        <v>2</v>
      </c>
      <c r="AI1101" t="n">
        <v>2</v>
      </c>
      <c r="AJ1101" t="n">
        <v>1</v>
      </c>
      <c r="AK1101" t="n">
        <v>1</v>
      </c>
      <c r="AL1101" t="n">
        <v>4</v>
      </c>
      <c r="AM1101" t="n">
        <v>4</v>
      </c>
      <c r="AN1101" t="n">
        <v>0</v>
      </c>
      <c r="AO1101" t="n">
        <v>0</v>
      </c>
      <c r="AP1101" t="n">
        <v>0</v>
      </c>
      <c r="AQ1101" t="n">
        <v>0</v>
      </c>
      <c r="AR1101" t="inlineStr">
        <is>
          <t>No</t>
        </is>
      </c>
      <c r="AS1101" t="inlineStr">
        <is>
          <t>Yes</t>
        </is>
      </c>
      <c r="AT1101">
        <f>HYPERLINK("http://catalog.hathitrust.org/Record/000877320","HathiTrust Record")</f>
        <v/>
      </c>
      <c r="AU1101">
        <f>HYPERLINK("https://creighton-primo.hosted.exlibrisgroup.com/primo-explore/search?tab=default_tab&amp;search_scope=EVERYTHING&amp;vid=01CRU&amp;lang=en_US&amp;offset=0&amp;query=any,contains,991001177339702656","Catalog Record")</f>
        <v/>
      </c>
      <c r="AV1101">
        <f>HYPERLINK("http://www.worldcat.org/oclc/16525150","WorldCat Record")</f>
        <v/>
      </c>
      <c r="AW1101" t="inlineStr">
        <is>
          <t>430822358:eng</t>
        </is>
      </c>
      <c r="AX1101" t="inlineStr">
        <is>
          <t>16525150</t>
        </is>
      </c>
      <c r="AY1101" t="inlineStr">
        <is>
          <t>991001177339702656</t>
        </is>
      </c>
      <c r="AZ1101" t="inlineStr">
        <is>
          <t>991001177339702656</t>
        </is>
      </c>
      <c r="BA1101" t="inlineStr">
        <is>
          <t>2267311290002656</t>
        </is>
      </c>
      <c r="BB1101" t="inlineStr">
        <is>
          <t>BOOK</t>
        </is>
      </c>
      <c r="BD1101" t="inlineStr">
        <is>
          <t>9780871898784</t>
        </is>
      </c>
      <c r="BE1101" t="inlineStr">
        <is>
          <t>30001000976193</t>
        </is>
      </c>
      <c r="BF1101" t="inlineStr">
        <is>
          <t>893278840</t>
        </is>
      </c>
    </row>
    <row r="1102">
      <c r="A1102" t="inlineStr">
        <is>
          <t>No</t>
        </is>
      </c>
      <c r="B1102" t="inlineStr">
        <is>
          <t>CUHSL</t>
        </is>
      </c>
      <c r="C1102" t="inlineStr">
        <is>
          <t>SHELVES</t>
        </is>
      </c>
      <c r="D1102" t="inlineStr">
        <is>
          <t>WY 105 D489 1973</t>
        </is>
      </c>
      <c r="E1102" t="inlineStr">
        <is>
          <t>0                      WY 0105000D  489         1973</t>
        </is>
      </c>
      <c r="F1102" t="inlineStr">
        <is>
          <t>Developing strategies to effect change : presentations at the 1973 Forum for Nursing Service Administrators in the West.</t>
        </is>
      </c>
      <c r="H1102" t="inlineStr">
        <is>
          <t>No</t>
        </is>
      </c>
      <c r="I1102" t="inlineStr">
        <is>
          <t>1</t>
        </is>
      </c>
      <c r="J1102" t="inlineStr">
        <is>
          <t>No</t>
        </is>
      </c>
      <c r="K1102" t="inlineStr">
        <is>
          <t>No</t>
        </is>
      </c>
      <c r="L1102" t="inlineStr">
        <is>
          <t>0</t>
        </is>
      </c>
      <c r="N1102" t="inlineStr">
        <is>
          <t>New York : National League for Nursing, Division of Community Planning, c1974.</t>
        </is>
      </c>
      <c r="O1102" t="inlineStr">
        <is>
          <t>1973</t>
        </is>
      </c>
      <c r="Q1102" t="inlineStr">
        <is>
          <t>eng</t>
        </is>
      </c>
      <c r="R1102" t="inlineStr">
        <is>
          <t>nyu</t>
        </is>
      </c>
      <c r="S1102" t="inlineStr">
        <is>
          <t>NLN pub. no. 52-1537</t>
        </is>
      </c>
      <c r="T1102" t="inlineStr">
        <is>
          <t xml:space="preserve">WY </t>
        </is>
      </c>
      <c r="U1102" t="n">
        <v>1</v>
      </c>
      <c r="V1102" t="n">
        <v>1</v>
      </c>
      <c r="W1102" t="inlineStr">
        <is>
          <t>1990-07-23</t>
        </is>
      </c>
      <c r="X1102" t="inlineStr">
        <is>
          <t>1990-07-23</t>
        </is>
      </c>
      <c r="Y1102" t="inlineStr">
        <is>
          <t>1987-11-18</t>
        </is>
      </c>
      <c r="Z1102" t="inlineStr">
        <is>
          <t>1987-11-18</t>
        </is>
      </c>
      <c r="AA1102" t="n">
        <v>75</v>
      </c>
      <c r="AB1102" t="n">
        <v>65</v>
      </c>
      <c r="AC1102" t="n">
        <v>68</v>
      </c>
      <c r="AD1102" t="n">
        <v>3</v>
      </c>
      <c r="AE1102" t="n">
        <v>3</v>
      </c>
      <c r="AF1102" t="n">
        <v>3</v>
      </c>
      <c r="AG1102" t="n">
        <v>3</v>
      </c>
      <c r="AH1102" t="n">
        <v>0</v>
      </c>
      <c r="AI1102" t="n">
        <v>0</v>
      </c>
      <c r="AJ1102" t="n">
        <v>0</v>
      </c>
      <c r="AK1102" t="n">
        <v>0</v>
      </c>
      <c r="AL1102" t="n">
        <v>2</v>
      </c>
      <c r="AM1102" t="n">
        <v>2</v>
      </c>
      <c r="AN1102" t="n">
        <v>1</v>
      </c>
      <c r="AO1102" t="n">
        <v>1</v>
      </c>
      <c r="AP1102" t="n">
        <v>0</v>
      </c>
      <c r="AQ1102" t="n">
        <v>0</v>
      </c>
      <c r="AR1102" t="inlineStr">
        <is>
          <t>No</t>
        </is>
      </c>
      <c r="AS1102" t="inlineStr">
        <is>
          <t>Yes</t>
        </is>
      </c>
      <c r="AT1102">
        <f>HYPERLINK("http://catalog.hathitrust.org/Record/001574054","HathiTrust Record")</f>
        <v/>
      </c>
      <c r="AU1102">
        <f>HYPERLINK("https://creighton-primo.hosted.exlibrisgroup.com/primo-explore/search?tab=default_tab&amp;search_scope=EVERYTHING&amp;vid=01CRU&amp;lang=en_US&amp;offset=0&amp;query=any,contains,991001516099702656","Catalog Record")</f>
        <v/>
      </c>
      <c r="AV1102">
        <f>HYPERLINK("http://www.worldcat.org/oclc/1365543","WorldCat Record")</f>
        <v/>
      </c>
      <c r="AW1102" t="inlineStr">
        <is>
          <t>1151028135:eng</t>
        </is>
      </c>
      <c r="AX1102" t="inlineStr">
        <is>
          <t>1365543</t>
        </is>
      </c>
      <c r="AY1102" t="inlineStr">
        <is>
          <t>991001516099702656</t>
        </is>
      </c>
      <c r="AZ1102" t="inlineStr">
        <is>
          <t>991001516099702656</t>
        </is>
      </c>
      <c r="BA1102" t="inlineStr">
        <is>
          <t>2267997390002656</t>
        </is>
      </c>
      <c r="BB1102" t="inlineStr">
        <is>
          <t>BOOK</t>
        </is>
      </c>
      <c r="BE1102" t="inlineStr">
        <is>
          <t>30001000600017</t>
        </is>
      </c>
      <c r="BF1102" t="inlineStr">
        <is>
          <t>893643658</t>
        </is>
      </c>
    </row>
    <row r="1103">
      <c r="A1103" t="inlineStr">
        <is>
          <t>No</t>
        </is>
      </c>
      <c r="B1103" t="inlineStr">
        <is>
          <t>CUHSL</t>
        </is>
      </c>
      <c r="C1103" t="inlineStr">
        <is>
          <t>SHELVES</t>
        </is>
      </c>
      <c r="D1103" t="inlineStr">
        <is>
          <t>WY 105 D582 1989</t>
        </is>
      </c>
      <c r="E1103" t="inlineStr">
        <is>
          <t>0                      WY 0105000D  582         1989</t>
        </is>
      </c>
      <c r="F1103" t="inlineStr">
        <is>
          <t>Dimensions of nursing administration : theory, research, education, practice / edited by Beverly Henry ... [et al.].</t>
        </is>
      </c>
      <c r="H1103" t="inlineStr">
        <is>
          <t>No</t>
        </is>
      </c>
      <c r="I1103" t="inlineStr">
        <is>
          <t>1</t>
        </is>
      </c>
      <c r="J1103" t="inlineStr">
        <is>
          <t>No</t>
        </is>
      </c>
      <c r="K1103" t="inlineStr">
        <is>
          <t>No</t>
        </is>
      </c>
      <c r="L1103" t="inlineStr">
        <is>
          <t>0</t>
        </is>
      </c>
      <c r="N1103" t="inlineStr">
        <is>
          <t>Boston : Blackwell Scientific Publications, c1989.</t>
        </is>
      </c>
      <c r="O1103" t="inlineStr">
        <is>
          <t>1989</t>
        </is>
      </c>
      <c r="Q1103" t="inlineStr">
        <is>
          <t>eng</t>
        </is>
      </c>
      <c r="R1103" t="inlineStr">
        <is>
          <t>xxu</t>
        </is>
      </c>
      <c r="T1103" t="inlineStr">
        <is>
          <t xml:space="preserve">WY </t>
        </is>
      </c>
      <c r="U1103" t="n">
        <v>3</v>
      </c>
      <c r="V1103" t="n">
        <v>3</v>
      </c>
      <c r="W1103" t="inlineStr">
        <is>
          <t>1997-09-09</t>
        </is>
      </c>
      <c r="X1103" t="inlineStr">
        <is>
          <t>1997-09-09</t>
        </is>
      </c>
      <c r="Y1103" t="inlineStr">
        <is>
          <t>1989-06-13</t>
        </is>
      </c>
      <c r="Z1103" t="inlineStr">
        <is>
          <t>1989-06-13</t>
        </is>
      </c>
      <c r="AA1103" t="n">
        <v>228</v>
      </c>
      <c r="AB1103" t="n">
        <v>180</v>
      </c>
      <c r="AC1103" t="n">
        <v>185</v>
      </c>
      <c r="AD1103" t="n">
        <v>2</v>
      </c>
      <c r="AE1103" t="n">
        <v>2</v>
      </c>
      <c r="AF1103" t="n">
        <v>11</v>
      </c>
      <c r="AG1103" t="n">
        <v>11</v>
      </c>
      <c r="AH1103" t="n">
        <v>3</v>
      </c>
      <c r="AI1103" t="n">
        <v>3</v>
      </c>
      <c r="AJ1103" t="n">
        <v>3</v>
      </c>
      <c r="AK1103" t="n">
        <v>3</v>
      </c>
      <c r="AL1103" t="n">
        <v>7</v>
      </c>
      <c r="AM1103" t="n">
        <v>7</v>
      </c>
      <c r="AN1103" t="n">
        <v>1</v>
      </c>
      <c r="AO1103" t="n">
        <v>1</v>
      </c>
      <c r="AP1103" t="n">
        <v>0</v>
      </c>
      <c r="AQ1103" t="n">
        <v>0</v>
      </c>
      <c r="AR1103" t="inlineStr">
        <is>
          <t>No</t>
        </is>
      </c>
      <c r="AS1103" t="inlineStr">
        <is>
          <t>No</t>
        </is>
      </c>
      <c r="AU1103">
        <f>HYPERLINK("https://creighton-primo.hosted.exlibrisgroup.com/primo-explore/search?tab=default_tab&amp;search_scope=EVERYTHING&amp;vid=01CRU&amp;lang=en_US&amp;offset=0&amp;query=any,contains,991001250439702656","Catalog Record")</f>
        <v/>
      </c>
      <c r="AV1103">
        <f>HYPERLINK("http://www.worldcat.org/oclc/18413580","WorldCat Record")</f>
        <v/>
      </c>
      <c r="AW1103" t="inlineStr">
        <is>
          <t>894510751:eng</t>
        </is>
      </c>
      <c r="AX1103" t="inlineStr">
        <is>
          <t>18413580</t>
        </is>
      </c>
      <c r="AY1103" t="inlineStr">
        <is>
          <t>991001250439702656</t>
        </is>
      </c>
      <c r="AZ1103" t="inlineStr">
        <is>
          <t>991001250439702656</t>
        </is>
      </c>
      <c r="BA1103" t="inlineStr">
        <is>
          <t>2258688010002656</t>
        </is>
      </c>
      <c r="BB1103" t="inlineStr">
        <is>
          <t>BOOK</t>
        </is>
      </c>
      <c r="BD1103" t="inlineStr">
        <is>
          <t>9780865420519</t>
        </is>
      </c>
      <c r="BE1103" t="inlineStr">
        <is>
          <t>30001001678756</t>
        </is>
      </c>
      <c r="BF1103" t="inlineStr">
        <is>
          <t>893649009</t>
        </is>
      </c>
    </row>
    <row r="1104">
      <c r="A1104" t="inlineStr">
        <is>
          <t>No</t>
        </is>
      </c>
      <c r="B1104" t="inlineStr">
        <is>
          <t>CUHSL</t>
        </is>
      </c>
      <c r="C1104" t="inlineStr">
        <is>
          <t>SHELVES</t>
        </is>
      </c>
      <c r="D1104" t="inlineStr">
        <is>
          <t>WY 105 D737e 1992</t>
        </is>
      </c>
      <c r="E1104" t="inlineStr">
        <is>
          <t>0                      WY 0105000D  737e        1992</t>
        </is>
      </c>
      <c r="F1104" t="inlineStr">
        <is>
          <t>The effective nurse : leader and manager / Laura Mae Douglass.</t>
        </is>
      </c>
      <c r="H1104" t="inlineStr">
        <is>
          <t>No</t>
        </is>
      </c>
      <c r="I1104" t="inlineStr">
        <is>
          <t>1</t>
        </is>
      </c>
      <c r="J1104" t="inlineStr">
        <is>
          <t>No</t>
        </is>
      </c>
      <c r="K1104" t="inlineStr">
        <is>
          <t>Yes</t>
        </is>
      </c>
      <c r="L1104" t="inlineStr">
        <is>
          <t>0</t>
        </is>
      </c>
      <c r="M1104" t="inlineStr">
        <is>
          <t>Douglass, Laura Mae.</t>
        </is>
      </c>
      <c r="N1104" t="inlineStr">
        <is>
          <t>St. Louis : Mosby-Year Book, c1992.</t>
        </is>
      </c>
      <c r="O1104" t="inlineStr">
        <is>
          <t>1992</t>
        </is>
      </c>
      <c r="P1104" t="inlineStr">
        <is>
          <t>4th ed.</t>
        </is>
      </c>
      <c r="Q1104" t="inlineStr">
        <is>
          <t>eng</t>
        </is>
      </c>
      <c r="R1104" t="inlineStr">
        <is>
          <t>ilu</t>
        </is>
      </c>
      <c r="T1104" t="inlineStr">
        <is>
          <t xml:space="preserve">WY </t>
        </is>
      </c>
      <c r="U1104" t="n">
        <v>3</v>
      </c>
      <c r="V1104" t="n">
        <v>3</v>
      </c>
      <c r="W1104" t="inlineStr">
        <is>
          <t>1992-05-05</t>
        </is>
      </c>
      <c r="X1104" t="inlineStr">
        <is>
          <t>1992-05-05</t>
        </is>
      </c>
      <c r="Y1104" t="inlineStr">
        <is>
          <t>1992-02-13</t>
        </is>
      </c>
      <c r="Z1104" t="inlineStr">
        <is>
          <t>1992-02-13</t>
        </is>
      </c>
      <c r="AA1104" t="n">
        <v>399</v>
      </c>
      <c r="AB1104" t="n">
        <v>315</v>
      </c>
      <c r="AC1104" t="n">
        <v>736</v>
      </c>
      <c r="AD1104" t="n">
        <v>2</v>
      </c>
      <c r="AE1104" t="n">
        <v>4</v>
      </c>
      <c r="AF1104" t="n">
        <v>7</v>
      </c>
      <c r="AG1104" t="n">
        <v>20</v>
      </c>
      <c r="AH1104" t="n">
        <v>3</v>
      </c>
      <c r="AI1104" t="n">
        <v>11</v>
      </c>
      <c r="AJ1104" t="n">
        <v>2</v>
      </c>
      <c r="AK1104" t="n">
        <v>3</v>
      </c>
      <c r="AL1104" t="n">
        <v>4</v>
      </c>
      <c r="AM1104" t="n">
        <v>9</v>
      </c>
      <c r="AN1104" t="n">
        <v>0</v>
      </c>
      <c r="AO1104" t="n">
        <v>1</v>
      </c>
      <c r="AP1104" t="n">
        <v>0</v>
      </c>
      <c r="AQ1104" t="n">
        <v>0</v>
      </c>
      <c r="AR1104" t="inlineStr">
        <is>
          <t>No</t>
        </is>
      </c>
      <c r="AS1104" t="inlineStr">
        <is>
          <t>Yes</t>
        </is>
      </c>
      <c r="AT1104">
        <f>HYPERLINK("http://catalog.hathitrust.org/Record/002496156","HathiTrust Record")</f>
        <v/>
      </c>
      <c r="AU1104">
        <f>HYPERLINK("https://creighton-primo.hosted.exlibrisgroup.com/primo-explore/search?tab=default_tab&amp;search_scope=EVERYTHING&amp;vid=01CRU&amp;lang=en_US&amp;offset=0&amp;query=any,contains,991001033269702656","Catalog Record")</f>
        <v/>
      </c>
      <c r="AV1104">
        <f>HYPERLINK("http://www.worldcat.org/oclc/23651135","WorldCat Record")</f>
        <v/>
      </c>
      <c r="AW1104" t="inlineStr">
        <is>
          <t>20629787:eng</t>
        </is>
      </c>
      <c r="AX1104" t="inlineStr">
        <is>
          <t>23651135</t>
        </is>
      </c>
      <c r="AY1104" t="inlineStr">
        <is>
          <t>991001033269702656</t>
        </is>
      </c>
      <c r="AZ1104" t="inlineStr">
        <is>
          <t>991001033269702656</t>
        </is>
      </c>
      <c r="BA1104" t="inlineStr">
        <is>
          <t>2262953500002656</t>
        </is>
      </c>
      <c r="BB1104" t="inlineStr">
        <is>
          <t>BOOK</t>
        </is>
      </c>
      <c r="BD1104" t="inlineStr">
        <is>
          <t>9780801663208</t>
        </is>
      </c>
      <c r="BE1104" t="inlineStr">
        <is>
          <t>30001002244236</t>
        </is>
      </c>
      <c r="BF1104" t="inlineStr">
        <is>
          <t>893731614</t>
        </is>
      </c>
    </row>
    <row r="1105">
      <c r="A1105" t="inlineStr">
        <is>
          <t>No</t>
        </is>
      </c>
      <c r="B1105" t="inlineStr">
        <is>
          <t>CUHSL</t>
        </is>
      </c>
      <c r="C1105" t="inlineStr">
        <is>
          <t>SHELVES</t>
        </is>
      </c>
      <c r="D1105" t="inlineStr">
        <is>
          <t>WY 105 E27 1978</t>
        </is>
      </c>
      <c r="E1105" t="inlineStr">
        <is>
          <t>0                      WY 0105000E  27          1978</t>
        </is>
      </c>
      <c r="F1105" t="inlineStr">
        <is>
          <t>Effective boardmanship : hiring and evaluating the agency administrator.</t>
        </is>
      </c>
      <c r="H1105" t="inlineStr">
        <is>
          <t>No</t>
        </is>
      </c>
      <c r="I1105" t="inlineStr">
        <is>
          <t>1</t>
        </is>
      </c>
      <c r="J1105" t="inlineStr">
        <is>
          <t>No</t>
        </is>
      </c>
      <c r="K1105" t="inlineStr">
        <is>
          <t>No</t>
        </is>
      </c>
      <c r="L1105" t="inlineStr">
        <is>
          <t>0</t>
        </is>
      </c>
      <c r="N1105" t="inlineStr">
        <is>
          <t>New York : National League for Nursing, c1978.</t>
        </is>
      </c>
      <c r="O1105" t="inlineStr">
        <is>
          <t>1978</t>
        </is>
      </c>
      <c r="Q1105" t="inlineStr">
        <is>
          <t>eng</t>
        </is>
      </c>
      <c r="R1105" t="inlineStr">
        <is>
          <t>nyu</t>
        </is>
      </c>
      <c r="S1105" t="inlineStr">
        <is>
          <t>NLN pub. no. 21-1742</t>
        </is>
      </c>
      <c r="T1105" t="inlineStr">
        <is>
          <t xml:space="preserve">WY </t>
        </is>
      </c>
      <c r="U1105" t="n">
        <v>2</v>
      </c>
      <c r="V1105" t="n">
        <v>2</v>
      </c>
      <c r="W1105" t="inlineStr">
        <is>
          <t>1990-08-20</t>
        </is>
      </c>
      <c r="X1105" t="inlineStr">
        <is>
          <t>1990-08-20</t>
        </is>
      </c>
      <c r="Y1105" t="inlineStr">
        <is>
          <t>1987-11-04</t>
        </is>
      </c>
      <c r="Z1105" t="inlineStr">
        <is>
          <t>1987-11-04</t>
        </is>
      </c>
      <c r="AA1105" t="n">
        <v>80</v>
      </c>
      <c r="AB1105" t="n">
        <v>73</v>
      </c>
      <c r="AC1105" t="n">
        <v>73</v>
      </c>
      <c r="AD1105" t="n">
        <v>1</v>
      </c>
      <c r="AE1105" t="n">
        <v>1</v>
      </c>
      <c r="AF1105" t="n">
        <v>5</v>
      </c>
      <c r="AG1105" t="n">
        <v>5</v>
      </c>
      <c r="AH1105" t="n">
        <v>1</v>
      </c>
      <c r="AI1105" t="n">
        <v>1</v>
      </c>
      <c r="AJ1105" t="n">
        <v>1</v>
      </c>
      <c r="AK1105" t="n">
        <v>1</v>
      </c>
      <c r="AL1105" t="n">
        <v>4</v>
      </c>
      <c r="AM1105" t="n">
        <v>4</v>
      </c>
      <c r="AN1105" t="n">
        <v>0</v>
      </c>
      <c r="AO1105" t="n">
        <v>0</v>
      </c>
      <c r="AP1105" t="n">
        <v>0</v>
      </c>
      <c r="AQ1105" t="n">
        <v>0</v>
      </c>
      <c r="AR1105" t="inlineStr">
        <is>
          <t>No</t>
        </is>
      </c>
      <c r="AS1105" t="inlineStr">
        <is>
          <t>No</t>
        </is>
      </c>
      <c r="AU1105">
        <f>HYPERLINK("https://creighton-primo.hosted.exlibrisgroup.com/primo-explore/search?tab=default_tab&amp;search_scope=EVERYTHING&amp;vid=01CRU&amp;lang=en_US&amp;offset=0&amp;query=any,contains,991001386869702656","Catalog Record")</f>
        <v/>
      </c>
      <c r="AV1105">
        <f>HYPERLINK("http://www.worldcat.org/oclc/5196575","WorldCat Record")</f>
        <v/>
      </c>
      <c r="AW1105" t="inlineStr">
        <is>
          <t>3770329752:eng</t>
        </is>
      </c>
      <c r="AX1105" t="inlineStr">
        <is>
          <t>5196575</t>
        </is>
      </c>
      <c r="AY1105" t="inlineStr">
        <is>
          <t>991001386869702656</t>
        </is>
      </c>
      <c r="AZ1105" t="inlineStr">
        <is>
          <t>991001386869702656</t>
        </is>
      </c>
      <c r="BA1105" t="inlineStr">
        <is>
          <t>2258783560002656</t>
        </is>
      </c>
      <c r="BB1105" t="inlineStr">
        <is>
          <t>BOOK</t>
        </is>
      </c>
      <c r="BE1105" t="inlineStr">
        <is>
          <t>30001000463929</t>
        </is>
      </c>
      <c r="BF1105" t="inlineStr">
        <is>
          <t>893149131</t>
        </is>
      </c>
    </row>
    <row r="1106">
      <c r="A1106" t="inlineStr">
        <is>
          <t>No</t>
        </is>
      </c>
      <c r="B1106" t="inlineStr">
        <is>
          <t>CUHSL</t>
        </is>
      </c>
      <c r="C1106" t="inlineStr">
        <is>
          <t>SHELVES</t>
        </is>
      </c>
      <c r="D1106" t="inlineStr">
        <is>
          <t>WY 105 E275 1992</t>
        </is>
      </c>
      <c r="E1106" t="inlineStr">
        <is>
          <t>0                      WY 0105000E  275         1992</t>
        </is>
      </c>
      <c r="F1106" t="inlineStr">
        <is>
          <t>Effective management in nursing / [edited by] Eleanor J. Sullivan, Phillip J. Decker.</t>
        </is>
      </c>
      <c r="H1106" t="inlineStr">
        <is>
          <t>No</t>
        </is>
      </c>
      <c r="I1106" t="inlineStr">
        <is>
          <t>1</t>
        </is>
      </c>
      <c r="J1106" t="inlineStr">
        <is>
          <t>No</t>
        </is>
      </c>
      <c r="K1106" t="inlineStr">
        <is>
          <t>No</t>
        </is>
      </c>
      <c r="L1106" t="inlineStr">
        <is>
          <t>0</t>
        </is>
      </c>
      <c r="N1106" t="inlineStr">
        <is>
          <t>Redwood City, Calif. : Addison-Wesley Nursing, c1992.</t>
        </is>
      </c>
      <c r="O1106" t="inlineStr">
        <is>
          <t>1992</t>
        </is>
      </c>
      <c r="P1106" t="inlineStr">
        <is>
          <t>3rd ed.</t>
        </is>
      </c>
      <c r="Q1106" t="inlineStr">
        <is>
          <t>eng</t>
        </is>
      </c>
      <c r="R1106" t="inlineStr">
        <is>
          <t>cau</t>
        </is>
      </c>
      <c r="T1106" t="inlineStr">
        <is>
          <t xml:space="preserve">WY </t>
        </is>
      </c>
      <c r="U1106" t="n">
        <v>46</v>
      </c>
      <c r="V1106" t="n">
        <v>46</v>
      </c>
      <c r="W1106" t="inlineStr">
        <is>
          <t>2004-02-03</t>
        </is>
      </c>
      <c r="X1106" t="inlineStr">
        <is>
          <t>2004-02-03</t>
        </is>
      </c>
      <c r="Y1106" t="inlineStr">
        <is>
          <t>1992-08-06</t>
        </is>
      </c>
      <c r="Z1106" t="inlineStr">
        <is>
          <t>1992-08-06</t>
        </is>
      </c>
      <c r="AA1106" t="n">
        <v>219</v>
      </c>
      <c r="AB1106" t="n">
        <v>169</v>
      </c>
      <c r="AC1106" t="n">
        <v>434</v>
      </c>
      <c r="AD1106" t="n">
        <v>2</v>
      </c>
      <c r="AE1106" t="n">
        <v>3</v>
      </c>
      <c r="AF1106" t="n">
        <v>8</v>
      </c>
      <c r="AG1106" t="n">
        <v>15</v>
      </c>
      <c r="AH1106" t="n">
        <v>2</v>
      </c>
      <c r="AI1106" t="n">
        <v>4</v>
      </c>
      <c r="AJ1106" t="n">
        <v>4</v>
      </c>
      <c r="AK1106" t="n">
        <v>5</v>
      </c>
      <c r="AL1106" t="n">
        <v>2</v>
      </c>
      <c r="AM1106" t="n">
        <v>6</v>
      </c>
      <c r="AN1106" t="n">
        <v>1</v>
      </c>
      <c r="AO1106" t="n">
        <v>2</v>
      </c>
      <c r="AP1106" t="n">
        <v>0</v>
      </c>
      <c r="AQ1106" t="n">
        <v>0</v>
      </c>
      <c r="AR1106" t="inlineStr">
        <is>
          <t>No</t>
        </is>
      </c>
      <c r="AS1106" t="inlineStr">
        <is>
          <t>Yes</t>
        </is>
      </c>
      <c r="AT1106">
        <f>HYPERLINK("http://catalog.hathitrust.org/Record/002514612","HathiTrust Record")</f>
        <v/>
      </c>
      <c r="AU1106">
        <f>HYPERLINK("https://creighton-primo.hosted.exlibrisgroup.com/primo-explore/search?tab=default_tab&amp;search_scope=EVERYTHING&amp;vid=01CRU&amp;lang=en_US&amp;offset=0&amp;query=any,contains,991001338759702656","Catalog Record")</f>
        <v/>
      </c>
      <c r="AV1106">
        <f>HYPERLINK("http://www.worldcat.org/oclc/24247161","WorldCat Record")</f>
        <v/>
      </c>
      <c r="AW1106" t="inlineStr">
        <is>
          <t>3855266224:eng</t>
        </is>
      </c>
      <c r="AX1106" t="inlineStr">
        <is>
          <t>24247161</t>
        </is>
      </c>
      <c r="AY1106" t="inlineStr">
        <is>
          <t>991001338759702656</t>
        </is>
      </c>
      <c r="AZ1106" t="inlineStr">
        <is>
          <t>991001338759702656</t>
        </is>
      </c>
      <c r="BA1106" t="inlineStr">
        <is>
          <t>2262072620002656</t>
        </is>
      </c>
      <c r="BB1106" t="inlineStr">
        <is>
          <t>BOOK</t>
        </is>
      </c>
      <c r="BD1106" t="inlineStr">
        <is>
          <t>9780805378627</t>
        </is>
      </c>
      <c r="BE1106" t="inlineStr">
        <is>
          <t>30001002455063</t>
        </is>
      </c>
      <c r="BF1106" t="inlineStr">
        <is>
          <t>893736505</t>
        </is>
      </c>
    </row>
    <row r="1107">
      <c r="A1107" t="inlineStr">
        <is>
          <t>No</t>
        </is>
      </c>
      <c r="B1107" t="inlineStr">
        <is>
          <t>CUHSL</t>
        </is>
      </c>
      <c r="C1107" t="inlineStr">
        <is>
          <t>SHELVES</t>
        </is>
      </c>
      <c r="D1107" t="inlineStr">
        <is>
          <t>WY 105 F532a 1984</t>
        </is>
      </c>
      <c r="E1107" t="inlineStr">
        <is>
          <t>0                      WY 0105000F  532a        1984</t>
        </is>
      </c>
      <c r="F1107" t="inlineStr">
        <is>
          <t>Administrator's handbook for community health and home care services / Carolyn W. Fish.</t>
        </is>
      </c>
      <c r="H1107" t="inlineStr">
        <is>
          <t>No</t>
        </is>
      </c>
      <c r="I1107" t="inlineStr">
        <is>
          <t>1</t>
        </is>
      </c>
      <c r="J1107" t="inlineStr">
        <is>
          <t>No</t>
        </is>
      </c>
      <c r="K1107" t="inlineStr">
        <is>
          <t>No</t>
        </is>
      </c>
      <c r="L1107" t="inlineStr">
        <is>
          <t>0</t>
        </is>
      </c>
      <c r="M1107" t="inlineStr">
        <is>
          <t>Fish, Carolyn W.</t>
        </is>
      </c>
      <c r="N1107" t="inlineStr">
        <is>
          <t>New York : National League for Nursing, c1984.</t>
        </is>
      </c>
      <c r="O1107" t="inlineStr">
        <is>
          <t>1984</t>
        </is>
      </c>
      <c r="P1107" t="inlineStr">
        <is>
          <t>[Rev. ed.]</t>
        </is>
      </c>
      <c r="Q1107" t="inlineStr">
        <is>
          <t>eng</t>
        </is>
      </c>
      <c r="R1107" t="inlineStr">
        <is>
          <t>nyu</t>
        </is>
      </c>
      <c r="S1107" t="inlineStr">
        <is>
          <t>Pub. ; no. 21-1943</t>
        </is>
      </c>
      <c r="T1107" t="inlineStr">
        <is>
          <t xml:space="preserve">WY </t>
        </is>
      </c>
      <c r="U1107" t="n">
        <v>3</v>
      </c>
      <c r="V1107" t="n">
        <v>3</v>
      </c>
      <c r="W1107" t="inlineStr">
        <is>
          <t>1989-12-02</t>
        </is>
      </c>
      <c r="X1107" t="inlineStr">
        <is>
          <t>1989-12-02</t>
        </is>
      </c>
      <c r="Y1107" t="inlineStr">
        <is>
          <t>1987-12-30</t>
        </is>
      </c>
      <c r="Z1107" t="inlineStr">
        <is>
          <t>1987-12-30</t>
        </is>
      </c>
      <c r="AA1107" t="n">
        <v>98</v>
      </c>
      <c r="AB1107" t="n">
        <v>86</v>
      </c>
      <c r="AC1107" t="n">
        <v>90</v>
      </c>
      <c r="AD1107" t="n">
        <v>1</v>
      </c>
      <c r="AE1107" t="n">
        <v>1</v>
      </c>
      <c r="AF1107" t="n">
        <v>2</v>
      </c>
      <c r="AG1107" t="n">
        <v>3</v>
      </c>
      <c r="AH1107" t="n">
        <v>0</v>
      </c>
      <c r="AI1107" t="n">
        <v>1</v>
      </c>
      <c r="AJ1107" t="n">
        <v>2</v>
      </c>
      <c r="AK1107" t="n">
        <v>2</v>
      </c>
      <c r="AL1107" t="n">
        <v>2</v>
      </c>
      <c r="AM1107" t="n">
        <v>3</v>
      </c>
      <c r="AN1107" t="n">
        <v>0</v>
      </c>
      <c r="AO1107" t="n">
        <v>0</v>
      </c>
      <c r="AP1107" t="n">
        <v>0</v>
      </c>
      <c r="AQ1107" t="n">
        <v>0</v>
      </c>
      <c r="AR1107" t="inlineStr">
        <is>
          <t>No</t>
        </is>
      </c>
      <c r="AS1107" t="inlineStr">
        <is>
          <t>No</t>
        </is>
      </c>
      <c r="AU1107">
        <f>HYPERLINK("https://creighton-primo.hosted.exlibrisgroup.com/primo-explore/search?tab=default_tab&amp;search_scope=EVERYTHING&amp;vid=01CRU&amp;lang=en_US&amp;offset=0&amp;query=any,contains,991001151089702656","Catalog Record")</f>
        <v/>
      </c>
      <c r="AV1107">
        <f>HYPERLINK("http://www.worldcat.org/oclc/10700351","WorldCat Record")</f>
        <v/>
      </c>
      <c r="AW1107" t="inlineStr">
        <is>
          <t>1883124243:eng</t>
        </is>
      </c>
      <c r="AX1107" t="inlineStr">
        <is>
          <t>10700351</t>
        </is>
      </c>
      <c r="AY1107" t="inlineStr">
        <is>
          <t>991001151089702656</t>
        </is>
      </c>
      <c r="AZ1107" t="inlineStr">
        <is>
          <t>991001151089702656</t>
        </is>
      </c>
      <c r="BA1107" t="inlineStr">
        <is>
          <t>2260895920002656</t>
        </is>
      </c>
      <c r="BB1107" t="inlineStr">
        <is>
          <t>BOOK</t>
        </is>
      </c>
      <c r="BD1107" t="inlineStr">
        <is>
          <t>9780887370663</t>
        </is>
      </c>
      <c r="BE1107" t="inlineStr">
        <is>
          <t>30001000296170</t>
        </is>
      </c>
      <c r="BF1107" t="inlineStr">
        <is>
          <t>893736272</t>
        </is>
      </c>
    </row>
    <row r="1108">
      <c r="A1108" t="inlineStr">
        <is>
          <t>No</t>
        </is>
      </c>
      <c r="B1108" t="inlineStr">
        <is>
          <t>CUHSL</t>
        </is>
      </c>
      <c r="C1108" t="inlineStr">
        <is>
          <t>SHELVES</t>
        </is>
      </c>
      <c r="D1108" t="inlineStr">
        <is>
          <t>WY 105 G394 1978</t>
        </is>
      </c>
      <c r="E1108" t="inlineStr">
        <is>
          <t>0                      WY 0105000G  394         1978</t>
        </is>
      </c>
      <c r="F1108" t="inlineStr">
        <is>
          <t>Getting our act together : presentations from the March 1978 Forum for Nursing Service Administrators in the West / sponsored by the Western Regional Assembly of Constituent Leagues.</t>
        </is>
      </c>
      <c r="H1108" t="inlineStr">
        <is>
          <t>No</t>
        </is>
      </c>
      <c r="I1108" t="inlineStr">
        <is>
          <t>1</t>
        </is>
      </c>
      <c r="J1108" t="inlineStr">
        <is>
          <t>No</t>
        </is>
      </c>
      <c r="K1108" t="inlineStr">
        <is>
          <t>No</t>
        </is>
      </c>
      <c r="L1108" t="inlineStr">
        <is>
          <t>0</t>
        </is>
      </c>
      <c r="N1108" t="inlineStr">
        <is>
          <t>New York : National League for Nursing, c1979.</t>
        </is>
      </c>
      <c r="O1108" t="inlineStr">
        <is>
          <t>1978</t>
        </is>
      </c>
      <c r="Q1108" t="inlineStr">
        <is>
          <t>eng</t>
        </is>
      </c>
      <c r="R1108" t="inlineStr">
        <is>
          <t>nyu</t>
        </is>
      </c>
      <c r="S1108" t="inlineStr">
        <is>
          <t>NLN pub. no. 52-1805</t>
        </is>
      </c>
      <c r="T1108" t="inlineStr">
        <is>
          <t xml:space="preserve">WY </t>
        </is>
      </c>
      <c r="U1108" t="n">
        <v>1</v>
      </c>
      <c r="V1108" t="n">
        <v>1</v>
      </c>
      <c r="W1108" t="inlineStr">
        <is>
          <t>1990-07-11</t>
        </is>
      </c>
      <c r="X1108" t="inlineStr">
        <is>
          <t>1990-07-11</t>
        </is>
      </c>
      <c r="Y1108" t="inlineStr">
        <is>
          <t>1987-11-18</t>
        </is>
      </c>
      <c r="Z1108" t="inlineStr">
        <is>
          <t>1987-11-18</t>
        </is>
      </c>
      <c r="AA1108" t="n">
        <v>79</v>
      </c>
      <c r="AB1108" t="n">
        <v>72</v>
      </c>
      <c r="AC1108" t="n">
        <v>74</v>
      </c>
      <c r="AD1108" t="n">
        <v>1</v>
      </c>
      <c r="AE1108" t="n">
        <v>1</v>
      </c>
      <c r="AF1108" t="n">
        <v>2</v>
      </c>
      <c r="AG1108" t="n">
        <v>2</v>
      </c>
      <c r="AH1108" t="n">
        <v>1</v>
      </c>
      <c r="AI1108" t="n">
        <v>1</v>
      </c>
      <c r="AJ1108" t="n">
        <v>0</v>
      </c>
      <c r="AK1108" t="n">
        <v>0</v>
      </c>
      <c r="AL1108" t="n">
        <v>1</v>
      </c>
      <c r="AM1108" t="n">
        <v>1</v>
      </c>
      <c r="AN1108" t="n">
        <v>0</v>
      </c>
      <c r="AO1108" t="n">
        <v>0</v>
      </c>
      <c r="AP1108" t="n">
        <v>0</v>
      </c>
      <c r="AQ1108" t="n">
        <v>0</v>
      </c>
      <c r="AR1108" t="inlineStr">
        <is>
          <t>No</t>
        </is>
      </c>
      <c r="AS1108" t="inlineStr">
        <is>
          <t>Yes</t>
        </is>
      </c>
      <c r="AT1108">
        <f>HYPERLINK("http://catalog.hathitrust.org/Record/000718842","HathiTrust Record")</f>
        <v/>
      </c>
      <c r="AU1108">
        <f>HYPERLINK("https://creighton-primo.hosted.exlibrisgroup.com/primo-explore/search?tab=default_tab&amp;search_scope=EVERYTHING&amp;vid=01CRU&amp;lang=en_US&amp;offset=0&amp;query=any,contains,991001517409702656","Catalog Record")</f>
        <v/>
      </c>
      <c r="AV1108">
        <f>HYPERLINK("http://www.worldcat.org/oclc/5863650","WorldCat Record")</f>
        <v/>
      </c>
      <c r="AW1108" t="inlineStr">
        <is>
          <t>1154094211:eng</t>
        </is>
      </c>
      <c r="AX1108" t="inlineStr">
        <is>
          <t>5863650</t>
        </is>
      </c>
      <c r="AY1108" t="inlineStr">
        <is>
          <t>991001517409702656</t>
        </is>
      </c>
      <c r="AZ1108" t="inlineStr">
        <is>
          <t>991001517409702656</t>
        </is>
      </c>
      <c r="BA1108" t="inlineStr">
        <is>
          <t>2260970070002656</t>
        </is>
      </c>
      <c r="BB1108" t="inlineStr">
        <is>
          <t>BOOK</t>
        </is>
      </c>
      <c r="BE1108" t="inlineStr">
        <is>
          <t>30001000600199</t>
        </is>
      </c>
      <c r="BF1108" t="inlineStr">
        <is>
          <t>893374668</t>
        </is>
      </c>
    </row>
    <row r="1109">
      <c r="A1109" t="inlineStr">
        <is>
          <t>No</t>
        </is>
      </c>
      <c r="B1109" t="inlineStr">
        <is>
          <t>CUHSL</t>
        </is>
      </c>
      <c r="C1109" t="inlineStr">
        <is>
          <t>SHELVES</t>
        </is>
      </c>
      <c r="D1109" t="inlineStr">
        <is>
          <t>WY105 G874L 2003</t>
        </is>
      </c>
      <c r="E1109" t="inlineStr">
        <is>
          <t>0                      WY 0105000G  874L        2003</t>
        </is>
      </c>
      <c r="F1109" t="inlineStr">
        <is>
          <t>Leadership and management in nursing / Mary Ellen Grohar-Murray, Helen R. DiCroce.</t>
        </is>
      </c>
      <c r="H1109" t="inlineStr">
        <is>
          <t>No</t>
        </is>
      </c>
      <c r="I1109" t="inlineStr">
        <is>
          <t>1</t>
        </is>
      </c>
      <c r="J1109" t="inlineStr">
        <is>
          <t>No</t>
        </is>
      </c>
      <c r="K1109" t="inlineStr">
        <is>
          <t>Yes</t>
        </is>
      </c>
      <c r="L1109" t="inlineStr">
        <is>
          <t>0</t>
        </is>
      </c>
      <c r="M1109" t="inlineStr">
        <is>
          <t>Grohar-Murray, Mary Ellen.</t>
        </is>
      </c>
      <c r="N1109" t="inlineStr">
        <is>
          <t>Upper Saddle River, N.J. : Prentice Hall, 2003.</t>
        </is>
      </c>
      <c r="O1109" t="inlineStr">
        <is>
          <t>2003</t>
        </is>
      </c>
      <c r="P1109" t="inlineStr">
        <is>
          <t>3rd ed.</t>
        </is>
      </c>
      <c r="Q1109" t="inlineStr">
        <is>
          <t>eng</t>
        </is>
      </c>
      <c r="R1109" t="inlineStr">
        <is>
          <t>nju</t>
        </is>
      </c>
      <c r="T1109" t="inlineStr">
        <is>
          <t xml:space="preserve">WY </t>
        </is>
      </c>
      <c r="U1109" t="n">
        <v>0</v>
      </c>
      <c r="V1109" t="n">
        <v>0</v>
      </c>
      <c r="W1109" t="inlineStr">
        <is>
          <t>2003-06-10</t>
        </is>
      </c>
      <c r="X1109" t="inlineStr">
        <is>
          <t>2003-06-10</t>
        </is>
      </c>
      <c r="Y1109" t="inlineStr">
        <is>
          <t>2003-06-10</t>
        </is>
      </c>
      <c r="Z1109" t="inlineStr">
        <is>
          <t>2003-06-10</t>
        </is>
      </c>
      <c r="AA1109" t="n">
        <v>463</v>
      </c>
      <c r="AB1109" t="n">
        <v>350</v>
      </c>
      <c r="AC1109" t="n">
        <v>698</v>
      </c>
      <c r="AD1109" t="n">
        <v>2</v>
      </c>
      <c r="AE1109" t="n">
        <v>3</v>
      </c>
      <c r="AF1109" t="n">
        <v>13</v>
      </c>
      <c r="AG1109" t="n">
        <v>28</v>
      </c>
      <c r="AH1109" t="n">
        <v>6</v>
      </c>
      <c r="AI1109" t="n">
        <v>12</v>
      </c>
      <c r="AJ1109" t="n">
        <v>2</v>
      </c>
      <c r="AK1109" t="n">
        <v>6</v>
      </c>
      <c r="AL1109" t="n">
        <v>6</v>
      </c>
      <c r="AM1109" t="n">
        <v>15</v>
      </c>
      <c r="AN1109" t="n">
        <v>1</v>
      </c>
      <c r="AO1109" t="n">
        <v>2</v>
      </c>
      <c r="AP1109" t="n">
        <v>0</v>
      </c>
      <c r="AQ1109" t="n">
        <v>0</v>
      </c>
      <c r="AR1109" t="inlineStr">
        <is>
          <t>No</t>
        </is>
      </c>
      <c r="AS1109" t="inlineStr">
        <is>
          <t>Yes</t>
        </is>
      </c>
      <c r="AT1109">
        <f>HYPERLINK("http://catalog.hathitrust.org/Record/004270214","HathiTrust Record")</f>
        <v/>
      </c>
      <c r="AU1109">
        <f>HYPERLINK("https://creighton-primo.hosted.exlibrisgroup.com/primo-explore/search?tab=default_tab&amp;search_scope=EVERYTHING&amp;vid=01CRU&amp;lang=en_US&amp;offset=0&amp;query=any,contains,991001723099702656","Catalog Record")</f>
        <v/>
      </c>
      <c r="AV1109">
        <f>HYPERLINK("http://www.worldcat.org/oclc/48773783","WorldCat Record")</f>
        <v/>
      </c>
      <c r="AW1109" t="inlineStr">
        <is>
          <t>1118673:eng</t>
        </is>
      </c>
      <c r="AX1109" t="inlineStr">
        <is>
          <t>48773783</t>
        </is>
      </c>
      <c r="AY1109" t="inlineStr">
        <is>
          <t>991001723099702656</t>
        </is>
      </c>
      <c r="AZ1109" t="inlineStr">
        <is>
          <t>991001723099702656</t>
        </is>
      </c>
      <c r="BA1109" t="inlineStr">
        <is>
          <t>2267477370002656</t>
        </is>
      </c>
      <c r="BB1109" t="inlineStr">
        <is>
          <t>BOOK</t>
        </is>
      </c>
      <c r="BD1109" t="inlineStr">
        <is>
          <t>9780130617774</t>
        </is>
      </c>
      <c r="BE1109" t="inlineStr">
        <is>
          <t>30001004501328</t>
        </is>
      </c>
      <c r="BF1109" t="inlineStr">
        <is>
          <t>893121792</t>
        </is>
      </c>
    </row>
    <row r="1110">
      <c r="A1110" t="inlineStr">
        <is>
          <t>No</t>
        </is>
      </c>
      <c r="B1110" t="inlineStr">
        <is>
          <t>CUHSL</t>
        </is>
      </c>
      <c r="C1110" t="inlineStr">
        <is>
          <t>SHELVES</t>
        </is>
      </c>
      <c r="D1110" t="inlineStr">
        <is>
          <t>WY105 G8785n 2005</t>
        </is>
      </c>
      <c r="E1110" t="inlineStr">
        <is>
          <t>0                      WY 0105000G  8785n       2005</t>
        </is>
      </c>
      <c r="F1110" t="inlineStr">
        <is>
          <t>The new leadership challenge : creating the future of nursing / Sheila C. Grossman, Theresa M. Valiga.</t>
        </is>
      </c>
      <c r="H1110" t="inlineStr">
        <is>
          <t>No</t>
        </is>
      </c>
      <c r="I1110" t="inlineStr">
        <is>
          <t>1</t>
        </is>
      </c>
      <c r="J1110" t="inlineStr">
        <is>
          <t>No</t>
        </is>
      </c>
      <c r="K1110" t="inlineStr">
        <is>
          <t>Yes</t>
        </is>
      </c>
      <c r="L1110" t="inlineStr">
        <is>
          <t>0</t>
        </is>
      </c>
      <c r="M1110" t="inlineStr">
        <is>
          <t>Grossman, Sheila.</t>
        </is>
      </c>
      <c r="N1110" t="inlineStr">
        <is>
          <t>Philadelphia : F.A. Davis, c2005.</t>
        </is>
      </c>
      <c r="O1110" t="inlineStr">
        <is>
          <t>2005</t>
        </is>
      </c>
      <c r="P1110" t="inlineStr">
        <is>
          <t>2nd ed.</t>
        </is>
      </c>
      <c r="Q1110" t="inlineStr">
        <is>
          <t>eng</t>
        </is>
      </c>
      <c r="R1110" t="inlineStr">
        <is>
          <t>pau</t>
        </is>
      </c>
      <c r="T1110" t="inlineStr">
        <is>
          <t xml:space="preserve">WY </t>
        </is>
      </c>
      <c r="U1110" t="n">
        <v>1</v>
      </c>
      <c r="V1110" t="n">
        <v>1</v>
      </c>
      <c r="W1110" t="inlineStr">
        <is>
          <t>2006-06-13</t>
        </is>
      </c>
      <c r="X1110" t="inlineStr">
        <is>
          <t>2006-06-13</t>
        </is>
      </c>
      <c r="Y1110" t="inlineStr">
        <is>
          <t>2005-09-27</t>
        </is>
      </c>
      <c r="Z1110" t="inlineStr">
        <is>
          <t>2005-09-27</t>
        </is>
      </c>
      <c r="AA1110" t="n">
        <v>269</v>
      </c>
      <c r="AB1110" t="n">
        <v>207</v>
      </c>
      <c r="AC1110" t="n">
        <v>1138</v>
      </c>
      <c r="AD1110" t="n">
        <v>3</v>
      </c>
      <c r="AE1110" t="n">
        <v>33</v>
      </c>
      <c r="AF1110" t="n">
        <v>8</v>
      </c>
      <c r="AG1110" t="n">
        <v>51</v>
      </c>
      <c r="AH1110" t="n">
        <v>4</v>
      </c>
      <c r="AI1110" t="n">
        <v>18</v>
      </c>
      <c r="AJ1110" t="n">
        <v>0</v>
      </c>
      <c r="AK1110" t="n">
        <v>8</v>
      </c>
      <c r="AL1110" t="n">
        <v>4</v>
      </c>
      <c r="AM1110" t="n">
        <v>15</v>
      </c>
      <c r="AN1110" t="n">
        <v>2</v>
      </c>
      <c r="AO1110" t="n">
        <v>16</v>
      </c>
      <c r="AP1110" t="n">
        <v>0</v>
      </c>
      <c r="AQ1110" t="n">
        <v>1</v>
      </c>
      <c r="AR1110" t="inlineStr">
        <is>
          <t>No</t>
        </is>
      </c>
      <c r="AS1110" t="inlineStr">
        <is>
          <t>No</t>
        </is>
      </c>
      <c r="AU1110">
        <f>HYPERLINK("https://creighton-primo.hosted.exlibrisgroup.com/primo-explore/search?tab=default_tab&amp;search_scope=EVERYTHING&amp;vid=01CRU&amp;lang=en_US&amp;offset=0&amp;query=any,contains,991000444819702656","Catalog Record")</f>
        <v/>
      </c>
      <c r="AV1110">
        <f>HYPERLINK("http://www.worldcat.org/oclc/57682434","WorldCat Record")</f>
        <v/>
      </c>
      <c r="AW1110" t="inlineStr">
        <is>
          <t>797219262:eng</t>
        </is>
      </c>
      <c r="AX1110" t="inlineStr">
        <is>
          <t>57682434</t>
        </is>
      </c>
      <c r="AY1110" t="inlineStr">
        <is>
          <t>991000444819702656</t>
        </is>
      </c>
      <c r="AZ1110" t="inlineStr">
        <is>
          <t>991000444819702656</t>
        </is>
      </c>
      <c r="BA1110" t="inlineStr">
        <is>
          <t>2267844630002656</t>
        </is>
      </c>
      <c r="BB1110" t="inlineStr">
        <is>
          <t>BOOK</t>
        </is>
      </c>
      <c r="BD1110" t="inlineStr">
        <is>
          <t>9780803612587</t>
        </is>
      </c>
      <c r="BE1110" t="inlineStr">
        <is>
          <t>30001004913978</t>
        </is>
      </c>
      <c r="BF1110" t="inlineStr">
        <is>
          <t>893280009</t>
        </is>
      </c>
    </row>
    <row r="1111">
      <c r="A1111" t="inlineStr">
        <is>
          <t>No</t>
        </is>
      </c>
      <c r="B1111" t="inlineStr">
        <is>
          <t>CUHSL</t>
        </is>
      </c>
      <c r="C1111" t="inlineStr">
        <is>
          <t>SHELVES</t>
        </is>
      </c>
      <c r="D1111" t="inlineStr">
        <is>
          <t>WY 105 G946 1977</t>
        </is>
      </c>
      <c r="E1111" t="inlineStr">
        <is>
          <t>0                      WY 0105000G  946         1977</t>
        </is>
      </c>
      <c r="F1111" t="inlineStr">
        <is>
          <t>A Guide for nurse managers / edited by Elizabeth Raybould ; foreword by I. C. S. Brown.</t>
        </is>
      </c>
      <c r="H1111" t="inlineStr">
        <is>
          <t>No</t>
        </is>
      </c>
      <c r="I1111" t="inlineStr">
        <is>
          <t>1</t>
        </is>
      </c>
      <c r="J1111" t="inlineStr">
        <is>
          <t>No</t>
        </is>
      </c>
      <c r="K1111" t="inlineStr">
        <is>
          <t>No</t>
        </is>
      </c>
      <c r="L1111" t="inlineStr">
        <is>
          <t>0</t>
        </is>
      </c>
      <c r="N1111" t="inlineStr">
        <is>
          <t>Oxford : Blackwell Scientific ; Philadelphia : Distributed in the U.S.A. by J. B. Lippincott, 1977.</t>
        </is>
      </c>
      <c r="O1111" t="inlineStr">
        <is>
          <t>1977</t>
        </is>
      </c>
      <c r="Q1111" t="inlineStr">
        <is>
          <t>eng</t>
        </is>
      </c>
      <c r="R1111" t="inlineStr">
        <is>
          <t>enk</t>
        </is>
      </c>
      <c r="T1111" t="inlineStr">
        <is>
          <t xml:space="preserve">WY </t>
        </is>
      </c>
      <c r="U1111" t="n">
        <v>2</v>
      </c>
      <c r="V1111" t="n">
        <v>2</v>
      </c>
      <c r="W1111" t="inlineStr">
        <is>
          <t>2002-03-07</t>
        </is>
      </c>
      <c r="X1111" t="inlineStr">
        <is>
          <t>2002-03-07</t>
        </is>
      </c>
      <c r="Y1111" t="inlineStr">
        <is>
          <t>1987-12-30</t>
        </is>
      </c>
      <c r="Z1111" t="inlineStr">
        <is>
          <t>1987-12-30</t>
        </is>
      </c>
      <c r="AA1111" t="n">
        <v>114</v>
      </c>
      <c r="AB1111" t="n">
        <v>62</v>
      </c>
      <c r="AC1111" t="n">
        <v>62</v>
      </c>
      <c r="AD1111" t="n">
        <v>2</v>
      </c>
      <c r="AE1111" t="n">
        <v>2</v>
      </c>
      <c r="AF1111" t="n">
        <v>1</v>
      </c>
      <c r="AG1111" t="n">
        <v>1</v>
      </c>
      <c r="AH1111" t="n">
        <v>0</v>
      </c>
      <c r="AI1111" t="n">
        <v>0</v>
      </c>
      <c r="AJ1111" t="n">
        <v>0</v>
      </c>
      <c r="AK1111" t="n">
        <v>0</v>
      </c>
      <c r="AL1111" t="n">
        <v>0</v>
      </c>
      <c r="AM1111" t="n">
        <v>0</v>
      </c>
      <c r="AN1111" t="n">
        <v>1</v>
      </c>
      <c r="AO1111" t="n">
        <v>1</v>
      </c>
      <c r="AP1111" t="n">
        <v>0</v>
      </c>
      <c r="AQ1111" t="n">
        <v>0</v>
      </c>
      <c r="AR1111" t="inlineStr">
        <is>
          <t>No</t>
        </is>
      </c>
      <c r="AS1111" t="inlineStr">
        <is>
          <t>No</t>
        </is>
      </c>
      <c r="AU1111">
        <f>HYPERLINK("https://creighton-primo.hosted.exlibrisgroup.com/primo-explore/search?tab=default_tab&amp;search_scope=EVERYTHING&amp;vid=01CRU&amp;lang=en_US&amp;offset=0&amp;query=any,contains,991001151279702656","Catalog Record")</f>
        <v/>
      </c>
      <c r="AV1111">
        <f>HYPERLINK("http://www.worldcat.org/oclc/3687180","WorldCat Record")</f>
        <v/>
      </c>
      <c r="AW1111" t="inlineStr">
        <is>
          <t>12026204:eng</t>
        </is>
      </c>
      <c r="AX1111" t="inlineStr">
        <is>
          <t>3687180</t>
        </is>
      </c>
      <c r="AY1111" t="inlineStr">
        <is>
          <t>991001151279702656</t>
        </is>
      </c>
      <c r="AZ1111" t="inlineStr">
        <is>
          <t>991001151279702656</t>
        </is>
      </c>
      <c r="BA1111" t="inlineStr">
        <is>
          <t>2262329580002656</t>
        </is>
      </c>
      <c r="BB1111" t="inlineStr">
        <is>
          <t>BOOK</t>
        </is>
      </c>
      <c r="BD1111" t="inlineStr">
        <is>
          <t>9780632000951</t>
        </is>
      </c>
      <c r="BE1111" t="inlineStr">
        <is>
          <t>30001000296238</t>
        </is>
      </c>
      <c r="BF1111" t="inlineStr">
        <is>
          <t>893727291</t>
        </is>
      </c>
    </row>
    <row r="1112">
      <c r="A1112" t="inlineStr">
        <is>
          <t>No</t>
        </is>
      </c>
      <c r="B1112" t="inlineStr">
        <is>
          <t>CUHSL</t>
        </is>
      </c>
      <c r="C1112" t="inlineStr">
        <is>
          <t>SHELVES</t>
        </is>
      </c>
      <c r="D1112" t="inlineStr">
        <is>
          <t>WY 105 G974L 1997</t>
        </is>
      </c>
      <c r="E1112" t="inlineStr">
        <is>
          <t>0                      WY 0105000G  974L        1997</t>
        </is>
      </c>
      <c r="F1112" t="inlineStr">
        <is>
          <t>Leadership and management in nursing / Mary Ellen Grohar-Murray, Helen R. DiCroce.</t>
        </is>
      </c>
      <c r="H1112" t="inlineStr">
        <is>
          <t>No</t>
        </is>
      </c>
      <c r="I1112" t="inlineStr">
        <is>
          <t>1</t>
        </is>
      </c>
      <c r="J1112" t="inlineStr">
        <is>
          <t>No</t>
        </is>
      </c>
      <c r="K1112" t="inlineStr">
        <is>
          <t>Yes</t>
        </is>
      </c>
      <c r="L1112" t="inlineStr">
        <is>
          <t>0</t>
        </is>
      </c>
      <c r="M1112" t="inlineStr">
        <is>
          <t>Grohar-Murray, Mary Ellen.</t>
        </is>
      </c>
      <c r="N1112" t="inlineStr">
        <is>
          <t>Stamford, Conn. : Appleton &amp; Lange, c1997.</t>
        </is>
      </c>
      <c r="O1112" t="inlineStr">
        <is>
          <t>1997</t>
        </is>
      </c>
      <c r="P1112" t="inlineStr">
        <is>
          <t>2nd ed.</t>
        </is>
      </c>
      <c r="Q1112" t="inlineStr">
        <is>
          <t>eng</t>
        </is>
      </c>
      <c r="R1112" t="inlineStr">
        <is>
          <t>ctu</t>
        </is>
      </c>
      <c r="T1112" t="inlineStr">
        <is>
          <t xml:space="preserve">WY </t>
        </is>
      </c>
      <c r="U1112" t="n">
        <v>7</v>
      </c>
      <c r="V1112" t="n">
        <v>7</v>
      </c>
      <c r="W1112" t="inlineStr">
        <is>
          <t>2003-04-27</t>
        </is>
      </c>
      <c r="X1112" t="inlineStr">
        <is>
          <t>2003-04-27</t>
        </is>
      </c>
      <c r="Y1112" t="inlineStr">
        <is>
          <t>1999-04-13</t>
        </is>
      </c>
      <c r="Z1112" t="inlineStr">
        <is>
          <t>1999-04-13</t>
        </is>
      </c>
      <c r="AA1112" t="n">
        <v>299</v>
      </c>
      <c r="AB1112" t="n">
        <v>237</v>
      </c>
      <c r="AC1112" t="n">
        <v>698</v>
      </c>
      <c r="AD1112" t="n">
        <v>1</v>
      </c>
      <c r="AE1112" t="n">
        <v>3</v>
      </c>
      <c r="AF1112" t="n">
        <v>12</v>
      </c>
      <c r="AG1112" t="n">
        <v>28</v>
      </c>
      <c r="AH1112" t="n">
        <v>5</v>
      </c>
      <c r="AI1112" t="n">
        <v>12</v>
      </c>
      <c r="AJ1112" t="n">
        <v>1</v>
      </c>
      <c r="AK1112" t="n">
        <v>6</v>
      </c>
      <c r="AL1112" t="n">
        <v>7</v>
      </c>
      <c r="AM1112" t="n">
        <v>15</v>
      </c>
      <c r="AN1112" t="n">
        <v>0</v>
      </c>
      <c r="AO1112" t="n">
        <v>2</v>
      </c>
      <c r="AP1112" t="n">
        <v>0</v>
      </c>
      <c r="AQ1112" t="n">
        <v>0</v>
      </c>
      <c r="AR1112" t="inlineStr">
        <is>
          <t>No</t>
        </is>
      </c>
      <c r="AS1112" t="inlineStr">
        <is>
          <t>Yes</t>
        </is>
      </c>
      <c r="AT1112">
        <f>HYPERLINK("http://catalog.hathitrust.org/Record/003115872","HathiTrust Record")</f>
        <v/>
      </c>
      <c r="AU1112">
        <f>HYPERLINK("https://creighton-primo.hosted.exlibrisgroup.com/primo-explore/search?tab=default_tab&amp;search_scope=EVERYTHING&amp;vid=01CRU&amp;lang=en_US&amp;offset=0&amp;query=any,contains,991000784159702656","Catalog Record")</f>
        <v/>
      </c>
      <c r="AV1112">
        <f>HYPERLINK("http://www.worldcat.org/oclc/35159234","WorldCat Record")</f>
        <v/>
      </c>
      <c r="AW1112" t="inlineStr">
        <is>
          <t>1118673:eng</t>
        </is>
      </c>
      <c r="AX1112" t="inlineStr">
        <is>
          <t>35159234</t>
        </is>
      </c>
      <c r="AY1112" t="inlineStr">
        <is>
          <t>991000784159702656</t>
        </is>
      </c>
      <c r="AZ1112" t="inlineStr">
        <is>
          <t>991000784159702656</t>
        </is>
      </c>
      <c r="BA1112" t="inlineStr">
        <is>
          <t>2262349480002656</t>
        </is>
      </c>
      <c r="BB1112" t="inlineStr">
        <is>
          <t>BOOK</t>
        </is>
      </c>
      <c r="BD1112" t="inlineStr">
        <is>
          <t>9780838556467</t>
        </is>
      </c>
      <c r="BE1112" t="inlineStr">
        <is>
          <t>30001004071165</t>
        </is>
      </c>
      <c r="BF1112" t="inlineStr">
        <is>
          <t>893273133</t>
        </is>
      </c>
    </row>
    <row r="1113">
      <c r="A1113" t="inlineStr">
        <is>
          <t>No</t>
        </is>
      </c>
      <c r="B1113" t="inlineStr">
        <is>
          <t>CUHSL</t>
        </is>
      </c>
      <c r="C1113" t="inlineStr">
        <is>
          <t>SHELVES</t>
        </is>
      </c>
      <c r="D1113" t="inlineStr">
        <is>
          <t>WY 105 H251c 2004</t>
        </is>
      </c>
      <c r="E1113" t="inlineStr">
        <is>
          <t>0                      WY 0105000H  251c        2004</t>
        </is>
      </c>
      <c r="F1113" t="inlineStr">
        <is>
          <t>Clinical delegation skills / Ruth I. Hansten, Marilynn Jackson.</t>
        </is>
      </c>
      <c r="H1113" t="inlineStr">
        <is>
          <t>No</t>
        </is>
      </c>
      <c r="I1113" t="inlineStr">
        <is>
          <t>1</t>
        </is>
      </c>
      <c r="J1113" t="inlineStr">
        <is>
          <t>No</t>
        </is>
      </c>
      <c r="K1113" t="inlineStr">
        <is>
          <t>No</t>
        </is>
      </c>
      <c r="L1113" t="inlineStr">
        <is>
          <t>0</t>
        </is>
      </c>
      <c r="M1113" t="inlineStr">
        <is>
          <t>Hansten, Ruth I.</t>
        </is>
      </c>
      <c r="N1113" t="inlineStr">
        <is>
          <t>Sudbury, Mass. : Jones and Bartlett Publishers, c2004.</t>
        </is>
      </c>
      <c r="O1113" t="inlineStr">
        <is>
          <t>2004</t>
        </is>
      </c>
      <c r="P1113" t="inlineStr">
        <is>
          <t>3rd ed.</t>
        </is>
      </c>
      <c r="Q1113" t="inlineStr">
        <is>
          <t>eng</t>
        </is>
      </c>
      <c r="R1113" t="inlineStr">
        <is>
          <t>mau</t>
        </is>
      </c>
      <c r="T1113" t="inlineStr">
        <is>
          <t xml:space="preserve">WY </t>
        </is>
      </c>
      <c r="U1113" t="n">
        <v>1</v>
      </c>
      <c r="V1113" t="n">
        <v>1</v>
      </c>
      <c r="W1113" t="inlineStr">
        <is>
          <t>2004-09-02</t>
        </is>
      </c>
      <c r="X1113" t="inlineStr">
        <is>
          <t>2004-09-02</t>
        </is>
      </c>
      <c r="Y1113" t="inlineStr">
        <is>
          <t>2004-09-02</t>
        </is>
      </c>
      <c r="Z1113" t="inlineStr">
        <is>
          <t>2004-09-02</t>
        </is>
      </c>
      <c r="AA1113" t="n">
        <v>354</v>
      </c>
      <c r="AB1113" t="n">
        <v>308</v>
      </c>
      <c r="AC1113" t="n">
        <v>630</v>
      </c>
      <c r="AD1113" t="n">
        <v>3</v>
      </c>
      <c r="AE1113" t="n">
        <v>4</v>
      </c>
      <c r="AF1113" t="n">
        <v>14</v>
      </c>
      <c r="AG1113" t="n">
        <v>27</v>
      </c>
      <c r="AH1113" t="n">
        <v>7</v>
      </c>
      <c r="AI1113" t="n">
        <v>11</v>
      </c>
      <c r="AJ1113" t="n">
        <v>1</v>
      </c>
      <c r="AK1113" t="n">
        <v>6</v>
      </c>
      <c r="AL1113" t="n">
        <v>6</v>
      </c>
      <c r="AM1113" t="n">
        <v>14</v>
      </c>
      <c r="AN1113" t="n">
        <v>2</v>
      </c>
      <c r="AO1113" t="n">
        <v>3</v>
      </c>
      <c r="AP1113" t="n">
        <v>0</v>
      </c>
      <c r="AQ1113" t="n">
        <v>0</v>
      </c>
      <c r="AR1113" t="inlineStr">
        <is>
          <t>No</t>
        </is>
      </c>
      <c r="AS1113" t="inlineStr">
        <is>
          <t>Yes</t>
        </is>
      </c>
      <c r="AT1113">
        <f>HYPERLINK("http://catalog.hathitrust.org/Record/004373540","HathiTrust Record")</f>
        <v/>
      </c>
      <c r="AU1113">
        <f>HYPERLINK("https://creighton-primo.hosted.exlibrisgroup.com/primo-explore/search?tab=default_tab&amp;search_scope=EVERYTHING&amp;vid=01CRU&amp;lang=en_US&amp;offset=0&amp;query=any,contains,991001729659702656","Catalog Record")</f>
        <v/>
      </c>
      <c r="AV1113">
        <f>HYPERLINK("http://www.worldcat.org/oclc/53179028","WorldCat Record")</f>
        <v/>
      </c>
      <c r="AW1113" t="inlineStr">
        <is>
          <t>758399:eng</t>
        </is>
      </c>
      <c r="AX1113" t="inlineStr">
        <is>
          <t>53179028</t>
        </is>
      </c>
      <c r="AY1113" t="inlineStr">
        <is>
          <t>991001729659702656</t>
        </is>
      </c>
      <c r="AZ1113" t="inlineStr">
        <is>
          <t>991001729659702656</t>
        </is>
      </c>
      <c r="BA1113" t="inlineStr">
        <is>
          <t>2261566450002656</t>
        </is>
      </c>
      <c r="BB1113" t="inlineStr">
        <is>
          <t>BOOK</t>
        </is>
      </c>
      <c r="BD1113" t="inlineStr">
        <is>
          <t>9780763733261</t>
        </is>
      </c>
      <c r="BE1113" t="inlineStr">
        <is>
          <t>30001004841021</t>
        </is>
      </c>
      <c r="BF1113" t="inlineStr">
        <is>
          <t>893134774</t>
        </is>
      </c>
    </row>
    <row r="1114">
      <c r="A1114" t="inlineStr">
        <is>
          <t>No</t>
        </is>
      </c>
      <c r="B1114" t="inlineStr">
        <is>
          <t>CUHSL</t>
        </is>
      </c>
      <c r="C1114" t="inlineStr">
        <is>
          <t>SHELVES</t>
        </is>
      </c>
      <c r="D1114" t="inlineStr">
        <is>
          <t>WY 105 H432 1953</t>
        </is>
      </c>
      <c r="E1114" t="inlineStr">
        <is>
          <t>0                      WY 0105000H  432         1953</t>
        </is>
      </c>
      <c r="F1114" t="inlineStr">
        <is>
          <t>The head nurse at work.</t>
        </is>
      </c>
      <c r="H1114" t="inlineStr">
        <is>
          <t>No</t>
        </is>
      </c>
      <c r="I1114" t="inlineStr">
        <is>
          <t>1</t>
        </is>
      </c>
      <c r="J1114" t="inlineStr">
        <is>
          <t>No</t>
        </is>
      </c>
      <c r="K1114" t="inlineStr">
        <is>
          <t>No</t>
        </is>
      </c>
      <c r="L1114" t="inlineStr">
        <is>
          <t>0</t>
        </is>
      </c>
      <c r="N1114" t="inlineStr">
        <is>
          <t>New York : Dept. of Hospital Nursing, National League for Nursing, 1953.</t>
        </is>
      </c>
      <c r="O1114" t="inlineStr">
        <is>
          <t>1953</t>
        </is>
      </c>
      <c r="Q1114" t="inlineStr">
        <is>
          <t>eng</t>
        </is>
      </c>
      <c r="R1114" t="inlineStr">
        <is>
          <t>nyu</t>
        </is>
      </c>
      <c r="T1114" t="inlineStr">
        <is>
          <t xml:space="preserve">WY </t>
        </is>
      </c>
      <c r="U1114" t="n">
        <v>1</v>
      </c>
      <c r="V1114" t="n">
        <v>1</v>
      </c>
      <c r="W1114" t="inlineStr">
        <is>
          <t>1990-09-11</t>
        </is>
      </c>
      <c r="X1114" t="inlineStr">
        <is>
          <t>1990-09-11</t>
        </is>
      </c>
      <c r="Y1114" t="inlineStr">
        <is>
          <t>1987-11-19</t>
        </is>
      </c>
      <c r="Z1114" t="inlineStr">
        <is>
          <t>1987-11-19</t>
        </is>
      </c>
      <c r="AA1114" t="n">
        <v>72</v>
      </c>
      <c r="AB1114" t="n">
        <v>63</v>
      </c>
      <c r="AC1114" t="n">
        <v>70</v>
      </c>
      <c r="AD1114" t="n">
        <v>1</v>
      </c>
      <c r="AE1114" t="n">
        <v>1</v>
      </c>
      <c r="AF1114" t="n">
        <v>3</v>
      </c>
      <c r="AG1114" t="n">
        <v>3</v>
      </c>
      <c r="AH1114" t="n">
        <v>1</v>
      </c>
      <c r="AI1114" t="n">
        <v>1</v>
      </c>
      <c r="AJ1114" t="n">
        <v>1</v>
      </c>
      <c r="AK1114" t="n">
        <v>1</v>
      </c>
      <c r="AL1114" t="n">
        <v>1</v>
      </c>
      <c r="AM1114" t="n">
        <v>1</v>
      </c>
      <c r="AN1114" t="n">
        <v>0</v>
      </c>
      <c r="AO1114" t="n">
        <v>0</v>
      </c>
      <c r="AP1114" t="n">
        <v>0</v>
      </c>
      <c r="AQ1114" t="n">
        <v>0</v>
      </c>
      <c r="AR1114" t="inlineStr">
        <is>
          <t>Yes</t>
        </is>
      </c>
      <c r="AS1114" t="inlineStr">
        <is>
          <t>No</t>
        </is>
      </c>
      <c r="AT1114">
        <f>HYPERLINK("http://catalog.hathitrust.org/Record/001574812","HathiTrust Record")</f>
        <v/>
      </c>
      <c r="AU1114">
        <f>HYPERLINK("https://creighton-primo.hosted.exlibrisgroup.com/primo-explore/search?tab=default_tab&amp;search_scope=EVERYTHING&amp;vid=01CRU&amp;lang=en_US&amp;offset=0&amp;query=any,contains,991001517979702656","Catalog Record")</f>
        <v/>
      </c>
      <c r="AV1114">
        <f>HYPERLINK("http://www.worldcat.org/oclc/2560478","WorldCat Record")</f>
        <v/>
      </c>
      <c r="AW1114" t="inlineStr">
        <is>
          <t>135896506:eng</t>
        </is>
      </c>
      <c r="AX1114" t="inlineStr">
        <is>
          <t>2560478</t>
        </is>
      </c>
      <c r="AY1114" t="inlineStr">
        <is>
          <t>991001517979702656</t>
        </is>
      </c>
      <c r="AZ1114" t="inlineStr">
        <is>
          <t>991001517979702656</t>
        </is>
      </c>
      <c r="BA1114" t="inlineStr">
        <is>
          <t>2259331420002656</t>
        </is>
      </c>
      <c r="BB1114" t="inlineStr">
        <is>
          <t>BOOK</t>
        </is>
      </c>
      <c r="BE1114" t="inlineStr">
        <is>
          <t>30001000600330</t>
        </is>
      </c>
      <c r="BF1114" t="inlineStr">
        <is>
          <t>893552590</t>
        </is>
      </c>
    </row>
    <row r="1115">
      <c r="A1115" t="inlineStr">
        <is>
          <t>No</t>
        </is>
      </c>
      <c r="B1115" t="inlineStr">
        <is>
          <t>CUHSL</t>
        </is>
      </c>
      <c r="C1115" t="inlineStr">
        <is>
          <t>SHELVES</t>
        </is>
      </c>
      <c r="D1115" t="inlineStr">
        <is>
          <t>WY 105 H737i 1987</t>
        </is>
      </c>
      <c r="E1115" t="inlineStr">
        <is>
          <t>0                      WY 0105000H  737i        1987</t>
        </is>
      </c>
      <c r="F1115" t="inlineStr">
        <is>
          <t>Introduction to leadership and management in nursing / Mary Louise Holle, Mary Elizabeth Blatchley.</t>
        </is>
      </c>
      <c r="H1115" t="inlineStr">
        <is>
          <t>No</t>
        </is>
      </c>
      <c r="I1115" t="inlineStr">
        <is>
          <t>1</t>
        </is>
      </c>
      <c r="J1115" t="inlineStr">
        <is>
          <t>No</t>
        </is>
      </c>
      <c r="K1115" t="inlineStr">
        <is>
          <t>No</t>
        </is>
      </c>
      <c r="L1115" t="inlineStr">
        <is>
          <t>0</t>
        </is>
      </c>
      <c r="M1115" t="inlineStr">
        <is>
          <t>Holle, Mary Louise.</t>
        </is>
      </c>
      <c r="N1115" t="inlineStr">
        <is>
          <t>Boston : Jones &amp; Bartlett Publishers, c1987.</t>
        </is>
      </c>
      <c r="O1115" t="inlineStr">
        <is>
          <t>1987</t>
        </is>
      </c>
      <c r="P1115" t="inlineStr">
        <is>
          <t>2nd ed.</t>
        </is>
      </c>
      <c r="Q1115" t="inlineStr">
        <is>
          <t>eng</t>
        </is>
      </c>
      <c r="R1115" t="inlineStr">
        <is>
          <t>xxu</t>
        </is>
      </c>
      <c r="T1115" t="inlineStr">
        <is>
          <t xml:space="preserve">WY </t>
        </is>
      </c>
      <c r="U1115" t="n">
        <v>13</v>
      </c>
      <c r="V1115" t="n">
        <v>13</v>
      </c>
      <c r="W1115" t="inlineStr">
        <is>
          <t>1990-10-27</t>
        </is>
      </c>
      <c r="X1115" t="inlineStr">
        <is>
          <t>1990-10-27</t>
        </is>
      </c>
      <c r="Y1115" t="inlineStr">
        <is>
          <t>1988-09-22</t>
        </is>
      </c>
      <c r="Z1115" t="inlineStr">
        <is>
          <t>1988-09-22</t>
        </is>
      </c>
      <c r="AA1115" t="n">
        <v>161</v>
      </c>
      <c r="AB1115" t="n">
        <v>130</v>
      </c>
      <c r="AC1115" t="n">
        <v>178</v>
      </c>
      <c r="AD1115" t="n">
        <v>1</v>
      </c>
      <c r="AE1115" t="n">
        <v>1</v>
      </c>
      <c r="AF1115" t="n">
        <v>4</v>
      </c>
      <c r="AG1115" t="n">
        <v>7</v>
      </c>
      <c r="AH1115" t="n">
        <v>1</v>
      </c>
      <c r="AI1115" t="n">
        <v>1</v>
      </c>
      <c r="AJ1115" t="n">
        <v>0</v>
      </c>
      <c r="AK1115" t="n">
        <v>3</v>
      </c>
      <c r="AL1115" t="n">
        <v>4</v>
      </c>
      <c r="AM1115" t="n">
        <v>5</v>
      </c>
      <c r="AN1115" t="n">
        <v>0</v>
      </c>
      <c r="AO1115" t="n">
        <v>0</v>
      </c>
      <c r="AP1115" t="n">
        <v>0</v>
      </c>
      <c r="AQ1115" t="n">
        <v>0</v>
      </c>
      <c r="AR1115" t="inlineStr">
        <is>
          <t>No</t>
        </is>
      </c>
      <c r="AS1115" t="inlineStr">
        <is>
          <t>Yes</t>
        </is>
      </c>
      <c r="AT1115">
        <f>HYPERLINK("http://catalog.hathitrust.org/Record/000820886","HathiTrust Record")</f>
        <v/>
      </c>
      <c r="AU1115">
        <f>HYPERLINK("https://creighton-primo.hosted.exlibrisgroup.com/primo-explore/search?tab=default_tab&amp;search_scope=EVERYTHING&amp;vid=01CRU&amp;lang=en_US&amp;offset=0&amp;query=any,contains,991001264779702656","Catalog Record")</f>
        <v/>
      </c>
      <c r="AV1115">
        <f>HYPERLINK("http://www.worldcat.org/oclc/14128081","WorldCat Record")</f>
        <v/>
      </c>
      <c r="AW1115" t="inlineStr">
        <is>
          <t>510199:eng</t>
        </is>
      </c>
      <c r="AX1115" t="inlineStr">
        <is>
          <t>14128081</t>
        </is>
      </c>
      <c r="AY1115" t="inlineStr">
        <is>
          <t>991001264779702656</t>
        </is>
      </c>
      <c r="AZ1115" t="inlineStr">
        <is>
          <t>991001264779702656</t>
        </is>
      </c>
      <c r="BA1115" t="inlineStr">
        <is>
          <t>2271448290002656</t>
        </is>
      </c>
      <c r="BB1115" t="inlineStr">
        <is>
          <t>BOOK</t>
        </is>
      </c>
      <c r="BD1115" t="inlineStr">
        <is>
          <t>9780867203806</t>
        </is>
      </c>
      <c r="BE1115" t="inlineStr">
        <is>
          <t>30001000352437</t>
        </is>
      </c>
      <c r="BF1115" t="inlineStr">
        <is>
          <t>893731796</t>
        </is>
      </c>
    </row>
    <row r="1116">
      <c r="A1116" t="inlineStr">
        <is>
          <t>No</t>
        </is>
      </c>
      <c r="B1116" t="inlineStr">
        <is>
          <t>CUHSL</t>
        </is>
      </c>
      <c r="C1116" t="inlineStr">
        <is>
          <t>SHELVES</t>
        </is>
      </c>
      <c r="D1116" t="inlineStr">
        <is>
          <t>WY 105 I19 1978</t>
        </is>
      </c>
      <c r="E1116" t="inlineStr">
        <is>
          <t>0                      WY 0105000I  19          1978</t>
        </is>
      </c>
      <c r="F1116" t="inlineStr">
        <is>
          <t>Identifying problems in the motivation, performance, and retention of nursing staff : presentations from the October 1978 Forum for Nursing Service Administrators in the West / sponsored by the Western Regional Assembly of Constituent Leagues for Nursing.</t>
        </is>
      </c>
      <c r="H1116" t="inlineStr">
        <is>
          <t>No</t>
        </is>
      </c>
      <c r="I1116" t="inlineStr">
        <is>
          <t>1</t>
        </is>
      </c>
      <c r="J1116" t="inlineStr">
        <is>
          <t>No</t>
        </is>
      </c>
      <c r="K1116" t="inlineStr">
        <is>
          <t>No</t>
        </is>
      </c>
      <c r="L1116" t="inlineStr">
        <is>
          <t>0</t>
        </is>
      </c>
      <c r="N1116" t="inlineStr">
        <is>
          <t>New York : National League for Nursing, c1979.</t>
        </is>
      </c>
      <c r="O1116" t="inlineStr">
        <is>
          <t>1978</t>
        </is>
      </c>
      <c r="Q1116" t="inlineStr">
        <is>
          <t>eng</t>
        </is>
      </c>
      <c r="R1116" t="inlineStr">
        <is>
          <t>nyu</t>
        </is>
      </c>
      <c r="S1116" t="inlineStr">
        <is>
          <t>NLN pub. no. 52-1802</t>
        </is>
      </c>
      <c r="T1116" t="inlineStr">
        <is>
          <t xml:space="preserve">WY </t>
        </is>
      </c>
      <c r="U1116" t="n">
        <v>4</v>
      </c>
      <c r="V1116" t="n">
        <v>4</v>
      </c>
      <c r="W1116" t="inlineStr">
        <is>
          <t>1990-07-11</t>
        </is>
      </c>
      <c r="X1116" t="inlineStr">
        <is>
          <t>1990-07-11</t>
        </is>
      </c>
      <c r="Y1116" t="inlineStr">
        <is>
          <t>1987-11-18</t>
        </is>
      </c>
      <c r="Z1116" t="inlineStr">
        <is>
          <t>1987-11-18</t>
        </is>
      </c>
      <c r="AA1116" t="n">
        <v>90</v>
      </c>
      <c r="AB1116" t="n">
        <v>80</v>
      </c>
      <c r="AC1116" t="n">
        <v>82</v>
      </c>
      <c r="AD1116" t="n">
        <v>2</v>
      </c>
      <c r="AE1116" t="n">
        <v>2</v>
      </c>
      <c r="AF1116" t="n">
        <v>3</v>
      </c>
      <c r="AG1116" t="n">
        <v>3</v>
      </c>
      <c r="AH1116" t="n">
        <v>0</v>
      </c>
      <c r="AI1116" t="n">
        <v>0</v>
      </c>
      <c r="AJ1116" t="n">
        <v>0</v>
      </c>
      <c r="AK1116" t="n">
        <v>0</v>
      </c>
      <c r="AL1116" t="n">
        <v>2</v>
      </c>
      <c r="AM1116" t="n">
        <v>2</v>
      </c>
      <c r="AN1116" t="n">
        <v>1</v>
      </c>
      <c r="AO1116" t="n">
        <v>1</v>
      </c>
      <c r="AP1116" t="n">
        <v>0</v>
      </c>
      <c r="AQ1116" t="n">
        <v>0</v>
      </c>
      <c r="AR1116" t="inlineStr">
        <is>
          <t>No</t>
        </is>
      </c>
      <c r="AS1116" t="inlineStr">
        <is>
          <t>Yes</t>
        </is>
      </c>
      <c r="AT1116">
        <f>HYPERLINK("http://catalog.hathitrust.org/Record/000717816","HathiTrust Record")</f>
        <v/>
      </c>
      <c r="AU1116">
        <f>HYPERLINK("https://creighton-primo.hosted.exlibrisgroup.com/primo-explore/search?tab=default_tab&amp;search_scope=EVERYTHING&amp;vid=01CRU&amp;lang=en_US&amp;offset=0&amp;query=any,contains,991001517219702656","Catalog Record")</f>
        <v/>
      </c>
      <c r="AV1116">
        <f>HYPERLINK("http://www.worldcat.org/oclc/5863666","WorldCat Record")</f>
        <v/>
      </c>
      <c r="AW1116" t="inlineStr">
        <is>
          <t>19790490:eng</t>
        </is>
      </c>
      <c r="AX1116" t="inlineStr">
        <is>
          <t>5863666</t>
        </is>
      </c>
      <c r="AY1116" t="inlineStr">
        <is>
          <t>991001517219702656</t>
        </is>
      </c>
      <c r="AZ1116" t="inlineStr">
        <is>
          <t>991001517219702656</t>
        </is>
      </c>
      <c r="BA1116" t="inlineStr">
        <is>
          <t>2261007920002656</t>
        </is>
      </c>
      <c r="BB1116" t="inlineStr">
        <is>
          <t>BOOK</t>
        </is>
      </c>
      <c r="BE1116" t="inlineStr">
        <is>
          <t>30001000600132</t>
        </is>
      </c>
      <c r="BF1116" t="inlineStr">
        <is>
          <t>893279172</t>
        </is>
      </c>
    </row>
    <row r="1117">
      <c r="A1117" t="inlineStr">
        <is>
          <t>No</t>
        </is>
      </c>
      <c r="B1117" t="inlineStr">
        <is>
          <t>CUHSL</t>
        </is>
      </c>
      <c r="C1117" t="inlineStr">
        <is>
          <t>SHELVES</t>
        </is>
      </c>
      <c r="D1117" t="inlineStr">
        <is>
          <t>WY 105 K96m 1990</t>
        </is>
      </c>
      <c r="E1117" t="inlineStr">
        <is>
          <t>0                      WY 0105000K  96m         1990</t>
        </is>
      </c>
      <c r="F1117" t="inlineStr">
        <is>
          <t>Marketing strategies for nurse managers : a guide for developing and implementing a nursing marketing plan / Vi Kunkle.</t>
        </is>
      </c>
      <c r="H1117" t="inlineStr">
        <is>
          <t>No</t>
        </is>
      </c>
      <c r="I1117" t="inlineStr">
        <is>
          <t>1</t>
        </is>
      </c>
      <c r="J1117" t="inlineStr">
        <is>
          <t>No</t>
        </is>
      </c>
      <c r="K1117" t="inlineStr">
        <is>
          <t>No</t>
        </is>
      </c>
      <c r="L1117" t="inlineStr">
        <is>
          <t>0</t>
        </is>
      </c>
      <c r="M1117" t="inlineStr">
        <is>
          <t>Kunkle, Vi.</t>
        </is>
      </c>
      <c r="N1117" t="inlineStr">
        <is>
          <t>Rockville, Md. : Aspen Publishers, 1990.</t>
        </is>
      </c>
      <c r="O1117" t="inlineStr">
        <is>
          <t>1990</t>
        </is>
      </c>
      <c r="Q1117" t="inlineStr">
        <is>
          <t>eng</t>
        </is>
      </c>
      <c r="R1117" t="inlineStr">
        <is>
          <t>xxu</t>
        </is>
      </c>
      <c r="T1117" t="inlineStr">
        <is>
          <t xml:space="preserve">WY </t>
        </is>
      </c>
      <c r="U1117" t="n">
        <v>4</v>
      </c>
      <c r="V1117" t="n">
        <v>4</v>
      </c>
      <c r="W1117" t="inlineStr">
        <is>
          <t>1991-09-06</t>
        </is>
      </c>
      <c r="X1117" t="inlineStr">
        <is>
          <t>1991-09-06</t>
        </is>
      </c>
      <c r="Y1117" t="inlineStr">
        <is>
          <t>1990-07-10</t>
        </is>
      </c>
      <c r="Z1117" t="inlineStr">
        <is>
          <t>1990-07-10</t>
        </is>
      </c>
      <c r="AA1117" t="n">
        <v>197</v>
      </c>
      <c r="AB1117" t="n">
        <v>174</v>
      </c>
      <c r="AC1117" t="n">
        <v>181</v>
      </c>
      <c r="AD1117" t="n">
        <v>1</v>
      </c>
      <c r="AE1117" t="n">
        <v>1</v>
      </c>
      <c r="AF1117" t="n">
        <v>10</v>
      </c>
      <c r="AG1117" t="n">
        <v>10</v>
      </c>
      <c r="AH1117" t="n">
        <v>2</v>
      </c>
      <c r="AI1117" t="n">
        <v>2</v>
      </c>
      <c r="AJ1117" t="n">
        <v>4</v>
      </c>
      <c r="AK1117" t="n">
        <v>4</v>
      </c>
      <c r="AL1117" t="n">
        <v>6</v>
      </c>
      <c r="AM1117" t="n">
        <v>6</v>
      </c>
      <c r="AN1117" t="n">
        <v>0</v>
      </c>
      <c r="AO1117" t="n">
        <v>0</v>
      </c>
      <c r="AP1117" t="n">
        <v>0</v>
      </c>
      <c r="AQ1117" t="n">
        <v>0</v>
      </c>
      <c r="AR1117" t="inlineStr">
        <is>
          <t>No</t>
        </is>
      </c>
      <c r="AS1117" t="inlineStr">
        <is>
          <t>Yes</t>
        </is>
      </c>
      <c r="AT1117">
        <f>HYPERLINK("http://catalog.hathitrust.org/Record/001838374","HathiTrust Record")</f>
        <v/>
      </c>
      <c r="AU1117">
        <f>HYPERLINK("https://creighton-primo.hosted.exlibrisgroup.com/primo-explore/search?tab=default_tab&amp;search_scope=EVERYTHING&amp;vid=01CRU&amp;lang=en_US&amp;offset=0&amp;query=any,contains,991001451329702656","Catalog Record")</f>
        <v/>
      </c>
      <c r="AV1117">
        <f>HYPERLINK("http://www.worldcat.org/oclc/20169714","WorldCat Record")</f>
        <v/>
      </c>
      <c r="AW1117" t="inlineStr">
        <is>
          <t>21422395:eng</t>
        </is>
      </c>
      <c r="AX1117" t="inlineStr">
        <is>
          <t>20169714</t>
        </is>
      </c>
      <c r="AY1117" t="inlineStr">
        <is>
          <t>991001451329702656</t>
        </is>
      </c>
      <c r="AZ1117" t="inlineStr">
        <is>
          <t>991001451329702656</t>
        </is>
      </c>
      <c r="BA1117" t="inlineStr">
        <is>
          <t>2257427480002656</t>
        </is>
      </c>
      <c r="BB1117" t="inlineStr">
        <is>
          <t>BOOK</t>
        </is>
      </c>
      <c r="BD1117" t="inlineStr">
        <is>
          <t>9780834201101</t>
        </is>
      </c>
      <c r="BE1117" t="inlineStr">
        <is>
          <t>30001001883075</t>
        </is>
      </c>
      <c r="BF1117" t="inlineStr">
        <is>
          <t>893364163</t>
        </is>
      </c>
    </row>
    <row r="1118">
      <c r="A1118" t="inlineStr">
        <is>
          <t>No</t>
        </is>
      </c>
      <c r="B1118" t="inlineStr">
        <is>
          <t>CUHSL</t>
        </is>
      </c>
      <c r="C1118" t="inlineStr">
        <is>
          <t>SHELVES</t>
        </is>
      </c>
      <c r="D1118" t="inlineStr">
        <is>
          <t>WY 105 L123 1975</t>
        </is>
      </c>
      <c r="E1118" t="inlineStr">
        <is>
          <t>0                      WY 0105000L  123         1975</t>
        </is>
      </c>
      <c r="F1118" t="inlineStr">
        <is>
          <t>Labor-management issues in the health care field.</t>
        </is>
      </c>
      <c r="H1118" t="inlineStr">
        <is>
          <t>No</t>
        </is>
      </c>
      <c r="I1118" t="inlineStr">
        <is>
          <t>1</t>
        </is>
      </c>
      <c r="J1118" t="inlineStr">
        <is>
          <t>No</t>
        </is>
      </c>
      <c r="K1118" t="inlineStr">
        <is>
          <t>No</t>
        </is>
      </c>
      <c r="L1118" t="inlineStr">
        <is>
          <t>0</t>
        </is>
      </c>
      <c r="N1118" t="inlineStr">
        <is>
          <t>New York : National League for Nursing, c1976.</t>
        </is>
      </c>
      <c r="O1118" t="inlineStr">
        <is>
          <t>1975</t>
        </is>
      </c>
      <c r="Q1118" t="inlineStr">
        <is>
          <t>eng</t>
        </is>
      </c>
      <c r="R1118" t="inlineStr">
        <is>
          <t>nyu</t>
        </is>
      </c>
      <c r="S1118" t="inlineStr">
        <is>
          <t>NLN pub. no. 21-1624</t>
        </is>
      </c>
      <c r="T1118" t="inlineStr">
        <is>
          <t xml:space="preserve">WY </t>
        </is>
      </c>
      <c r="U1118" t="n">
        <v>4</v>
      </c>
      <c r="V1118" t="n">
        <v>4</v>
      </c>
      <c r="W1118" t="inlineStr">
        <is>
          <t>1990-08-13</t>
        </is>
      </c>
      <c r="X1118" t="inlineStr">
        <is>
          <t>1990-08-13</t>
        </is>
      </c>
      <c r="Y1118" t="inlineStr">
        <is>
          <t>1987-10-26</t>
        </is>
      </c>
      <c r="Z1118" t="inlineStr">
        <is>
          <t>1987-10-26</t>
        </is>
      </c>
      <c r="AA1118" t="n">
        <v>126</v>
      </c>
      <c r="AB1118" t="n">
        <v>116</v>
      </c>
      <c r="AC1118" t="n">
        <v>118</v>
      </c>
      <c r="AD1118" t="n">
        <v>2</v>
      </c>
      <c r="AE1118" t="n">
        <v>2</v>
      </c>
      <c r="AF1118" t="n">
        <v>5</v>
      </c>
      <c r="AG1118" t="n">
        <v>5</v>
      </c>
      <c r="AH1118" t="n">
        <v>0</v>
      </c>
      <c r="AI1118" t="n">
        <v>0</v>
      </c>
      <c r="AJ1118" t="n">
        <v>1</v>
      </c>
      <c r="AK1118" t="n">
        <v>1</v>
      </c>
      <c r="AL1118" t="n">
        <v>3</v>
      </c>
      <c r="AM1118" t="n">
        <v>3</v>
      </c>
      <c r="AN1118" t="n">
        <v>1</v>
      </c>
      <c r="AO1118" t="n">
        <v>1</v>
      </c>
      <c r="AP1118" t="n">
        <v>1</v>
      </c>
      <c r="AQ1118" t="n">
        <v>1</v>
      </c>
      <c r="AR1118" t="inlineStr">
        <is>
          <t>No</t>
        </is>
      </c>
      <c r="AS1118" t="inlineStr">
        <is>
          <t>Yes</t>
        </is>
      </c>
      <c r="AT1118">
        <f>HYPERLINK("http://catalog.hathitrust.org/Record/000741261","HathiTrust Record")</f>
        <v/>
      </c>
      <c r="AU1118">
        <f>HYPERLINK("https://creighton-primo.hosted.exlibrisgroup.com/primo-explore/search?tab=default_tab&amp;search_scope=EVERYTHING&amp;vid=01CRU&amp;lang=en_US&amp;offset=0&amp;query=any,contains,991001370069702656","Catalog Record")</f>
        <v/>
      </c>
      <c r="AV1118">
        <f>HYPERLINK("http://www.worldcat.org/oclc/2913613","WorldCat Record")</f>
        <v/>
      </c>
      <c r="AW1118" t="inlineStr">
        <is>
          <t>6538537:eng</t>
        </is>
      </c>
      <c r="AX1118" t="inlineStr">
        <is>
          <t>2913613</t>
        </is>
      </c>
      <c r="AY1118" t="inlineStr">
        <is>
          <t>991001370069702656</t>
        </is>
      </c>
      <c r="AZ1118" t="inlineStr">
        <is>
          <t>991001370069702656</t>
        </is>
      </c>
      <c r="BA1118" t="inlineStr">
        <is>
          <t>2265295180002656</t>
        </is>
      </c>
      <c r="BB1118" t="inlineStr">
        <is>
          <t>BOOK</t>
        </is>
      </c>
      <c r="BE1118" t="inlineStr">
        <is>
          <t>30001000461659</t>
        </is>
      </c>
      <c r="BF1118" t="inlineStr">
        <is>
          <t>893134495</t>
        </is>
      </c>
    </row>
    <row r="1119">
      <c r="A1119" t="inlineStr">
        <is>
          <t>No</t>
        </is>
      </c>
      <c r="B1119" t="inlineStr">
        <is>
          <t>CUHSL</t>
        </is>
      </c>
      <c r="C1119" t="inlineStr">
        <is>
          <t>SHELVES</t>
        </is>
      </c>
      <c r="D1119" t="inlineStr">
        <is>
          <t>WY 105 L4325 1995</t>
        </is>
      </c>
      <c r="E1119" t="inlineStr">
        <is>
          <t>0                      WY 0105000L  4325        1995</t>
        </is>
      </c>
      <c r="F1119" t="inlineStr">
        <is>
          <t>Leading and managing in nursing / [edited by] Patricia S. Yoder Wise.</t>
        </is>
      </c>
      <c r="H1119" t="inlineStr">
        <is>
          <t>No</t>
        </is>
      </c>
      <c r="I1119" t="inlineStr">
        <is>
          <t>1</t>
        </is>
      </c>
      <c r="J1119" t="inlineStr">
        <is>
          <t>No</t>
        </is>
      </c>
      <c r="K1119" t="inlineStr">
        <is>
          <t>Yes</t>
        </is>
      </c>
      <c r="L1119" t="inlineStr">
        <is>
          <t>0</t>
        </is>
      </c>
      <c r="N1119" t="inlineStr">
        <is>
          <t>St. Louis : Mosby, c1995.</t>
        </is>
      </c>
      <c r="O1119" t="inlineStr">
        <is>
          <t>1995</t>
        </is>
      </c>
      <c r="P1119" t="inlineStr">
        <is>
          <t>1st ed.</t>
        </is>
      </c>
      <c r="Q1119" t="inlineStr">
        <is>
          <t>eng</t>
        </is>
      </c>
      <c r="R1119" t="inlineStr">
        <is>
          <t>mou</t>
        </is>
      </c>
      <c r="T1119" t="inlineStr">
        <is>
          <t xml:space="preserve">WY </t>
        </is>
      </c>
      <c r="U1119" t="n">
        <v>74</v>
      </c>
      <c r="V1119" t="n">
        <v>74</v>
      </c>
      <c r="W1119" t="inlineStr">
        <is>
          <t>2002-03-07</t>
        </is>
      </c>
      <c r="X1119" t="inlineStr">
        <is>
          <t>2002-03-07</t>
        </is>
      </c>
      <c r="Y1119" t="inlineStr">
        <is>
          <t>1995-08-14</t>
        </is>
      </c>
      <c r="Z1119" t="inlineStr">
        <is>
          <t>1995-08-14</t>
        </is>
      </c>
      <c r="AA1119" t="n">
        <v>221</v>
      </c>
      <c r="AB1119" t="n">
        <v>171</v>
      </c>
      <c r="AC1119" t="n">
        <v>737</v>
      </c>
      <c r="AD1119" t="n">
        <v>3</v>
      </c>
      <c r="AE1119" t="n">
        <v>4</v>
      </c>
      <c r="AF1119" t="n">
        <v>4</v>
      </c>
      <c r="AG1119" t="n">
        <v>28</v>
      </c>
      <c r="AH1119" t="n">
        <v>1</v>
      </c>
      <c r="AI1119" t="n">
        <v>11</v>
      </c>
      <c r="AJ1119" t="n">
        <v>0</v>
      </c>
      <c r="AK1119" t="n">
        <v>6</v>
      </c>
      <c r="AL1119" t="n">
        <v>3</v>
      </c>
      <c r="AM1119" t="n">
        <v>14</v>
      </c>
      <c r="AN1119" t="n">
        <v>1</v>
      </c>
      <c r="AO1119" t="n">
        <v>2</v>
      </c>
      <c r="AP1119" t="n">
        <v>0</v>
      </c>
      <c r="AQ1119" t="n">
        <v>0</v>
      </c>
      <c r="AR1119" t="inlineStr">
        <is>
          <t>No</t>
        </is>
      </c>
      <c r="AS1119" t="inlineStr">
        <is>
          <t>Yes</t>
        </is>
      </c>
      <c r="AT1119">
        <f>HYPERLINK("http://catalog.hathitrust.org/Record/002916539","HathiTrust Record")</f>
        <v/>
      </c>
      <c r="AU1119">
        <f>HYPERLINK("https://creighton-primo.hosted.exlibrisgroup.com/primo-explore/search?tab=default_tab&amp;search_scope=EVERYTHING&amp;vid=01CRU&amp;lang=en_US&amp;offset=0&amp;query=any,contains,991001403829702656","Catalog Record")</f>
        <v/>
      </c>
      <c r="AV1119">
        <f>HYPERLINK("http://www.worldcat.org/oclc/31288496","WorldCat Record")</f>
        <v/>
      </c>
      <c r="AW1119" t="inlineStr">
        <is>
          <t>61966992:eng</t>
        </is>
      </c>
      <c r="AX1119" t="inlineStr">
        <is>
          <t>31288496</t>
        </is>
      </c>
      <c r="AY1119" t="inlineStr">
        <is>
          <t>991001403829702656</t>
        </is>
      </c>
      <c r="AZ1119" t="inlineStr">
        <is>
          <t>991001403829702656</t>
        </is>
      </c>
      <c r="BA1119" t="inlineStr">
        <is>
          <t>2260366680002656</t>
        </is>
      </c>
      <c r="BB1119" t="inlineStr">
        <is>
          <t>BOOK</t>
        </is>
      </c>
      <c r="BD1119" t="inlineStr">
        <is>
          <t>9780815192442</t>
        </is>
      </c>
      <c r="BE1119" t="inlineStr">
        <is>
          <t>30001003149319</t>
        </is>
      </c>
      <c r="BF1119" t="inlineStr">
        <is>
          <t>893736543</t>
        </is>
      </c>
    </row>
    <row r="1120">
      <c r="A1120" t="inlineStr">
        <is>
          <t>No</t>
        </is>
      </c>
      <c r="B1120" t="inlineStr">
        <is>
          <t>CUHSL</t>
        </is>
      </c>
      <c r="C1120" t="inlineStr">
        <is>
          <t>SHELVES</t>
        </is>
      </c>
      <c r="D1120" t="inlineStr">
        <is>
          <t>WY 105 L4325 1999</t>
        </is>
      </c>
      <c r="E1120" t="inlineStr">
        <is>
          <t>0                      WY 0105000L  4325        1999</t>
        </is>
      </c>
      <c r="F1120" t="inlineStr">
        <is>
          <t>Leading and managing in nursing / [edited by] Patricia S. Yoder-Wise.</t>
        </is>
      </c>
      <c r="H1120" t="inlineStr">
        <is>
          <t>No</t>
        </is>
      </c>
      <c r="I1120" t="inlineStr">
        <is>
          <t>1</t>
        </is>
      </c>
      <c r="J1120" t="inlineStr">
        <is>
          <t>No</t>
        </is>
      </c>
      <c r="K1120" t="inlineStr">
        <is>
          <t>Yes</t>
        </is>
      </c>
      <c r="L1120" t="inlineStr">
        <is>
          <t>0</t>
        </is>
      </c>
      <c r="N1120" t="inlineStr">
        <is>
          <t>St. Louis, Mo. : Mosby, c1999.</t>
        </is>
      </c>
      <c r="O1120" t="inlineStr">
        <is>
          <t>1999</t>
        </is>
      </c>
      <c r="P1120" t="inlineStr">
        <is>
          <t>2nd ed.</t>
        </is>
      </c>
      <c r="Q1120" t="inlineStr">
        <is>
          <t>eng</t>
        </is>
      </c>
      <c r="R1120" t="inlineStr">
        <is>
          <t>mou</t>
        </is>
      </c>
      <c r="T1120" t="inlineStr">
        <is>
          <t xml:space="preserve">WY </t>
        </is>
      </c>
      <c r="U1120" t="n">
        <v>13</v>
      </c>
      <c r="V1120" t="n">
        <v>13</v>
      </c>
      <c r="W1120" t="inlineStr">
        <is>
          <t>2004-02-18</t>
        </is>
      </c>
      <c r="X1120" t="inlineStr">
        <is>
          <t>2004-02-18</t>
        </is>
      </c>
      <c r="Y1120" t="inlineStr">
        <is>
          <t>1999-05-04</t>
        </is>
      </c>
      <c r="Z1120" t="inlineStr">
        <is>
          <t>1999-05-04</t>
        </is>
      </c>
      <c r="AA1120" t="n">
        <v>248</v>
      </c>
      <c r="AB1120" t="n">
        <v>173</v>
      </c>
      <c r="AC1120" t="n">
        <v>737</v>
      </c>
      <c r="AD1120" t="n">
        <v>1</v>
      </c>
      <c r="AE1120" t="n">
        <v>4</v>
      </c>
      <c r="AF1120" t="n">
        <v>6</v>
      </c>
      <c r="AG1120" t="n">
        <v>28</v>
      </c>
      <c r="AH1120" t="n">
        <v>2</v>
      </c>
      <c r="AI1120" t="n">
        <v>11</v>
      </c>
      <c r="AJ1120" t="n">
        <v>2</v>
      </c>
      <c r="AK1120" t="n">
        <v>6</v>
      </c>
      <c r="AL1120" t="n">
        <v>3</v>
      </c>
      <c r="AM1120" t="n">
        <v>14</v>
      </c>
      <c r="AN1120" t="n">
        <v>0</v>
      </c>
      <c r="AO1120" t="n">
        <v>2</v>
      </c>
      <c r="AP1120" t="n">
        <v>0</v>
      </c>
      <c r="AQ1120" t="n">
        <v>0</v>
      </c>
      <c r="AR1120" t="inlineStr">
        <is>
          <t>No</t>
        </is>
      </c>
      <c r="AS1120" t="inlineStr">
        <is>
          <t>Yes</t>
        </is>
      </c>
      <c r="AT1120">
        <f>HYPERLINK("http://catalog.hathitrust.org/Record/004006438","HathiTrust Record")</f>
        <v/>
      </c>
      <c r="AU1120">
        <f>HYPERLINK("https://creighton-primo.hosted.exlibrisgroup.com/primo-explore/search?tab=default_tab&amp;search_scope=EVERYTHING&amp;vid=01CRU&amp;lang=en_US&amp;offset=0&amp;query=any,contains,991000784929702656","Catalog Record")</f>
        <v/>
      </c>
      <c r="AV1120">
        <f>HYPERLINK("http://www.worldcat.org/oclc/39539848","WorldCat Record")</f>
        <v/>
      </c>
      <c r="AW1120" t="inlineStr">
        <is>
          <t>61966992:eng</t>
        </is>
      </c>
      <c r="AX1120" t="inlineStr">
        <is>
          <t>39539848</t>
        </is>
      </c>
      <c r="AY1120" t="inlineStr">
        <is>
          <t>991000784929702656</t>
        </is>
      </c>
      <c r="AZ1120" t="inlineStr">
        <is>
          <t>991000784929702656</t>
        </is>
      </c>
      <c r="BA1120" t="inlineStr">
        <is>
          <t>2260466130002656</t>
        </is>
      </c>
      <c r="BB1120" t="inlineStr">
        <is>
          <t>BOOK</t>
        </is>
      </c>
      <c r="BD1120" t="inlineStr">
        <is>
          <t>9781556644016</t>
        </is>
      </c>
      <c r="BE1120" t="inlineStr">
        <is>
          <t>30001004072601</t>
        </is>
      </c>
      <c r="BF1120" t="inlineStr">
        <is>
          <t>893642539</t>
        </is>
      </c>
    </row>
    <row r="1121">
      <c r="A1121" t="inlineStr">
        <is>
          <t>No</t>
        </is>
      </c>
      <c r="B1121" t="inlineStr">
        <is>
          <t>CUHSL</t>
        </is>
      </c>
      <c r="C1121" t="inlineStr">
        <is>
          <t>SHELVES</t>
        </is>
      </c>
      <c r="D1121" t="inlineStr">
        <is>
          <t>WY 105 L433 1979</t>
        </is>
      </c>
      <c r="E1121" t="inlineStr">
        <is>
          <t>0                      WY 0105000L  433         1979</t>
        </is>
      </c>
      <c r="F1121" t="inlineStr">
        <is>
          <t>Leadership in nursing / edited by Marjorie Beyers.</t>
        </is>
      </c>
      <c r="H1121" t="inlineStr">
        <is>
          <t>No</t>
        </is>
      </c>
      <c r="I1121" t="inlineStr">
        <is>
          <t>1</t>
        </is>
      </c>
      <c r="J1121" t="inlineStr">
        <is>
          <t>No</t>
        </is>
      </c>
      <c r="K1121" t="inlineStr">
        <is>
          <t>No</t>
        </is>
      </c>
      <c r="L1121" t="inlineStr">
        <is>
          <t>0</t>
        </is>
      </c>
      <c r="N1121" t="inlineStr">
        <is>
          <t>Wakefield, Mass. : Nursing Resources, c1979.</t>
        </is>
      </c>
      <c r="O1121" t="inlineStr">
        <is>
          <t>1979</t>
        </is>
      </c>
      <c r="Q1121" t="inlineStr">
        <is>
          <t>eng</t>
        </is>
      </c>
      <c r="R1121" t="inlineStr">
        <is>
          <t xml:space="preserve">xx </t>
        </is>
      </c>
      <c r="S1121" t="inlineStr">
        <is>
          <t>The Management anthology series: Theme 2, Management functions</t>
        </is>
      </c>
      <c r="T1121" t="inlineStr">
        <is>
          <t xml:space="preserve">WY </t>
        </is>
      </c>
      <c r="U1121" t="n">
        <v>1</v>
      </c>
      <c r="V1121" t="n">
        <v>1</v>
      </c>
      <c r="W1121" t="inlineStr">
        <is>
          <t>1992-10-19</t>
        </is>
      </c>
      <c r="X1121" t="inlineStr">
        <is>
          <t>1992-10-19</t>
        </is>
      </c>
      <c r="Y1121" t="inlineStr">
        <is>
          <t>1987-10-22</t>
        </is>
      </c>
      <c r="Z1121" t="inlineStr">
        <is>
          <t>1987-10-22</t>
        </is>
      </c>
      <c r="AA1121" t="n">
        <v>189</v>
      </c>
      <c r="AB1121" t="n">
        <v>166</v>
      </c>
      <c r="AC1121" t="n">
        <v>166</v>
      </c>
      <c r="AD1121" t="n">
        <v>3</v>
      </c>
      <c r="AE1121" t="n">
        <v>3</v>
      </c>
      <c r="AF1121" t="n">
        <v>6</v>
      </c>
      <c r="AG1121" t="n">
        <v>6</v>
      </c>
      <c r="AH1121" t="n">
        <v>1</v>
      </c>
      <c r="AI1121" t="n">
        <v>1</v>
      </c>
      <c r="AJ1121" t="n">
        <v>1</v>
      </c>
      <c r="AK1121" t="n">
        <v>1</v>
      </c>
      <c r="AL1121" t="n">
        <v>3</v>
      </c>
      <c r="AM1121" t="n">
        <v>3</v>
      </c>
      <c r="AN1121" t="n">
        <v>2</v>
      </c>
      <c r="AO1121" t="n">
        <v>2</v>
      </c>
      <c r="AP1121" t="n">
        <v>0</v>
      </c>
      <c r="AQ1121" t="n">
        <v>0</v>
      </c>
      <c r="AR1121" t="inlineStr">
        <is>
          <t>No</t>
        </is>
      </c>
      <c r="AS1121" t="inlineStr">
        <is>
          <t>No</t>
        </is>
      </c>
      <c r="AU1121">
        <f>HYPERLINK("https://creighton-primo.hosted.exlibrisgroup.com/primo-explore/search?tab=default_tab&amp;search_scope=EVERYTHING&amp;vid=01CRU&amp;lang=en_US&amp;offset=0&amp;query=any,contains,991000736479702656","Catalog Record")</f>
        <v/>
      </c>
      <c r="AV1121">
        <f>HYPERLINK("http://www.worldcat.org/oclc/5781817","WorldCat Record")</f>
        <v/>
      </c>
      <c r="AW1121" t="inlineStr">
        <is>
          <t>54352912:eng</t>
        </is>
      </c>
      <c r="AX1121" t="inlineStr">
        <is>
          <t>5781817</t>
        </is>
      </c>
      <c r="AY1121" t="inlineStr">
        <is>
          <t>991000736479702656</t>
        </is>
      </c>
      <c r="AZ1121" t="inlineStr">
        <is>
          <t>991000736479702656</t>
        </is>
      </c>
      <c r="BA1121" t="inlineStr">
        <is>
          <t>2267537390002656</t>
        </is>
      </c>
      <c r="BB1121" t="inlineStr">
        <is>
          <t>BOOK</t>
        </is>
      </c>
      <c r="BD1121" t="inlineStr">
        <is>
          <t>9780913654569</t>
        </is>
      </c>
      <c r="BE1121" t="inlineStr">
        <is>
          <t>30001000041741</t>
        </is>
      </c>
      <c r="BF1121" t="inlineStr">
        <is>
          <t>893278050</t>
        </is>
      </c>
    </row>
    <row r="1122">
      <c r="A1122" t="inlineStr">
        <is>
          <t>No</t>
        </is>
      </c>
      <c r="B1122" t="inlineStr">
        <is>
          <t>CUHSL</t>
        </is>
      </c>
      <c r="C1122" t="inlineStr">
        <is>
          <t>SHELVES</t>
        </is>
      </c>
      <c r="D1122" t="inlineStr">
        <is>
          <t>WY105 L434 2003</t>
        </is>
      </c>
      <c r="E1122" t="inlineStr">
        <is>
          <t>0                      WY 0105000L  434         2003</t>
        </is>
      </c>
      <c r="F1122" t="inlineStr">
        <is>
          <t>Leading and managing in nursing / [edited by] Patricia S. Yoder-Wise.</t>
        </is>
      </c>
      <c r="H1122" t="inlineStr">
        <is>
          <t>No</t>
        </is>
      </c>
      <c r="I1122" t="inlineStr">
        <is>
          <t>1</t>
        </is>
      </c>
      <c r="J1122" t="inlineStr">
        <is>
          <t>No</t>
        </is>
      </c>
      <c r="K1122" t="inlineStr">
        <is>
          <t>Yes</t>
        </is>
      </c>
      <c r="L1122" t="inlineStr">
        <is>
          <t>0</t>
        </is>
      </c>
      <c r="N1122" t="inlineStr">
        <is>
          <t>St. Louis, Mo. : Mosby, c2003.</t>
        </is>
      </c>
      <c r="O1122" t="inlineStr">
        <is>
          <t>2003</t>
        </is>
      </c>
      <c r="P1122" t="inlineStr">
        <is>
          <t>3rd ed.</t>
        </is>
      </c>
      <c r="Q1122" t="inlineStr">
        <is>
          <t>eng</t>
        </is>
      </c>
      <c r="R1122" t="inlineStr">
        <is>
          <t>mou</t>
        </is>
      </c>
      <c r="T1122" t="inlineStr">
        <is>
          <t xml:space="preserve">WY </t>
        </is>
      </c>
      <c r="U1122" t="n">
        <v>1</v>
      </c>
      <c r="V1122" t="n">
        <v>1</v>
      </c>
      <c r="W1122" t="inlineStr">
        <is>
          <t>2008-04-04</t>
        </is>
      </c>
      <c r="X1122" t="inlineStr">
        <is>
          <t>2008-04-04</t>
        </is>
      </c>
      <c r="Y1122" t="inlineStr">
        <is>
          <t>2003-01-24</t>
        </is>
      </c>
      <c r="Z1122" t="inlineStr">
        <is>
          <t>2003-01-24</t>
        </is>
      </c>
      <c r="AA1122" t="n">
        <v>349</v>
      </c>
      <c r="AB1122" t="n">
        <v>249</v>
      </c>
      <c r="AC1122" t="n">
        <v>737</v>
      </c>
      <c r="AD1122" t="n">
        <v>2</v>
      </c>
      <c r="AE1122" t="n">
        <v>4</v>
      </c>
      <c r="AF1122" t="n">
        <v>12</v>
      </c>
      <c r="AG1122" t="n">
        <v>28</v>
      </c>
      <c r="AH1122" t="n">
        <v>4</v>
      </c>
      <c r="AI1122" t="n">
        <v>11</v>
      </c>
      <c r="AJ1122" t="n">
        <v>2</v>
      </c>
      <c r="AK1122" t="n">
        <v>6</v>
      </c>
      <c r="AL1122" t="n">
        <v>6</v>
      </c>
      <c r="AM1122" t="n">
        <v>14</v>
      </c>
      <c r="AN1122" t="n">
        <v>1</v>
      </c>
      <c r="AO1122" t="n">
        <v>2</v>
      </c>
      <c r="AP1122" t="n">
        <v>0</v>
      </c>
      <c r="AQ1122" t="n">
        <v>0</v>
      </c>
      <c r="AR1122" t="inlineStr">
        <is>
          <t>No</t>
        </is>
      </c>
      <c r="AS1122" t="inlineStr">
        <is>
          <t>Yes</t>
        </is>
      </c>
      <c r="AT1122">
        <f>HYPERLINK("http://catalog.hathitrust.org/Record/004297407","HathiTrust Record")</f>
        <v/>
      </c>
      <c r="AU1122">
        <f>HYPERLINK("https://creighton-primo.hosted.exlibrisgroup.com/primo-explore/search?tab=default_tab&amp;search_scope=EVERYTHING&amp;vid=01CRU&amp;lang=en_US&amp;offset=0&amp;query=any,contains,991000337549702656","Catalog Record")</f>
        <v/>
      </c>
      <c r="AV1122">
        <f>HYPERLINK("http://www.worldcat.org/oclc/50518951","WorldCat Record")</f>
        <v/>
      </c>
      <c r="AW1122" t="inlineStr">
        <is>
          <t>61966992:eng</t>
        </is>
      </c>
      <c r="AX1122" t="inlineStr">
        <is>
          <t>50518951</t>
        </is>
      </c>
      <c r="AY1122" t="inlineStr">
        <is>
          <t>991000337549702656</t>
        </is>
      </c>
      <c r="AZ1122" t="inlineStr">
        <is>
          <t>991000337549702656</t>
        </is>
      </c>
      <c r="BA1122" t="inlineStr">
        <is>
          <t>2269860130002656</t>
        </is>
      </c>
      <c r="BB1122" t="inlineStr">
        <is>
          <t>BOOK</t>
        </is>
      </c>
      <c r="BD1122" t="inlineStr">
        <is>
          <t>9780323016322</t>
        </is>
      </c>
      <c r="BE1122" t="inlineStr">
        <is>
          <t>30001004501344</t>
        </is>
      </c>
      <c r="BF1122" t="inlineStr">
        <is>
          <t>893547720</t>
        </is>
      </c>
    </row>
    <row r="1123">
      <c r="A1123" t="inlineStr">
        <is>
          <t>No</t>
        </is>
      </c>
      <c r="B1123" t="inlineStr">
        <is>
          <t>CUHSL</t>
        </is>
      </c>
      <c r="C1123" t="inlineStr">
        <is>
          <t>SHELVES</t>
        </is>
      </c>
      <c r="D1123" t="inlineStr">
        <is>
          <t>WY 105 L674p 1976</t>
        </is>
      </c>
      <c r="E1123" t="inlineStr">
        <is>
          <t>0                      WY 0105000L  674p        1976</t>
        </is>
      </c>
      <c r="F1123" t="inlineStr">
        <is>
          <t>Planning patient care / Lucile Lewis.</t>
        </is>
      </c>
      <c r="H1123" t="inlineStr">
        <is>
          <t>No</t>
        </is>
      </c>
      <c r="I1123" t="inlineStr">
        <is>
          <t>1</t>
        </is>
      </c>
      <c r="J1123" t="inlineStr">
        <is>
          <t>No</t>
        </is>
      </c>
      <c r="K1123" t="inlineStr">
        <is>
          <t>No</t>
        </is>
      </c>
      <c r="L1123" t="inlineStr">
        <is>
          <t>0</t>
        </is>
      </c>
      <c r="M1123" t="inlineStr">
        <is>
          <t>Lewis, Lucile.</t>
        </is>
      </c>
      <c r="N1123" t="inlineStr">
        <is>
          <t>Dubuque, Iowa : W.C. Brown Co., c1976.</t>
        </is>
      </c>
      <c r="O1123" t="inlineStr">
        <is>
          <t>1976</t>
        </is>
      </c>
      <c r="P1123" t="inlineStr">
        <is>
          <t>2nd ed.</t>
        </is>
      </c>
      <c r="Q1123" t="inlineStr">
        <is>
          <t>eng</t>
        </is>
      </c>
      <c r="R1123" t="inlineStr">
        <is>
          <t>iau</t>
        </is>
      </c>
      <c r="S1123" t="inlineStr">
        <is>
          <t>Foundations of nursing series</t>
        </is>
      </c>
      <c r="T1123" t="inlineStr">
        <is>
          <t xml:space="preserve">WY </t>
        </is>
      </c>
      <c r="U1123" t="n">
        <v>1</v>
      </c>
      <c r="V1123" t="n">
        <v>1</v>
      </c>
      <c r="W1123" t="inlineStr">
        <is>
          <t>2002-09-26</t>
        </is>
      </c>
      <c r="X1123" t="inlineStr">
        <is>
          <t>2002-09-26</t>
        </is>
      </c>
      <c r="Y1123" t="inlineStr">
        <is>
          <t>1987-12-30</t>
        </is>
      </c>
      <c r="Z1123" t="inlineStr">
        <is>
          <t>1987-12-30</t>
        </is>
      </c>
      <c r="AA1123" t="n">
        <v>104</v>
      </c>
      <c r="AB1123" t="n">
        <v>81</v>
      </c>
      <c r="AC1123" t="n">
        <v>150</v>
      </c>
      <c r="AD1123" t="n">
        <v>2</v>
      </c>
      <c r="AE1123" t="n">
        <v>2</v>
      </c>
      <c r="AF1123" t="n">
        <v>2</v>
      </c>
      <c r="AG1123" t="n">
        <v>5</v>
      </c>
      <c r="AH1123" t="n">
        <v>0</v>
      </c>
      <c r="AI1123" t="n">
        <v>1</v>
      </c>
      <c r="AJ1123" t="n">
        <v>0</v>
      </c>
      <c r="AK1123" t="n">
        <v>1</v>
      </c>
      <c r="AL1123" t="n">
        <v>1</v>
      </c>
      <c r="AM1123" t="n">
        <v>2</v>
      </c>
      <c r="AN1123" t="n">
        <v>1</v>
      </c>
      <c r="AO1123" t="n">
        <v>1</v>
      </c>
      <c r="AP1123" t="n">
        <v>0</v>
      </c>
      <c r="AQ1123" t="n">
        <v>0</v>
      </c>
      <c r="AR1123" t="inlineStr">
        <is>
          <t>No</t>
        </is>
      </c>
      <c r="AS1123" t="inlineStr">
        <is>
          <t>Yes</t>
        </is>
      </c>
      <c r="AT1123">
        <f>HYPERLINK("http://catalog.hathitrust.org/Record/000742655","HathiTrust Record")</f>
        <v/>
      </c>
      <c r="AU1123">
        <f>HYPERLINK("https://creighton-primo.hosted.exlibrisgroup.com/primo-explore/search?tab=default_tab&amp;search_scope=EVERYTHING&amp;vid=01CRU&amp;lang=en_US&amp;offset=0&amp;query=any,contains,991001151439702656","Catalog Record")</f>
        <v/>
      </c>
      <c r="AV1123">
        <f>HYPERLINK("http://www.worldcat.org/oclc/2398107","WorldCat Record")</f>
        <v/>
      </c>
      <c r="AW1123" t="inlineStr">
        <is>
          <t>1244951:eng</t>
        </is>
      </c>
      <c r="AX1123" t="inlineStr">
        <is>
          <t>2398107</t>
        </is>
      </c>
      <c r="AY1123" t="inlineStr">
        <is>
          <t>991001151439702656</t>
        </is>
      </c>
      <c r="AZ1123" t="inlineStr">
        <is>
          <t>991001151439702656</t>
        </is>
      </c>
      <c r="BA1123" t="inlineStr">
        <is>
          <t>2257862520002656</t>
        </is>
      </c>
      <c r="BB1123" t="inlineStr">
        <is>
          <t>BOOK</t>
        </is>
      </c>
      <c r="BD1123" t="inlineStr">
        <is>
          <t>9780697055408</t>
        </is>
      </c>
      <c r="BE1123" t="inlineStr">
        <is>
          <t>30001000296337</t>
        </is>
      </c>
      <c r="BF1123" t="inlineStr">
        <is>
          <t>893552187</t>
        </is>
      </c>
    </row>
    <row r="1124">
      <c r="A1124" t="inlineStr">
        <is>
          <t>No</t>
        </is>
      </c>
      <c r="B1124" t="inlineStr">
        <is>
          <t>CUHSL</t>
        </is>
      </c>
      <c r="C1124" t="inlineStr">
        <is>
          <t>SHELVES</t>
        </is>
      </c>
      <c r="D1124" t="inlineStr">
        <is>
          <t>WY 105 L82p 1986</t>
        </is>
      </c>
      <c r="E1124" t="inlineStr">
        <is>
          <t>0                      WY 0105000L  82p         1986</t>
        </is>
      </c>
      <c r="F1124" t="inlineStr">
        <is>
          <t>Professional education and practice of nurse administrators/directors of nursing in long-term care (phase II) / by Mary P. Lodge and Fern Pietraschke.</t>
        </is>
      </c>
      <c r="H1124" t="inlineStr">
        <is>
          <t>No</t>
        </is>
      </c>
      <c r="I1124" t="inlineStr">
        <is>
          <t>1</t>
        </is>
      </c>
      <c r="J1124" t="inlineStr">
        <is>
          <t>No</t>
        </is>
      </c>
      <c r="K1124" t="inlineStr">
        <is>
          <t>No</t>
        </is>
      </c>
      <c r="L1124" t="inlineStr">
        <is>
          <t>0</t>
        </is>
      </c>
      <c r="M1124" t="inlineStr">
        <is>
          <t>Lodge, Mary P.</t>
        </is>
      </c>
      <c r="N1124" t="inlineStr">
        <is>
          <t>Kansas City, Mo. : American Nurses' Foundation, c1986.</t>
        </is>
      </c>
      <c r="O1124" t="inlineStr">
        <is>
          <t>1986</t>
        </is>
      </c>
      <c r="Q1124" t="inlineStr">
        <is>
          <t>eng</t>
        </is>
      </c>
      <c r="R1124" t="inlineStr">
        <is>
          <t>mou</t>
        </is>
      </c>
      <c r="S1124" t="inlineStr">
        <is>
          <t>ANA pub ; no. FD-29</t>
        </is>
      </c>
      <c r="T1124" t="inlineStr">
        <is>
          <t xml:space="preserve">WY </t>
        </is>
      </c>
      <c r="U1124" t="n">
        <v>3</v>
      </c>
      <c r="V1124" t="n">
        <v>3</v>
      </c>
      <c r="W1124" t="inlineStr">
        <is>
          <t>2007-09-26</t>
        </is>
      </c>
      <c r="X1124" t="inlineStr">
        <is>
          <t>2007-09-26</t>
        </is>
      </c>
      <c r="Y1124" t="inlineStr">
        <is>
          <t>1987-12-08</t>
        </is>
      </c>
      <c r="Z1124" t="inlineStr">
        <is>
          <t>1987-12-08</t>
        </is>
      </c>
      <c r="AA1124" t="n">
        <v>29</v>
      </c>
      <c r="AB1124" t="n">
        <v>29</v>
      </c>
      <c r="AC1124" t="n">
        <v>29</v>
      </c>
      <c r="AD1124" t="n">
        <v>2</v>
      </c>
      <c r="AE1124" t="n">
        <v>2</v>
      </c>
      <c r="AF1124" t="n">
        <v>0</v>
      </c>
      <c r="AG1124" t="n">
        <v>0</v>
      </c>
      <c r="AH1124" t="n">
        <v>0</v>
      </c>
      <c r="AI1124" t="n">
        <v>0</v>
      </c>
      <c r="AJ1124" t="n">
        <v>0</v>
      </c>
      <c r="AK1124" t="n">
        <v>0</v>
      </c>
      <c r="AL1124" t="n">
        <v>0</v>
      </c>
      <c r="AM1124" t="n">
        <v>0</v>
      </c>
      <c r="AN1124" t="n">
        <v>0</v>
      </c>
      <c r="AO1124" t="n">
        <v>0</v>
      </c>
      <c r="AP1124" t="n">
        <v>0</v>
      </c>
      <c r="AQ1124" t="n">
        <v>0</v>
      </c>
      <c r="AR1124" t="inlineStr">
        <is>
          <t>No</t>
        </is>
      </c>
      <c r="AS1124" t="inlineStr">
        <is>
          <t>No</t>
        </is>
      </c>
      <c r="AU1124">
        <f>HYPERLINK("https://creighton-primo.hosted.exlibrisgroup.com/primo-explore/search?tab=default_tab&amp;search_scope=EVERYTHING&amp;vid=01CRU&amp;lang=en_US&amp;offset=0&amp;query=any,contains,991001520019702656","Catalog Record")</f>
        <v/>
      </c>
      <c r="AV1124">
        <f>HYPERLINK("http://www.worldcat.org/oclc/13777900","WorldCat Record")</f>
        <v/>
      </c>
      <c r="AW1124" t="inlineStr">
        <is>
          <t>7465302:eng</t>
        </is>
      </c>
      <c r="AX1124" t="inlineStr">
        <is>
          <t>13777900</t>
        </is>
      </c>
      <c r="AY1124" t="inlineStr">
        <is>
          <t>991001520019702656</t>
        </is>
      </c>
      <c r="AZ1124" t="inlineStr">
        <is>
          <t>991001520019702656</t>
        </is>
      </c>
      <c r="BA1124" t="inlineStr">
        <is>
          <t>2268664530002656</t>
        </is>
      </c>
      <c r="BB1124" t="inlineStr">
        <is>
          <t>BOOK</t>
        </is>
      </c>
      <c r="BE1124" t="inlineStr">
        <is>
          <t>30001000602294</t>
        </is>
      </c>
      <c r="BF1124" t="inlineStr">
        <is>
          <t>893369440</t>
        </is>
      </c>
    </row>
    <row r="1125">
      <c r="A1125" t="inlineStr">
        <is>
          <t>No</t>
        </is>
      </c>
      <c r="B1125" t="inlineStr">
        <is>
          <t>CUHSL</t>
        </is>
      </c>
      <c r="C1125" t="inlineStr">
        <is>
          <t>SHELVES</t>
        </is>
      </c>
      <c r="D1125" t="inlineStr">
        <is>
          <t>WY 105 L863g 1979</t>
        </is>
      </c>
      <c r="E1125" t="inlineStr">
        <is>
          <t>0                      WY 0105000L  863g        1979</t>
        </is>
      </c>
      <c r="F1125" t="inlineStr">
        <is>
          <t>Group process for nurses / Maxine E. Loomis.</t>
        </is>
      </c>
      <c r="H1125" t="inlineStr">
        <is>
          <t>No</t>
        </is>
      </c>
      <c r="I1125" t="inlineStr">
        <is>
          <t>1</t>
        </is>
      </c>
      <c r="J1125" t="inlineStr">
        <is>
          <t>No</t>
        </is>
      </c>
      <c r="K1125" t="inlineStr">
        <is>
          <t>No</t>
        </is>
      </c>
      <c r="L1125" t="inlineStr">
        <is>
          <t>0</t>
        </is>
      </c>
      <c r="M1125" t="inlineStr">
        <is>
          <t>Loomis, Maxine E.</t>
        </is>
      </c>
      <c r="N1125" t="inlineStr">
        <is>
          <t>St. Louis : Mosby, 1979.</t>
        </is>
      </c>
      <c r="O1125" t="inlineStr">
        <is>
          <t>1979</t>
        </is>
      </c>
      <c r="Q1125" t="inlineStr">
        <is>
          <t>eng</t>
        </is>
      </c>
      <c r="R1125" t="inlineStr">
        <is>
          <t>mou</t>
        </is>
      </c>
      <c r="T1125" t="inlineStr">
        <is>
          <t xml:space="preserve">WY </t>
        </is>
      </c>
      <c r="U1125" t="n">
        <v>4</v>
      </c>
      <c r="V1125" t="n">
        <v>4</v>
      </c>
      <c r="W1125" t="inlineStr">
        <is>
          <t>1991-09-22</t>
        </is>
      </c>
      <c r="X1125" t="inlineStr">
        <is>
          <t>1991-09-22</t>
        </is>
      </c>
      <c r="Y1125" t="inlineStr">
        <is>
          <t>1987-12-30</t>
        </is>
      </c>
      <c r="Z1125" t="inlineStr">
        <is>
          <t>1987-12-30</t>
        </is>
      </c>
      <c r="AA1125" t="n">
        <v>212</v>
      </c>
      <c r="AB1125" t="n">
        <v>169</v>
      </c>
      <c r="AC1125" t="n">
        <v>171</v>
      </c>
      <c r="AD1125" t="n">
        <v>3</v>
      </c>
      <c r="AE1125" t="n">
        <v>3</v>
      </c>
      <c r="AF1125" t="n">
        <v>6</v>
      </c>
      <c r="AG1125" t="n">
        <v>6</v>
      </c>
      <c r="AH1125" t="n">
        <v>1</v>
      </c>
      <c r="AI1125" t="n">
        <v>1</v>
      </c>
      <c r="AJ1125" t="n">
        <v>0</v>
      </c>
      <c r="AK1125" t="n">
        <v>0</v>
      </c>
      <c r="AL1125" t="n">
        <v>3</v>
      </c>
      <c r="AM1125" t="n">
        <v>3</v>
      </c>
      <c r="AN1125" t="n">
        <v>2</v>
      </c>
      <c r="AO1125" t="n">
        <v>2</v>
      </c>
      <c r="AP1125" t="n">
        <v>0</v>
      </c>
      <c r="AQ1125" t="n">
        <v>0</v>
      </c>
      <c r="AR1125" t="inlineStr">
        <is>
          <t>No</t>
        </is>
      </c>
      <c r="AS1125" t="inlineStr">
        <is>
          <t>Yes</t>
        </is>
      </c>
      <c r="AT1125">
        <f>HYPERLINK("http://catalog.hathitrust.org/Record/004928568","HathiTrust Record")</f>
        <v/>
      </c>
      <c r="AU1125">
        <f>HYPERLINK("https://creighton-primo.hosted.exlibrisgroup.com/primo-explore/search?tab=default_tab&amp;search_scope=EVERYTHING&amp;vid=01CRU&amp;lang=en_US&amp;offset=0&amp;query=any,contains,991001151489702656","Catalog Record")</f>
        <v/>
      </c>
      <c r="AV1125">
        <f>HYPERLINK("http://www.worldcat.org/oclc/4549564","WorldCat Record")</f>
        <v/>
      </c>
      <c r="AW1125" t="inlineStr">
        <is>
          <t>14948862:eng</t>
        </is>
      </c>
      <c r="AX1125" t="inlineStr">
        <is>
          <t>4549564</t>
        </is>
      </c>
      <c r="AY1125" t="inlineStr">
        <is>
          <t>991001151489702656</t>
        </is>
      </c>
      <c r="AZ1125" t="inlineStr">
        <is>
          <t>991001151489702656</t>
        </is>
      </c>
      <c r="BA1125" t="inlineStr">
        <is>
          <t>2272675270002656</t>
        </is>
      </c>
      <c r="BB1125" t="inlineStr">
        <is>
          <t>BOOK</t>
        </is>
      </c>
      <c r="BD1125" t="inlineStr">
        <is>
          <t>9780801630378</t>
        </is>
      </c>
      <c r="BE1125" t="inlineStr">
        <is>
          <t>30001000296352</t>
        </is>
      </c>
      <c r="BF1125" t="inlineStr">
        <is>
          <t>893736273</t>
        </is>
      </c>
    </row>
    <row r="1126">
      <c r="A1126" t="inlineStr">
        <is>
          <t>No</t>
        </is>
      </c>
      <c r="B1126" t="inlineStr">
        <is>
          <t>CUHSL</t>
        </is>
      </c>
      <c r="C1126" t="inlineStr">
        <is>
          <t>SHELVES</t>
        </is>
      </c>
      <c r="D1126" t="inlineStr">
        <is>
          <t>WY 105 M143n 1984</t>
        </is>
      </c>
      <c r="E1126" t="inlineStr">
        <is>
          <t>0                      WY 0105000M  143n        1984</t>
        </is>
      </c>
      <c r="F1126" t="inlineStr">
        <is>
          <t>Nursing leadership and management : contemporary strategies / Gertrude K. McFarland, H. Skipton Leonard, Martha M. Morris.</t>
        </is>
      </c>
      <c r="H1126" t="inlineStr">
        <is>
          <t>No</t>
        </is>
      </c>
      <c r="I1126" t="inlineStr">
        <is>
          <t>1</t>
        </is>
      </c>
      <c r="J1126" t="inlineStr">
        <is>
          <t>No</t>
        </is>
      </c>
      <c r="K1126" t="inlineStr">
        <is>
          <t>No</t>
        </is>
      </c>
      <c r="L1126" t="inlineStr">
        <is>
          <t>0</t>
        </is>
      </c>
      <c r="M1126" t="inlineStr">
        <is>
          <t>McFarland, Gertrude K., 1941-</t>
        </is>
      </c>
      <c r="N1126" t="inlineStr">
        <is>
          <t>New York : Wiley, c1984.</t>
        </is>
      </c>
      <c r="O1126" t="inlineStr">
        <is>
          <t>1984</t>
        </is>
      </c>
      <c r="Q1126" t="inlineStr">
        <is>
          <t>eng</t>
        </is>
      </c>
      <c r="R1126" t="inlineStr">
        <is>
          <t>nyu</t>
        </is>
      </c>
      <c r="S1126" t="inlineStr">
        <is>
          <t>A Wiley medical publication</t>
        </is>
      </c>
      <c r="T1126" t="inlineStr">
        <is>
          <t xml:space="preserve">WY </t>
        </is>
      </c>
      <c r="U1126" t="n">
        <v>2</v>
      </c>
      <c r="V1126" t="n">
        <v>2</v>
      </c>
      <c r="W1126" t="inlineStr">
        <is>
          <t>1990-10-27</t>
        </is>
      </c>
      <c r="X1126" t="inlineStr">
        <is>
          <t>1990-10-27</t>
        </is>
      </c>
      <c r="Y1126" t="inlineStr">
        <is>
          <t>1987-12-30</t>
        </is>
      </c>
      <c r="Z1126" t="inlineStr">
        <is>
          <t>1987-12-30</t>
        </is>
      </c>
      <c r="AA1126" t="n">
        <v>353</v>
      </c>
      <c r="AB1126" t="n">
        <v>276</v>
      </c>
      <c r="AC1126" t="n">
        <v>283</v>
      </c>
      <c r="AD1126" t="n">
        <v>1</v>
      </c>
      <c r="AE1126" t="n">
        <v>1</v>
      </c>
      <c r="AF1126" t="n">
        <v>10</v>
      </c>
      <c r="AG1126" t="n">
        <v>10</v>
      </c>
      <c r="AH1126" t="n">
        <v>6</v>
      </c>
      <c r="AI1126" t="n">
        <v>6</v>
      </c>
      <c r="AJ1126" t="n">
        <v>2</v>
      </c>
      <c r="AK1126" t="n">
        <v>2</v>
      </c>
      <c r="AL1126" t="n">
        <v>3</v>
      </c>
      <c r="AM1126" t="n">
        <v>3</v>
      </c>
      <c r="AN1126" t="n">
        <v>0</v>
      </c>
      <c r="AO1126" t="n">
        <v>0</v>
      </c>
      <c r="AP1126" t="n">
        <v>0</v>
      </c>
      <c r="AQ1126" t="n">
        <v>0</v>
      </c>
      <c r="AR1126" t="inlineStr">
        <is>
          <t>No</t>
        </is>
      </c>
      <c r="AS1126" t="inlineStr">
        <is>
          <t>Yes</t>
        </is>
      </c>
      <c r="AT1126">
        <f>HYPERLINK("http://catalog.hathitrust.org/Record/000284762","HathiTrust Record")</f>
        <v/>
      </c>
      <c r="AU1126">
        <f>HYPERLINK("https://creighton-primo.hosted.exlibrisgroup.com/primo-explore/search?tab=default_tab&amp;search_scope=EVERYTHING&amp;vid=01CRU&amp;lang=en_US&amp;offset=0&amp;query=any,contains,991001151519702656","Catalog Record")</f>
        <v/>
      </c>
      <c r="AV1126">
        <f>HYPERLINK("http://www.worldcat.org/oclc/9894587","WorldCat Record")</f>
        <v/>
      </c>
      <c r="AW1126" t="inlineStr">
        <is>
          <t>836628670:eng</t>
        </is>
      </c>
      <c r="AX1126" t="inlineStr">
        <is>
          <t>9894587</t>
        </is>
      </c>
      <c r="AY1126" t="inlineStr">
        <is>
          <t>991001151519702656</t>
        </is>
      </c>
      <c r="AZ1126" t="inlineStr">
        <is>
          <t>991001151519702656</t>
        </is>
      </c>
      <c r="BA1126" t="inlineStr">
        <is>
          <t>2262764930002656</t>
        </is>
      </c>
      <c r="BB1126" t="inlineStr">
        <is>
          <t>BOOK</t>
        </is>
      </c>
      <c r="BD1126" t="inlineStr">
        <is>
          <t>9780471090977</t>
        </is>
      </c>
      <c r="BE1126" t="inlineStr">
        <is>
          <t>30001000296378</t>
        </is>
      </c>
      <c r="BF1126" t="inlineStr">
        <is>
          <t>893560887</t>
        </is>
      </c>
    </row>
    <row r="1127">
      <c r="A1127" t="inlineStr">
        <is>
          <t>No</t>
        </is>
      </c>
      <c r="B1127" t="inlineStr">
        <is>
          <t>CUHSL</t>
        </is>
      </c>
      <c r="C1127" t="inlineStr">
        <is>
          <t>SHELVES</t>
        </is>
      </c>
      <c r="D1127" t="inlineStr">
        <is>
          <t>WY 105 M268 1977</t>
        </is>
      </c>
      <c r="E1127" t="inlineStr">
        <is>
          <t>0                      WY 0105000M  268         1977</t>
        </is>
      </c>
      <c r="F1127" t="inlineStr">
        <is>
          <t>Management perspectives : (I'm not sure but that's my problem).</t>
        </is>
      </c>
      <c r="H1127" t="inlineStr">
        <is>
          <t>No</t>
        </is>
      </c>
      <c r="I1127" t="inlineStr">
        <is>
          <t>1</t>
        </is>
      </c>
      <c r="J1127" t="inlineStr">
        <is>
          <t>No</t>
        </is>
      </c>
      <c r="K1127" t="inlineStr">
        <is>
          <t>No</t>
        </is>
      </c>
      <c r="L1127" t="inlineStr">
        <is>
          <t>0</t>
        </is>
      </c>
      <c r="N1127" t="inlineStr">
        <is>
          <t>New York : National League for Nursing, c1979.</t>
        </is>
      </c>
      <c r="O1127" t="inlineStr">
        <is>
          <t>1977</t>
        </is>
      </c>
      <c r="Q1127" t="inlineStr">
        <is>
          <t>eng</t>
        </is>
      </c>
      <c r="R1127" t="inlineStr">
        <is>
          <t>nyu</t>
        </is>
      </c>
      <c r="S1127" t="inlineStr">
        <is>
          <t>NLN pub. no. 52-1767</t>
        </is>
      </c>
      <c r="T1127" t="inlineStr">
        <is>
          <t xml:space="preserve">WY </t>
        </is>
      </c>
      <c r="U1127" t="n">
        <v>1</v>
      </c>
      <c r="V1127" t="n">
        <v>1</v>
      </c>
      <c r="W1127" t="inlineStr">
        <is>
          <t>1990-08-03</t>
        </is>
      </c>
      <c r="X1127" t="inlineStr">
        <is>
          <t>1990-08-03</t>
        </is>
      </c>
      <c r="Y1127" t="inlineStr">
        <is>
          <t>1987-11-18</t>
        </is>
      </c>
      <c r="Z1127" t="inlineStr">
        <is>
          <t>1987-11-18</t>
        </is>
      </c>
      <c r="AA1127" t="n">
        <v>81</v>
      </c>
      <c r="AB1127" t="n">
        <v>71</v>
      </c>
      <c r="AC1127" t="n">
        <v>71</v>
      </c>
      <c r="AD1127" t="n">
        <v>1</v>
      </c>
      <c r="AE1127" t="n">
        <v>1</v>
      </c>
      <c r="AF1127" t="n">
        <v>4</v>
      </c>
      <c r="AG1127" t="n">
        <v>4</v>
      </c>
      <c r="AH1127" t="n">
        <v>2</v>
      </c>
      <c r="AI1127" t="n">
        <v>2</v>
      </c>
      <c r="AJ1127" t="n">
        <v>0</v>
      </c>
      <c r="AK1127" t="n">
        <v>0</v>
      </c>
      <c r="AL1127" t="n">
        <v>2</v>
      </c>
      <c r="AM1127" t="n">
        <v>2</v>
      </c>
      <c r="AN1127" t="n">
        <v>0</v>
      </c>
      <c r="AO1127" t="n">
        <v>0</v>
      </c>
      <c r="AP1127" t="n">
        <v>0</v>
      </c>
      <c r="AQ1127" t="n">
        <v>0</v>
      </c>
      <c r="AR1127" t="inlineStr">
        <is>
          <t>No</t>
        </is>
      </c>
      <c r="AS1127" t="inlineStr">
        <is>
          <t>No</t>
        </is>
      </c>
      <c r="AU1127">
        <f>HYPERLINK("https://creighton-primo.hosted.exlibrisgroup.com/primo-explore/search?tab=default_tab&amp;search_scope=EVERYTHING&amp;vid=01CRU&amp;lang=en_US&amp;offset=0&amp;query=any,contains,991001517129702656","Catalog Record")</f>
        <v/>
      </c>
      <c r="AV1127">
        <f>HYPERLINK("http://www.worldcat.org/oclc/5709523","WorldCat Record")</f>
        <v/>
      </c>
      <c r="AW1127" t="inlineStr">
        <is>
          <t>5615491892:eng</t>
        </is>
      </c>
      <c r="AX1127" t="inlineStr">
        <is>
          <t>5709523</t>
        </is>
      </c>
      <c r="AY1127" t="inlineStr">
        <is>
          <t>991001517129702656</t>
        </is>
      </c>
      <c r="AZ1127" t="inlineStr">
        <is>
          <t>991001517129702656</t>
        </is>
      </c>
      <c r="BA1127" t="inlineStr">
        <is>
          <t>2260298660002656</t>
        </is>
      </c>
      <c r="BB1127" t="inlineStr">
        <is>
          <t>BOOK</t>
        </is>
      </c>
      <c r="BE1127" t="inlineStr">
        <is>
          <t>30001000600116</t>
        </is>
      </c>
      <c r="BF1127" t="inlineStr">
        <is>
          <t>893633161</t>
        </is>
      </c>
    </row>
    <row r="1128">
      <c r="A1128" t="inlineStr">
        <is>
          <t>No</t>
        </is>
      </c>
      <c r="B1128" t="inlineStr">
        <is>
          <t>CUHSL</t>
        </is>
      </c>
      <c r="C1128" t="inlineStr">
        <is>
          <t>SHELVES</t>
        </is>
      </c>
      <c r="D1128" t="inlineStr">
        <is>
          <t>WY 105 M2683 1983</t>
        </is>
      </c>
      <c r="E1128" t="inlineStr">
        <is>
          <t>0                      WY 0105000M  2683        1983</t>
        </is>
      </c>
      <c r="F1128" t="inlineStr">
        <is>
          <t>Management systems for nursing service staffing / edited by Robert L. Hanson ; contributors, American Hospital Association ... [et al.].</t>
        </is>
      </c>
      <c r="H1128" t="inlineStr">
        <is>
          <t>No</t>
        </is>
      </c>
      <c r="I1128" t="inlineStr">
        <is>
          <t>1</t>
        </is>
      </c>
      <c r="J1128" t="inlineStr">
        <is>
          <t>No</t>
        </is>
      </c>
      <c r="K1128" t="inlineStr">
        <is>
          <t>No</t>
        </is>
      </c>
      <c r="L1128" t="inlineStr">
        <is>
          <t>0</t>
        </is>
      </c>
      <c r="N1128" t="inlineStr">
        <is>
          <t>Rockville, Md. : Aspen Systems Corp., c1983.</t>
        </is>
      </c>
      <c r="O1128" t="inlineStr">
        <is>
          <t>1983</t>
        </is>
      </c>
      <c r="Q1128" t="inlineStr">
        <is>
          <t>eng</t>
        </is>
      </c>
      <c r="R1128" t="inlineStr">
        <is>
          <t>xxu</t>
        </is>
      </c>
      <c r="T1128" t="inlineStr">
        <is>
          <t xml:space="preserve">WY </t>
        </is>
      </c>
      <c r="U1128" t="n">
        <v>4</v>
      </c>
      <c r="V1128" t="n">
        <v>4</v>
      </c>
      <c r="W1128" t="inlineStr">
        <is>
          <t>1993-06-23</t>
        </is>
      </c>
      <c r="X1128" t="inlineStr">
        <is>
          <t>1993-06-23</t>
        </is>
      </c>
      <c r="Y1128" t="inlineStr">
        <is>
          <t>1987-12-30</t>
        </is>
      </c>
      <c r="Z1128" t="inlineStr">
        <is>
          <t>1987-12-30</t>
        </is>
      </c>
      <c r="AA1128" t="n">
        <v>203</v>
      </c>
      <c r="AB1128" t="n">
        <v>182</v>
      </c>
      <c r="AC1128" t="n">
        <v>189</v>
      </c>
      <c r="AD1128" t="n">
        <v>2</v>
      </c>
      <c r="AE1128" t="n">
        <v>2</v>
      </c>
      <c r="AF1128" t="n">
        <v>5</v>
      </c>
      <c r="AG1128" t="n">
        <v>5</v>
      </c>
      <c r="AH1128" t="n">
        <v>1</v>
      </c>
      <c r="AI1128" t="n">
        <v>1</v>
      </c>
      <c r="AJ1128" t="n">
        <v>1</v>
      </c>
      <c r="AK1128" t="n">
        <v>1</v>
      </c>
      <c r="AL1128" t="n">
        <v>2</v>
      </c>
      <c r="AM1128" t="n">
        <v>2</v>
      </c>
      <c r="AN1128" t="n">
        <v>1</v>
      </c>
      <c r="AO1128" t="n">
        <v>1</v>
      </c>
      <c r="AP1128" t="n">
        <v>0</v>
      </c>
      <c r="AQ1128" t="n">
        <v>0</v>
      </c>
      <c r="AR1128" t="inlineStr">
        <is>
          <t>No</t>
        </is>
      </c>
      <c r="AS1128" t="inlineStr">
        <is>
          <t>Yes</t>
        </is>
      </c>
      <c r="AT1128">
        <f>HYPERLINK("http://catalog.hathitrust.org/Record/000118530","HathiTrust Record")</f>
        <v/>
      </c>
      <c r="AU1128">
        <f>HYPERLINK("https://creighton-primo.hosted.exlibrisgroup.com/primo-explore/search?tab=default_tab&amp;search_scope=EVERYTHING&amp;vid=01CRU&amp;lang=en_US&amp;offset=0&amp;query=any,contains,991001151749702656","Catalog Record")</f>
        <v/>
      </c>
      <c r="AV1128">
        <f>HYPERLINK("http://www.worldcat.org/oclc/9442426","WorldCat Record")</f>
        <v/>
      </c>
      <c r="AW1128" t="inlineStr">
        <is>
          <t>42985404:eng</t>
        </is>
      </c>
      <c r="AX1128" t="inlineStr">
        <is>
          <t>9442426</t>
        </is>
      </c>
      <c r="AY1128" t="inlineStr">
        <is>
          <t>991001151749702656</t>
        </is>
      </c>
      <c r="AZ1128" t="inlineStr">
        <is>
          <t>991001151749702656</t>
        </is>
      </c>
      <c r="BA1128" t="inlineStr">
        <is>
          <t>2263602450002656</t>
        </is>
      </c>
      <c r="BB1128" t="inlineStr">
        <is>
          <t>BOOK</t>
        </is>
      </c>
      <c r="BD1128" t="inlineStr">
        <is>
          <t>9780894438431</t>
        </is>
      </c>
      <c r="BE1128" t="inlineStr">
        <is>
          <t>30001000296451</t>
        </is>
      </c>
      <c r="BF1128" t="inlineStr">
        <is>
          <t>893740819</t>
        </is>
      </c>
    </row>
    <row r="1129">
      <c r="A1129" t="inlineStr">
        <is>
          <t>No</t>
        </is>
      </c>
      <c r="B1129" t="inlineStr">
        <is>
          <t>CUHSL</t>
        </is>
      </c>
      <c r="C1129" t="inlineStr">
        <is>
          <t>SHELVES</t>
        </is>
      </c>
      <c r="D1129" t="inlineStr">
        <is>
          <t>WY 105 M357L 2006</t>
        </is>
      </c>
      <c r="E1129" t="inlineStr">
        <is>
          <t>0                      WY 0105000M  357L        2006</t>
        </is>
      </c>
      <c r="F1129" t="inlineStr">
        <is>
          <t>Leadership roles and management functions in nursing : theory and application / Bessie L. Marquis, Carol J. Huston.</t>
        </is>
      </c>
      <c r="H1129" t="inlineStr">
        <is>
          <t>No</t>
        </is>
      </c>
      <c r="I1129" t="inlineStr">
        <is>
          <t>1</t>
        </is>
      </c>
      <c r="J1129" t="inlineStr">
        <is>
          <t>No</t>
        </is>
      </c>
      <c r="K1129" t="inlineStr">
        <is>
          <t>No</t>
        </is>
      </c>
      <c r="L1129" t="inlineStr">
        <is>
          <t>0</t>
        </is>
      </c>
      <c r="M1129" t="inlineStr">
        <is>
          <t>Marquis, Bessie L.</t>
        </is>
      </c>
      <c r="N1129" t="inlineStr">
        <is>
          <t>Philadelphia : Lippincott Williams &amp; Wilkins, c2006.</t>
        </is>
      </c>
      <c r="O1129" t="inlineStr">
        <is>
          <t>2006</t>
        </is>
      </c>
      <c r="P1129" t="inlineStr">
        <is>
          <t>5th ed.</t>
        </is>
      </c>
      <c r="Q1129" t="inlineStr">
        <is>
          <t>eng</t>
        </is>
      </c>
      <c r="R1129" t="inlineStr">
        <is>
          <t>pau</t>
        </is>
      </c>
      <c r="T1129" t="inlineStr">
        <is>
          <t xml:space="preserve">WY </t>
        </is>
      </c>
      <c r="U1129" t="n">
        <v>3</v>
      </c>
      <c r="V1129" t="n">
        <v>3</v>
      </c>
      <c r="W1129" t="inlineStr">
        <is>
          <t>2010-09-28</t>
        </is>
      </c>
      <c r="X1129" t="inlineStr">
        <is>
          <t>2010-09-28</t>
        </is>
      </c>
      <c r="Y1129" t="inlineStr">
        <is>
          <t>2010-01-08</t>
        </is>
      </c>
      <c r="Z1129" t="inlineStr">
        <is>
          <t>2010-01-08</t>
        </is>
      </c>
      <c r="AA1129" t="n">
        <v>389</v>
      </c>
      <c r="AB1129" t="n">
        <v>239</v>
      </c>
      <c r="AC1129" t="n">
        <v>1053</v>
      </c>
      <c r="AD1129" t="n">
        <v>2</v>
      </c>
      <c r="AE1129" t="n">
        <v>7</v>
      </c>
      <c r="AF1129" t="n">
        <v>10</v>
      </c>
      <c r="AG1129" t="n">
        <v>35</v>
      </c>
      <c r="AH1129" t="n">
        <v>3</v>
      </c>
      <c r="AI1129" t="n">
        <v>13</v>
      </c>
      <c r="AJ1129" t="n">
        <v>1</v>
      </c>
      <c r="AK1129" t="n">
        <v>7</v>
      </c>
      <c r="AL1129" t="n">
        <v>7</v>
      </c>
      <c r="AM1129" t="n">
        <v>16</v>
      </c>
      <c r="AN1129" t="n">
        <v>1</v>
      </c>
      <c r="AO1129" t="n">
        <v>5</v>
      </c>
      <c r="AP1129" t="n">
        <v>0</v>
      </c>
      <c r="AQ1129" t="n">
        <v>0</v>
      </c>
      <c r="AR1129" t="inlineStr">
        <is>
          <t>No</t>
        </is>
      </c>
      <c r="AS1129" t="inlineStr">
        <is>
          <t>No</t>
        </is>
      </c>
      <c r="AU1129">
        <f>HYPERLINK("https://creighton-primo.hosted.exlibrisgroup.com/primo-explore/search?tab=default_tab&amp;search_scope=EVERYTHING&amp;vid=01CRU&amp;lang=en_US&amp;offset=0&amp;query=any,contains,991001747499702656","Catalog Record")</f>
        <v/>
      </c>
      <c r="AV1129">
        <f>HYPERLINK("http://www.worldcat.org/oclc/56956477","WorldCat Record")</f>
        <v/>
      </c>
      <c r="AW1129" t="inlineStr">
        <is>
          <t>1118677:eng</t>
        </is>
      </c>
      <c r="AX1129" t="inlineStr">
        <is>
          <t>56956477</t>
        </is>
      </c>
      <c r="AY1129" t="inlineStr">
        <is>
          <t>991001747499702656</t>
        </is>
      </c>
      <c r="AZ1129" t="inlineStr">
        <is>
          <t>991001747499702656</t>
        </is>
      </c>
      <c r="BA1129" t="inlineStr">
        <is>
          <t>2261848040002656</t>
        </is>
      </c>
      <c r="BB1129" t="inlineStr">
        <is>
          <t>BOOK</t>
        </is>
      </c>
      <c r="BD1129" t="inlineStr">
        <is>
          <t>9780781795944</t>
        </is>
      </c>
      <c r="BE1129" t="inlineStr">
        <is>
          <t>30001005366754</t>
        </is>
      </c>
      <c r="BF1129" t="inlineStr">
        <is>
          <t>893558323</t>
        </is>
      </c>
    </row>
    <row r="1130">
      <c r="A1130" t="inlineStr">
        <is>
          <t>No</t>
        </is>
      </c>
      <c r="B1130" t="inlineStr">
        <is>
          <t>CUHSL</t>
        </is>
      </c>
      <c r="C1130" t="inlineStr">
        <is>
          <t>SHELVES</t>
        </is>
      </c>
      <c r="D1130" t="inlineStr">
        <is>
          <t>WY 105 M358n 1997</t>
        </is>
      </c>
      <c r="E1130" t="inlineStr">
        <is>
          <t>0                      WY 0105000M  358n        1997</t>
        </is>
      </c>
      <c r="F1130" t="inlineStr">
        <is>
          <t>The nurse manager's survival guide : practical answers to everyday problems / T.M. Marrelli ; with assistance from Lynda S. Hilliard.</t>
        </is>
      </c>
      <c r="H1130" t="inlineStr">
        <is>
          <t>No</t>
        </is>
      </c>
      <c r="I1130" t="inlineStr">
        <is>
          <t>1</t>
        </is>
      </c>
      <c r="J1130" t="inlineStr">
        <is>
          <t>No</t>
        </is>
      </c>
      <c r="K1130" t="inlineStr">
        <is>
          <t>No</t>
        </is>
      </c>
      <c r="L1130" t="inlineStr">
        <is>
          <t>0</t>
        </is>
      </c>
      <c r="M1130" t="inlineStr">
        <is>
          <t>Marrelli, T. M.</t>
        </is>
      </c>
      <c r="N1130" t="inlineStr">
        <is>
          <t>St. Louis : Mosby, c1997.</t>
        </is>
      </c>
      <c r="O1130" t="inlineStr">
        <is>
          <t>1997</t>
        </is>
      </c>
      <c r="P1130" t="inlineStr">
        <is>
          <t>2nd ed.</t>
        </is>
      </c>
      <c r="Q1130" t="inlineStr">
        <is>
          <t>eng</t>
        </is>
      </c>
      <c r="R1130" t="inlineStr">
        <is>
          <t>mou</t>
        </is>
      </c>
      <c r="T1130" t="inlineStr">
        <is>
          <t xml:space="preserve">WY </t>
        </is>
      </c>
      <c r="U1130" t="n">
        <v>4</v>
      </c>
      <c r="V1130" t="n">
        <v>4</v>
      </c>
      <c r="W1130" t="inlineStr">
        <is>
          <t>2004-02-18</t>
        </is>
      </c>
      <c r="X1130" t="inlineStr">
        <is>
          <t>2004-02-18</t>
        </is>
      </c>
      <c r="Y1130" t="inlineStr">
        <is>
          <t>1999-04-13</t>
        </is>
      </c>
      <c r="Z1130" t="inlineStr">
        <is>
          <t>1999-04-13</t>
        </is>
      </c>
      <c r="AA1130" t="n">
        <v>209</v>
      </c>
      <c r="AB1130" t="n">
        <v>154</v>
      </c>
      <c r="AC1130" t="n">
        <v>440</v>
      </c>
      <c r="AD1130" t="n">
        <v>1</v>
      </c>
      <c r="AE1130" t="n">
        <v>2</v>
      </c>
      <c r="AF1130" t="n">
        <v>7</v>
      </c>
      <c r="AG1130" t="n">
        <v>19</v>
      </c>
      <c r="AH1130" t="n">
        <v>4</v>
      </c>
      <c r="AI1130" t="n">
        <v>9</v>
      </c>
      <c r="AJ1130" t="n">
        <v>1</v>
      </c>
      <c r="AK1130" t="n">
        <v>4</v>
      </c>
      <c r="AL1130" t="n">
        <v>5</v>
      </c>
      <c r="AM1130" t="n">
        <v>10</v>
      </c>
      <c r="AN1130" t="n">
        <v>0</v>
      </c>
      <c r="AO1130" t="n">
        <v>1</v>
      </c>
      <c r="AP1130" t="n">
        <v>0</v>
      </c>
      <c r="AQ1130" t="n">
        <v>0</v>
      </c>
      <c r="AR1130" t="inlineStr">
        <is>
          <t>No</t>
        </is>
      </c>
      <c r="AS1130" t="inlineStr">
        <is>
          <t>Yes</t>
        </is>
      </c>
      <c r="AT1130">
        <f>HYPERLINK("http://catalog.hathitrust.org/Record/003126696","HathiTrust Record")</f>
        <v/>
      </c>
      <c r="AU1130">
        <f>HYPERLINK("https://creighton-primo.hosted.exlibrisgroup.com/primo-explore/search?tab=default_tab&amp;search_scope=EVERYTHING&amp;vid=01CRU&amp;lang=en_US&amp;offset=0&amp;query=any,contains,991000784089702656","Catalog Record")</f>
        <v/>
      </c>
      <c r="AV1130">
        <f>HYPERLINK("http://www.worldcat.org/oclc/36008442","WorldCat Record")</f>
        <v/>
      </c>
      <c r="AW1130" t="inlineStr">
        <is>
          <t>679666:eng</t>
        </is>
      </c>
      <c r="AX1130" t="inlineStr">
        <is>
          <t>36008442</t>
        </is>
      </c>
      <c r="AY1130" t="inlineStr">
        <is>
          <t>991000784089702656</t>
        </is>
      </c>
      <c r="AZ1130" t="inlineStr">
        <is>
          <t>991000784089702656</t>
        </is>
      </c>
      <c r="BA1130" t="inlineStr">
        <is>
          <t>2259095960002656</t>
        </is>
      </c>
      <c r="BB1130" t="inlineStr">
        <is>
          <t>BOOK</t>
        </is>
      </c>
      <c r="BD1130" t="inlineStr">
        <is>
          <t>9780815156727</t>
        </is>
      </c>
      <c r="BE1130" t="inlineStr">
        <is>
          <t>30001004071157</t>
        </is>
      </c>
      <c r="BF1130" t="inlineStr">
        <is>
          <t>893831227</t>
        </is>
      </c>
    </row>
    <row r="1131">
      <c r="A1131" t="inlineStr">
        <is>
          <t>No</t>
        </is>
      </c>
      <c r="B1131" t="inlineStr">
        <is>
          <t>CUHSL</t>
        </is>
      </c>
      <c r="C1131" t="inlineStr">
        <is>
          <t>SHELVES</t>
        </is>
      </c>
      <c r="D1131" t="inlineStr">
        <is>
          <t>WY 105 M359g 1988</t>
        </is>
      </c>
      <c r="E1131" t="inlineStr">
        <is>
          <t>0                      WY 0105000M  359g        1988</t>
        </is>
      </c>
      <c r="F1131" t="inlineStr">
        <is>
          <t>Guide to nursing management / Ann Marriner-Tomey.</t>
        </is>
      </c>
      <c r="H1131" t="inlineStr">
        <is>
          <t>No</t>
        </is>
      </c>
      <c r="I1131" t="inlineStr">
        <is>
          <t>1</t>
        </is>
      </c>
      <c r="J1131" t="inlineStr">
        <is>
          <t>No</t>
        </is>
      </c>
      <c r="K1131" t="inlineStr">
        <is>
          <t>No</t>
        </is>
      </c>
      <c r="L1131" t="inlineStr">
        <is>
          <t>0</t>
        </is>
      </c>
      <c r="M1131" t="inlineStr">
        <is>
          <t>Marriner-Tomey, Ann, 1943-</t>
        </is>
      </c>
      <c r="N1131" t="inlineStr">
        <is>
          <t>St. Louis : Mosby, c1988.</t>
        </is>
      </c>
      <c r="O1131" t="inlineStr">
        <is>
          <t>1988</t>
        </is>
      </c>
      <c r="P1131" t="inlineStr">
        <is>
          <t>3rd ed.</t>
        </is>
      </c>
      <c r="Q1131" t="inlineStr">
        <is>
          <t>eng</t>
        </is>
      </c>
      <c r="R1131" t="inlineStr">
        <is>
          <t>mou</t>
        </is>
      </c>
      <c r="T1131" t="inlineStr">
        <is>
          <t xml:space="preserve">WY </t>
        </is>
      </c>
      <c r="U1131" t="n">
        <v>12</v>
      </c>
      <c r="V1131" t="n">
        <v>12</v>
      </c>
      <c r="W1131" t="inlineStr">
        <is>
          <t>1995-10-12</t>
        </is>
      </c>
      <c r="X1131" t="inlineStr">
        <is>
          <t>1995-10-12</t>
        </is>
      </c>
      <c r="Y1131" t="inlineStr">
        <is>
          <t>1992-10-28</t>
        </is>
      </c>
      <c r="Z1131" t="inlineStr">
        <is>
          <t>1992-10-28</t>
        </is>
      </c>
      <c r="AA1131" t="n">
        <v>310</v>
      </c>
      <c r="AB1131" t="n">
        <v>240</v>
      </c>
      <c r="AC1131" t="n">
        <v>491</v>
      </c>
      <c r="AD1131" t="n">
        <v>1</v>
      </c>
      <c r="AE1131" t="n">
        <v>1</v>
      </c>
      <c r="AF1131" t="n">
        <v>7</v>
      </c>
      <c r="AG1131" t="n">
        <v>14</v>
      </c>
      <c r="AH1131" t="n">
        <v>3</v>
      </c>
      <c r="AI1131" t="n">
        <v>7</v>
      </c>
      <c r="AJ1131" t="n">
        <v>1</v>
      </c>
      <c r="AK1131" t="n">
        <v>3</v>
      </c>
      <c r="AL1131" t="n">
        <v>4</v>
      </c>
      <c r="AM1131" t="n">
        <v>8</v>
      </c>
      <c r="AN1131" t="n">
        <v>0</v>
      </c>
      <c r="AO1131" t="n">
        <v>0</v>
      </c>
      <c r="AP1131" t="n">
        <v>0</v>
      </c>
      <c r="AQ1131" t="n">
        <v>0</v>
      </c>
      <c r="AR1131" t="inlineStr">
        <is>
          <t>No</t>
        </is>
      </c>
      <c r="AS1131" t="inlineStr">
        <is>
          <t>Yes</t>
        </is>
      </c>
      <c r="AT1131">
        <f>HYPERLINK("http://catalog.hathitrust.org/Record/000839900","HathiTrust Record")</f>
        <v/>
      </c>
      <c r="AU1131">
        <f>HYPERLINK("https://creighton-primo.hosted.exlibrisgroup.com/primo-explore/search?tab=default_tab&amp;search_scope=EVERYTHING&amp;vid=01CRU&amp;lang=en_US&amp;offset=0&amp;query=any,contains,991001346689702656","Catalog Record")</f>
        <v/>
      </c>
      <c r="AV1131">
        <f>HYPERLINK("http://www.worldcat.org/oclc/15661352","WorldCat Record")</f>
        <v/>
      </c>
      <c r="AW1131" t="inlineStr">
        <is>
          <t>3901067239:eng</t>
        </is>
      </c>
      <c r="AX1131" t="inlineStr">
        <is>
          <t>15661352</t>
        </is>
      </c>
      <c r="AY1131" t="inlineStr">
        <is>
          <t>991001346689702656</t>
        </is>
      </c>
      <c r="AZ1131" t="inlineStr">
        <is>
          <t>991001346689702656</t>
        </is>
      </c>
      <c r="BA1131" t="inlineStr">
        <is>
          <t>2259822790002656</t>
        </is>
      </c>
      <c r="BB1131" t="inlineStr">
        <is>
          <t>BOOK</t>
        </is>
      </c>
      <c r="BD1131" t="inlineStr">
        <is>
          <t>9780801632075</t>
        </is>
      </c>
      <c r="BE1131" t="inlineStr">
        <is>
          <t>30001002457465</t>
        </is>
      </c>
      <c r="BF1131" t="inlineStr">
        <is>
          <t>893455712</t>
        </is>
      </c>
    </row>
    <row r="1132">
      <c r="A1132" t="inlineStr">
        <is>
          <t>No</t>
        </is>
      </c>
      <c r="B1132" t="inlineStr">
        <is>
          <t>CUHSL</t>
        </is>
      </c>
      <c r="C1132" t="inlineStr">
        <is>
          <t>SHELVES</t>
        </is>
      </c>
      <c r="D1132" t="inlineStr">
        <is>
          <t>WY 105 M359g 2000</t>
        </is>
      </c>
      <c r="E1132" t="inlineStr">
        <is>
          <t>0                      WY 0105000M  359g        2000</t>
        </is>
      </c>
      <c r="F1132" t="inlineStr">
        <is>
          <t>Guide to nursing management and leadership / Ann Marriner-Tomey.</t>
        </is>
      </c>
      <c r="H1132" t="inlineStr">
        <is>
          <t>No</t>
        </is>
      </c>
      <c r="I1132" t="inlineStr">
        <is>
          <t>1</t>
        </is>
      </c>
      <c r="J1132" t="inlineStr">
        <is>
          <t>No</t>
        </is>
      </c>
      <c r="K1132" t="inlineStr">
        <is>
          <t>Yes</t>
        </is>
      </c>
      <c r="L1132" t="inlineStr">
        <is>
          <t>0</t>
        </is>
      </c>
      <c r="M1132" t="inlineStr">
        <is>
          <t>Marriner-Tomey, Ann, 1943-</t>
        </is>
      </c>
      <c r="N1132" t="inlineStr">
        <is>
          <t>St. Louis, Mo. : Mosby, c2000.</t>
        </is>
      </c>
      <c r="O1132" t="inlineStr">
        <is>
          <t>2000</t>
        </is>
      </c>
      <c r="P1132" t="inlineStr">
        <is>
          <t>6th ed.</t>
        </is>
      </c>
      <c r="Q1132" t="inlineStr">
        <is>
          <t>eng</t>
        </is>
      </c>
      <c r="R1132" t="inlineStr">
        <is>
          <t>mou</t>
        </is>
      </c>
      <c r="T1132" t="inlineStr">
        <is>
          <t xml:space="preserve">WY </t>
        </is>
      </c>
      <c r="U1132" t="n">
        <v>5</v>
      </c>
      <c r="V1132" t="n">
        <v>5</v>
      </c>
      <c r="W1132" t="inlineStr">
        <is>
          <t>2003-04-27</t>
        </is>
      </c>
      <c r="X1132" t="inlineStr">
        <is>
          <t>2003-04-27</t>
        </is>
      </c>
      <c r="Y1132" t="inlineStr">
        <is>
          <t>2000-07-20</t>
        </is>
      </c>
      <c r="Z1132" t="inlineStr">
        <is>
          <t>2000-07-20</t>
        </is>
      </c>
      <c r="AA1132" t="n">
        <v>432</v>
      </c>
      <c r="AB1132" t="n">
        <v>313</v>
      </c>
      <c r="AC1132" t="n">
        <v>866</v>
      </c>
      <c r="AD1132" t="n">
        <v>1</v>
      </c>
      <c r="AE1132" t="n">
        <v>4</v>
      </c>
      <c r="AF1132" t="n">
        <v>9</v>
      </c>
      <c r="AG1132" t="n">
        <v>32</v>
      </c>
      <c r="AH1132" t="n">
        <v>4</v>
      </c>
      <c r="AI1132" t="n">
        <v>13</v>
      </c>
      <c r="AJ1132" t="n">
        <v>3</v>
      </c>
      <c r="AK1132" t="n">
        <v>7</v>
      </c>
      <c r="AL1132" t="n">
        <v>3</v>
      </c>
      <c r="AM1132" t="n">
        <v>16</v>
      </c>
      <c r="AN1132" t="n">
        <v>0</v>
      </c>
      <c r="AO1132" t="n">
        <v>2</v>
      </c>
      <c r="AP1132" t="n">
        <v>0</v>
      </c>
      <c r="AQ1132" t="n">
        <v>0</v>
      </c>
      <c r="AR1132" t="inlineStr">
        <is>
          <t>No</t>
        </is>
      </c>
      <c r="AS1132" t="inlineStr">
        <is>
          <t>Yes</t>
        </is>
      </c>
      <c r="AT1132">
        <f>HYPERLINK("http://catalog.hathitrust.org/Record/004093022","HathiTrust Record")</f>
        <v/>
      </c>
      <c r="AU1132">
        <f>HYPERLINK("https://creighton-primo.hosted.exlibrisgroup.com/primo-explore/search?tab=default_tab&amp;search_scope=EVERYTHING&amp;vid=01CRU&amp;lang=en_US&amp;offset=0&amp;query=any,contains,991000277569702656","Catalog Record")</f>
        <v/>
      </c>
      <c r="AV1132">
        <f>HYPERLINK("http://www.worldcat.org/oclc/43441718","WorldCat Record")</f>
        <v/>
      </c>
      <c r="AW1132" t="inlineStr">
        <is>
          <t>2908949560:eng</t>
        </is>
      </c>
      <c r="AX1132" t="inlineStr">
        <is>
          <t>43441718</t>
        </is>
      </c>
      <c r="AY1132" t="inlineStr">
        <is>
          <t>991000277569702656</t>
        </is>
      </c>
      <c r="AZ1132" t="inlineStr">
        <is>
          <t>991000277569702656</t>
        </is>
      </c>
      <c r="BA1132" t="inlineStr">
        <is>
          <t>2270065180002656</t>
        </is>
      </c>
      <c r="BB1132" t="inlineStr">
        <is>
          <t>BOOK</t>
        </is>
      </c>
      <c r="BD1132" t="inlineStr">
        <is>
          <t>9780323010665</t>
        </is>
      </c>
      <c r="BE1132" t="inlineStr">
        <is>
          <t>30001003941723</t>
        </is>
      </c>
      <c r="BF1132" t="inlineStr">
        <is>
          <t>893628974</t>
        </is>
      </c>
    </row>
    <row r="1133">
      <c r="A1133" t="inlineStr">
        <is>
          <t>No</t>
        </is>
      </c>
      <c r="B1133" t="inlineStr">
        <is>
          <t>CUHSL</t>
        </is>
      </c>
      <c r="C1133" t="inlineStr">
        <is>
          <t>SHELVES</t>
        </is>
      </c>
      <c r="D1133" t="inlineStr">
        <is>
          <t>WY 105 M359g 2004</t>
        </is>
      </c>
      <c r="E1133" t="inlineStr">
        <is>
          <t>0                      WY 0105000M  359g        2004</t>
        </is>
      </c>
      <c r="F1133" t="inlineStr">
        <is>
          <t>Guide to nursing management and leadership / Ann Marriner-Tomey.</t>
        </is>
      </c>
      <c r="H1133" t="inlineStr">
        <is>
          <t>No</t>
        </is>
      </c>
      <c r="I1133" t="inlineStr">
        <is>
          <t>1</t>
        </is>
      </c>
      <c r="J1133" t="inlineStr">
        <is>
          <t>No</t>
        </is>
      </c>
      <c r="K1133" t="inlineStr">
        <is>
          <t>Yes</t>
        </is>
      </c>
      <c r="L1133" t="inlineStr">
        <is>
          <t>0</t>
        </is>
      </c>
      <c r="M1133" t="inlineStr">
        <is>
          <t>Marriner-Tomey, Ann, 1943-</t>
        </is>
      </c>
      <c r="N1133" t="inlineStr">
        <is>
          <t>St. Louis : Mosby, c2004.</t>
        </is>
      </c>
      <c r="O1133" t="inlineStr">
        <is>
          <t>2004</t>
        </is>
      </c>
      <c r="P1133" t="inlineStr">
        <is>
          <t>7th ed.</t>
        </is>
      </c>
      <c r="Q1133" t="inlineStr">
        <is>
          <t>eng</t>
        </is>
      </c>
      <c r="R1133" t="inlineStr">
        <is>
          <t>mou</t>
        </is>
      </c>
      <c r="T1133" t="inlineStr">
        <is>
          <t xml:space="preserve">WY </t>
        </is>
      </c>
      <c r="U1133" t="n">
        <v>2</v>
      </c>
      <c r="V1133" t="n">
        <v>2</v>
      </c>
      <c r="W1133" t="inlineStr">
        <is>
          <t>2010-06-21</t>
        </is>
      </c>
      <c r="X1133" t="inlineStr">
        <is>
          <t>2010-06-21</t>
        </is>
      </c>
      <c r="Y1133" t="inlineStr">
        <is>
          <t>2004-09-08</t>
        </is>
      </c>
      <c r="Z1133" t="inlineStr">
        <is>
          <t>2004-09-08</t>
        </is>
      </c>
      <c r="AA1133" t="n">
        <v>449</v>
      </c>
      <c r="AB1133" t="n">
        <v>304</v>
      </c>
      <c r="AC1133" t="n">
        <v>866</v>
      </c>
      <c r="AD1133" t="n">
        <v>1</v>
      </c>
      <c r="AE1133" t="n">
        <v>4</v>
      </c>
      <c r="AF1133" t="n">
        <v>8</v>
      </c>
      <c r="AG1133" t="n">
        <v>32</v>
      </c>
      <c r="AH1133" t="n">
        <v>3</v>
      </c>
      <c r="AI1133" t="n">
        <v>13</v>
      </c>
      <c r="AJ1133" t="n">
        <v>2</v>
      </c>
      <c r="AK1133" t="n">
        <v>7</v>
      </c>
      <c r="AL1133" t="n">
        <v>5</v>
      </c>
      <c r="AM1133" t="n">
        <v>16</v>
      </c>
      <c r="AN1133" t="n">
        <v>0</v>
      </c>
      <c r="AO1133" t="n">
        <v>2</v>
      </c>
      <c r="AP1133" t="n">
        <v>0</v>
      </c>
      <c r="AQ1133" t="n">
        <v>0</v>
      </c>
      <c r="AR1133" t="inlineStr">
        <is>
          <t>No</t>
        </is>
      </c>
      <c r="AS1133" t="inlineStr">
        <is>
          <t>Yes</t>
        </is>
      </c>
      <c r="AT1133">
        <f>HYPERLINK("http://catalog.hathitrust.org/Record/004377889","HathiTrust Record")</f>
        <v/>
      </c>
      <c r="AU1133">
        <f>HYPERLINK("https://creighton-primo.hosted.exlibrisgroup.com/primo-explore/search?tab=default_tab&amp;search_scope=EVERYTHING&amp;vid=01CRU&amp;lang=en_US&amp;offset=0&amp;query=any,contains,991001729739702656","Catalog Record")</f>
        <v/>
      </c>
      <c r="AV1133">
        <f>HYPERLINK("http://www.worldcat.org/oclc/53139570","WorldCat Record")</f>
        <v/>
      </c>
      <c r="AW1133" t="inlineStr">
        <is>
          <t>2908949560:eng</t>
        </is>
      </c>
      <c r="AX1133" t="inlineStr">
        <is>
          <t>53139570</t>
        </is>
      </c>
      <c r="AY1133" t="inlineStr">
        <is>
          <t>991001729739702656</t>
        </is>
      </c>
      <c r="AZ1133" t="inlineStr">
        <is>
          <t>991001729739702656</t>
        </is>
      </c>
      <c r="BA1133" t="inlineStr">
        <is>
          <t>2265801630002656</t>
        </is>
      </c>
      <c r="BB1133" t="inlineStr">
        <is>
          <t>BOOK</t>
        </is>
      </c>
      <c r="BD1133" t="inlineStr">
        <is>
          <t>9780323028646</t>
        </is>
      </c>
      <c r="BE1133" t="inlineStr">
        <is>
          <t>30001004920932</t>
        </is>
      </c>
      <c r="BF1133" t="inlineStr">
        <is>
          <t>893727858</t>
        </is>
      </c>
    </row>
    <row r="1134">
      <c r="A1134" t="inlineStr">
        <is>
          <t>No</t>
        </is>
      </c>
      <c r="B1134" t="inlineStr">
        <is>
          <t>CUHSL</t>
        </is>
      </c>
      <c r="C1134" t="inlineStr">
        <is>
          <t>SHELVES</t>
        </is>
      </c>
      <c r="D1134" t="inlineStr">
        <is>
          <t>WY 105 M496p 1982</t>
        </is>
      </c>
      <c r="E1134" t="inlineStr">
        <is>
          <t>0                      WY 0105000M  496p        1982</t>
        </is>
      </c>
      <c r="F1134" t="inlineStr">
        <is>
          <t>Patient teaching : theories, techniques, and strategies / Jean Stone Megenity, Jack Megenity.</t>
        </is>
      </c>
      <c r="H1134" t="inlineStr">
        <is>
          <t>No</t>
        </is>
      </c>
      <c r="I1134" t="inlineStr">
        <is>
          <t>1</t>
        </is>
      </c>
      <c r="J1134" t="inlineStr">
        <is>
          <t>No</t>
        </is>
      </c>
      <c r="K1134" t="inlineStr">
        <is>
          <t>No</t>
        </is>
      </c>
      <c r="L1134" t="inlineStr">
        <is>
          <t>0</t>
        </is>
      </c>
      <c r="M1134" t="inlineStr">
        <is>
          <t>Megenity, Jean Stone, 1927-</t>
        </is>
      </c>
      <c r="N1134" t="inlineStr">
        <is>
          <t>Bowie, Md. : R.J. Brady, c1982.</t>
        </is>
      </c>
      <c r="O1134" t="inlineStr">
        <is>
          <t>1982</t>
        </is>
      </c>
      <c r="Q1134" t="inlineStr">
        <is>
          <t>eng</t>
        </is>
      </c>
      <c r="R1134" t="inlineStr">
        <is>
          <t>mdu</t>
        </is>
      </c>
      <c r="T1134" t="inlineStr">
        <is>
          <t xml:space="preserve">WY </t>
        </is>
      </c>
      <c r="U1134" t="n">
        <v>4</v>
      </c>
      <c r="V1134" t="n">
        <v>4</v>
      </c>
      <c r="W1134" t="inlineStr">
        <is>
          <t>2001-10-29</t>
        </is>
      </c>
      <c r="X1134" t="inlineStr">
        <is>
          <t>2001-10-29</t>
        </is>
      </c>
      <c r="Y1134" t="inlineStr">
        <is>
          <t>1987-12-30</t>
        </is>
      </c>
      <c r="Z1134" t="inlineStr">
        <is>
          <t>1987-12-30</t>
        </is>
      </c>
      <c r="AA1134" t="n">
        <v>148</v>
      </c>
      <c r="AB1134" t="n">
        <v>122</v>
      </c>
      <c r="AC1134" t="n">
        <v>122</v>
      </c>
      <c r="AD1134" t="n">
        <v>1</v>
      </c>
      <c r="AE1134" t="n">
        <v>1</v>
      </c>
      <c r="AF1134" t="n">
        <v>2</v>
      </c>
      <c r="AG1134" t="n">
        <v>2</v>
      </c>
      <c r="AH1134" t="n">
        <v>2</v>
      </c>
      <c r="AI1134" t="n">
        <v>2</v>
      </c>
      <c r="AJ1134" t="n">
        <v>0</v>
      </c>
      <c r="AK1134" t="n">
        <v>0</v>
      </c>
      <c r="AL1134" t="n">
        <v>1</v>
      </c>
      <c r="AM1134" t="n">
        <v>1</v>
      </c>
      <c r="AN1134" t="n">
        <v>0</v>
      </c>
      <c r="AO1134" t="n">
        <v>0</v>
      </c>
      <c r="AP1134" t="n">
        <v>0</v>
      </c>
      <c r="AQ1134" t="n">
        <v>0</v>
      </c>
      <c r="AR1134" t="inlineStr">
        <is>
          <t>No</t>
        </is>
      </c>
      <c r="AS1134" t="inlineStr">
        <is>
          <t>No</t>
        </is>
      </c>
      <c r="AU1134">
        <f>HYPERLINK("https://creighton-primo.hosted.exlibrisgroup.com/primo-explore/search?tab=default_tab&amp;search_scope=EVERYTHING&amp;vid=01CRU&amp;lang=en_US&amp;offset=0&amp;query=any,contains,991001151599702656","Catalog Record")</f>
        <v/>
      </c>
      <c r="AV1134">
        <f>HYPERLINK("http://www.worldcat.org/oclc/7837753","WorldCat Record")</f>
        <v/>
      </c>
      <c r="AW1134" t="inlineStr">
        <is>
          <t>497752256:eng</t>
        </is>
      </c>
      <c r="AX1134" t="inlineStr">
        <is>
          <t>7837753</t>
        </is>
      </c>
      <c r="AY1134" t="inlineStr">
        <is>
          <t>991001151599702656</t>
        </is>
      </c>
      <c r="AZ1134" t="inlineStr">
        <is>
          <t>991001151599702656</t>
        </is>
      </c>
      <c r="BA1134" t="inlineStr">
        <is>
          <t>2257014820002656</t>
        </is>
      </c>
      <c r="BB1134" t="inlineStr">
        <is>
          <t>BOOK</t>
        </is>
      </c>
      <c r="BD1134" t="inlineStr">
        <is>
          <t>9780893030520</t>
        </is>
      </c>
      <c r="BE1134" t="inlineStr">
        <is>
          <t>30001000296402</t>
        </is>
      </c>
      <c r="BF1134" t="inlineStr">
        <is>
          <t>893820991</t>
        </is>
      </c>
    </row>
    <row r="1135">
      <c r="A1135" t="inlineStr">
        <is>
          <t>No</t>
        </is>
      </c>
      <c r="B1135" t="inlineStr">
        <is>
          <t>CUHSL</t>
        </is>
      </c>
      <c r="C1135" t="inlineStr">
        <is>
          <t>SHELVES</t>
        </is>
      </c>
      <c r="D1135" t="inlineStr">
        <is>
          <t>WY 105 M918 1976</t>
        </is>
      </c>
      <c r="E1135" t="inlineStr">
        <is>
          <t>0                      WY 0105000M  918         1976</t>
        </is>
      </c>
      <c r="F1135" t="inlineStr">
        <is>
          <t>Motivating personnel &amp; managing conflict : a reader consisting of twelve articles / especially selected by the Journal of nursing administration editorial staff.</t>
        </is>
      </c>
      <c r="H1135" t="inlineStr">
        <is>
          <t>No</t>
        </is>
      </c>
      <c r="I1135" t="inlineStr">
        <is>
          <t>1</t>
        </is>
      </c>
      <c r="J1135" t="inlineStr">
        <is>
          <t>No</t>
        </is>
      </c>
      <c r="K1135" t="inlineStr">
        <is>
          <t>No</t>
        </is>
      </c>
      <c r="L1135" t="inlineStr">
        <is>
          <t>0</t>
        </is>
      </c>
      <c r="N1135" t="inlineStr">
        <is>
          <t>Wakefield, MA : Contemporary Pub., c1976.</t>
        </is>
      </c>
      <c r="O1135" t="inlineStr">
        <is>
          <t>1976</t>
        </is>
      </c>
      <c r="P1135" t="inlineStr">
        <is>
          <t>2d ed.</t>
        </is>
      </c>
      <c r="Q1135" t="inlineStr">
        <is>
          <t>eng</t>
        </is>
      </c>
      <c r="R1135" t="inlineStr">
        <is>
          <t>mau</t>
        </is>
      </c>
      <c r="S1135" t="inlineStr">
        <is>
          <t>Contemporary nursing resource book</t>
        </is>
      </c>
      <c r="T1135" t="inlineStr">
        <is>
          <t xml:space="preserve">WY </t>
        </is>
      </c>
      <c r="U1135" t="n">
        <v>1</v>
      </c>
      <c r="V1135" t="n">
        <v>1</v>
      </c>
      <c r="W1135" t="inlineStr">
        <is>
          <t>1992-02-26</t>
        </is>
      </c>
      <c r="X1135" t="inlineStr">
        <is>
          <t>1992-02-26</t>
        </is>
      </c>
      <c r="Y1135" t="inlineStr">
        <is>
          <t>1987-12-30</t>
        </is>
      </c>
      <c r="Z1135" t="inlineStr">
        <is>
          <t>1987-12-30</t>
        </is>
      </c>
      <c r="AA1135" t="n">
        <v>94</v>
      </c>
      <c r="AB1135" t="n">
        <v>79</v>
      </c>
      <c r="AC1135" t="n">
        <v>81</v>
      </c>
      <c r="AD1135" t="n">
        <v>2</v>
      </c>
      <c r="AE1135" t="n">
        <v>2</v>
      </c>
      <c r="AF1135" t="n">
        <v>6</v>
      </c>
      <c r="AG1135" t="n">
        <v>6</v>
      </c>
      <c r="AH1135" t="n">
        <v>1</v>
      </c>
      <c r="AI1135" t="n">
        <v>1</v>
      </c>
      <c r="AJ1135" t="n">
        <v>2</v>
      </c>
      <c r="AK1135" t="n">
        <v>2</v>
      </c>
      <c r="AL1135" t="n">
        <v>2</v>
      </c>
      <c r="AM1135" t="n">
        <v>2</v>
      </c>
      <c r="AN1135" t="n">
        <v>1</v>
      </c>
      <c r="AO1135" t="n">
        <v>1</v>
      </c>
      <c r="AP1135" t="n">
        <v>0</v>
      </c>
      <c r="AQ1135" t="n">
        <v>0</v>
      </c>
      <c r="AR1135" t="inlineStr">
        <is>
          <t>No</t>
        </is>
      </c>
      <c r="AS1135" t="inlineStr">
        <is>
          <t>Yes</t>
        </is>
      </c>
      <c r="AT1135">
        <f>HYPERLINK("http://catalog.hathitrust.org/Record/000170577","HathiTrust Record")</f>
        <v/>
      </c>
      <c r="AU1135">
        <f>HYPERLINK("https://creighton-primo.hosted.exlibrisgroup.com/primo-explore/search?tab=default_tab&amp;search_scope=EVERYTHING&amp;vid=01CRU&amp;lang=en_US&amp;offset=0&amp;query=any,contains,991001151819702656","Catalog Record")</f>
        <v/>
      </c>
      <c r="AV1135">
        <f>HYPERLINK("http://www.worldcat.org/oclc/2684568","WorldCat Record")</f>
        <v/>
      </c>
      <c r="AW1135" t="inlineStr">
        <is>
          <t>5886927:eng</t>
        </is>
      </c>
      <c r="AX1135" t="inlineStr">
        <is>
          <t>2684568</t>
        </is>
      </c>
      <c r="AY1135" t="inlineStr">
        <is>
          <t>991001151819702656</t>
        </is>
      </c>
      <c r="AZ1135" t="inlineStr">
        <is>
          <t>991001151819702656</t>
        </is>
      </c>
      <c r="BA1135" t="inlineStr">
        <is>
          <t>2265491620002656</t>
        </is>
      </c>
      <c r="BB1135" t="inlineStr">
        <is>
          <t>BOOK</t>
        </is>
      </c>
      <c r="BD1135" t="inlineStr">
        <is>
          <t>9780913654354</t>
        </is>
      </c>
      <c r="BE1135" t="inlineStr">
        <is>
          <t>30001000296477</t>
        </is>
      </c>
      <c r="BF1135" t="inlineStr">
        <is>
          <t>893148909</t>
        </is>
      </c>
    </row>
    <row r="1136">
      <c r="A1136" t="inlineStr">
        <is>
          <t>No</t>
        </is>
      </c>
      <c r="B1136" t="inlineStr">
        <is>
          <t>CUHSL</t>
        </is>
      </c>
      <c r="C1136" t="inlineStr">
        <is>
          <t>SHELVES</t>
        </is>
      </c>
      <c r="D1136" t="inlineStr">
        <is>
          <t>WY 105 N532n 2002</t>
        </is>
      </c>
      <c r="E1136" t="inlineStr">
        <is>
          <t>0                      WY 0105000N  532n        2002</t>
        </is>
      </c>
      <c r="F1136" t="inlineStr">
        <is>
          <t>Nursing leadership in the organized delivery system for the acute care setting / Robin Purdy Newhouse, Mary Etta Mills.</t>
        </is>
      </c>
      <c r="H1136" t="inlineStr">
        <is>
          <t>No</t>
        </is>
      </c>
      <c r="I1136" t="inlineStr">
        <is>
          <t>1</t>
        </is>
      </c>
      <c r="J1136" t="inlineStr">
        <is>
          <t>No</t>
        </is>
      </c>
      <c r="K1136" t="inlineStr">
        <is>
          <t>No</t>
        </is>
      </c>
      <c r="L1136" t="inlineStr">
        <is>
          <t>0</t>
        </is>
      </c>
      <c r="M1136" t="inlineStr">
        <is>
          <t>Newhouse, Robin Purdy.</t>
        </is>
      </c>
      <c r="N1136" t="inlineStr">
        <is>
          <t>Washington, D.C. : American Nurses Pub., c2002.</t>
        </is>
      </c>
      <c r="O1136" t="inlineStr">
        <is>
          <t>2002</t>
        </is>
      </c>
      <c r="Q1136" t="inlineStr">
        <is>
          <t>eng</t>
        </is>
      </c>
      <c r="R1136" t="inlineStr">
        <is>
          <t>dcu</t>
        </is>
      </c>
      <c r="S1136" t="inlineStr">
        <is>
          <t>ANA pub ; no. ODS22</t>
        </is>
      </c>
      <c r="T1136" t="inlineStr">
        <is>
          <t xml:space="preserve">WY </t>
        </is>
      </c>
      <c r="U1136" t="n">
        <v>0</v>
      </c>
      <c r="V1136" t="n">
        <v>0</v>
      </c>
      <c r="W1136" t="inlineStr">
        <is>
          <t>2003-05-27</t>
        </is>
      </c>
      <c r="X1136" t="inlineStr">
        <is>
          <t>2003-05-27</t>
        </is>
      </c>
      <c r="Y1136" t="inlineStr">
        <is>
          <t>2003-04-17</t>
        </is>
      </c>
      <c r="Z1136" t="inlineStr">
        <is>
          <t>2003-04-17</t>
        </is>
      </c>
      <c r="AA1136" t="n">
        <v>137</v>
      </c>
      <c r="AB1136" t="n">
        <v>135</v>
      </c>
      <c r="AC1136" t="n">
        <v>137</v>
      </c>
      <c r="AD1136" t="n">
        <v>2</v>
      </c>
      <c r="AE1136" t="n">
        <v>2</v>
      </c>
      <c r="AF1136" t="n">
        <v>5</v>
      </c>
      <c r="AG1136" t="n">
        <v>5</v>
      </c>
      <c r="AH1136" t="n">
        <v>2</v>
      </c>
      <c r="AI1136" t="n">
        <v>2</v>
      </c>
      <c r="AJ1136" t="n">
        <v>1</v>
      </c>
      <c r="AK1136" t="n">
        <v>1</v>
      </c>
      <c r="AL1136" t="n">
        <v>3</v>
      </c>
      <c r="AM1136" t="n">
        <v>3</v>
      </c>
      <c r="AN1136" t="n">
        <v>0</v>
      </c>
      <c r="AO1136" t="n">
        <v>0</v>
      </c>
      <c r="AP1136" t="n">
        <v>0</v>
      </c>
      <c r="AQ1136" t="n">
        <v>0</v>
      </c>
      <c r="AR1136" t="inlineStr">
        <is>
          <t>No</t>
        </is>
      </c>
      <c r="AS1136" t="inlineStr">
        <is>
          <t>Yes</t>
        </is>
      </c>
      <c r="AT1136">
        <f>HYPERLINK("http://catalog.hathitrust.org/Record/003847320","HathiTrust Record")</f>
        <v/>
      </c>
      <c r="AU1136">
        <f>HYPERLINK("https://creighton-primo.hosted.exlibrisgroup.com/primo-explore/search?tab=default_tab&amp;search_scope=EVERYTHING&amp;vid=01CRU&amp;lang=en_US&amp;offset=0&amp;query=any,contains,991000345309702656","Catalog Record")</f>
        <v/>
      </c>
      <c r="AV1136">
        <f>HYPERLINK("http://www.worldcat.org/oclc/50554794","WorldCat Record")</f>
        <v/>
      </c>
      <c r="AW1136" t="inlineStr">
        <is>
          <t>998776:eng</t>
        </is>
      </c>
      <c r="AX1136" t="inlineStr">
        <is>
          <t>50554794</t>
        </is>
      </c>
      <c r="AY1136" t="inlineStr">
        <is>
          <t>991000345309702656</t>
        </is>
      </c>
      <c r="AZ1136" t="inlineStr">
        <is>
          <t>991000345309702656</t>
        </is>
      </c>
      <c r="BA1136" t="inlineStr">
        <is>
          <t>2256020940002656</t>
        </is>
      </c>
      <c r="BB1136" t="inlineStr">
        <is>
          <t>BOOK</t>
        </is>
      </c>
      <c r="BD1136" t="inlineStr">
        <is>
          <t>9781558102033</t>
        </is>
      </c>
      <c r="BE1136" t="inlineStr">
        <is>
          <t>30001004632636</t>
        </is>
      </c>
      <c r="BF1136" t="inlineStr">
        <is>
          <t>893553440</t>
        </is>
      </c>
    </row>
    <row r="1137">
      <c r="A1137" t="inlineStr">
        <is>
          <t>No</t>
        </is>
      </c>
      <c r="B1137" t="inlineStr">
        <is>
          <t>CUHSL</t>
        </is>
      </c>
      <c r="C1137" t="inlineStr">
        <is>
          <t>SHELVES</t>
        </is>
      </c>
      <c r="D1137" t="inlineStr">
        <is>
          <t>WY 105 N9734 1980</t>
        </is>
      </c>
      <c r="E1137" t="inlineStr">
        <is>
          <t>0                      WY 0105000N  9734        1980</t>
        </is>
      </c>
      <c r="F1137" t="inlineStr">
        <is>
          <t>Nursing administration handbook / [compiled by] Howard S. Rowland and Beatrice L. Rowland.</t>
        </is>
      </c>
      <c r="H1137" t="inlineStr">
        <is>
          <t>No</t>
        </is>
      </c>
      <c r="I1137" t="inlineStr">
        <is>
          <t>1</t>
        </is>
      </c>
      <c r="J1137" t="inlineStr">
        <is>
          <t>No</t>
        </is>
      </c>
      <c r="K1137" t="inlineStr">
        <is>
          <t>Yes</t>
        </is>
      </c>
      <c r="L1137" t="inlineStr">
        <is>
          <t>0</t>
        </is>
      </c>
      <c r="N1137" t="inlineStr">
        <is>
          <t>Germantown, Md. : Aspen Systems Corp., 1980.</t>
        </is>
      </c>
      <c r="O1137" t="inlineStr">
        <is>
          <t>1980</t>
        </is>
      </c>
      <c r="Q1137" t="inlineStr">
        <is>
          <t>eng</t>
        </is>
      </c>
      <c r="R1137" t="inlineStr">
        <is>
          <t>mdu</t>
        </is>
      </c>
      <c r="T1137" t="inlineStr">
        <is>
          <t xml:space="preserve">WY </t>
        </is>
      </c>
      <c r="U1137" t="n">
        <v>1</v>
      </c>
      <c r="V1137" t="n">
        <v>1</v>
      </c>
      <c r="W1137" t="inlineStr">
        <is>
          <t>1991-03-12</t>
        </is>
      </c>
      <c r="X1137" t="inlineStr">
        <is>
          <t>1991-03-12</t>
        </is>
      </c>
      <c r="Y1137" t="inlineStr">
        <is>
          <t>1987-12-30</t>
        </is>
      </c>
      <c r="Z1137" t="inlineStr">
        <is>
          <t>1987-12-30</t>
        </is>
      </c>
      <c r="AA1137" t="n">
        <v>222</v>
      </c>
      <c r="AB1137" t="n">
        <v>193</v>
      </c>
      <c r="AC1137" t="n">
        <v>549</v>
      </c>
      <c r="AD1137" t="n">
        <v>1</v>
      </c>
      <c r="AE1137" t="n">
        <v>2</v>
      </c>
      <c r="AF1137" t="n">
        <v>6</v>
      </c>
      <c r="AG1137" t="n">
        <v>16</v>
      </c>
      <c r="AH1137" t="n">
        <v>2</v>
      </c>
      <c r="AI1137" t="n">
        <v>9</v>
      </c>
      <c r="AJ1137" t="n">
        <v>0</v>
      </c>
      <c r="AK1137" t="n">
        <v>3</v>
      </c>
      <c r="AL1137" t="n">
        <v>4</v>
      </c>
      <c r="AM1137" t="n">
        <v>8</v>
      </c>
      <c r="AN1137" t="n">
        <v>0</v>
      </c>
      <c r="AO1137" t="n">
        <v>0</v>
      </c>
      <c r="AP1137" t="n">
        <v>0</v>
      </c>
      <c r="AQ1137" t="n">
        <v>0</v>
      </c>
      <c r="AR1137" t="inlineStr">
        <is>
          <t>No</t>
        </is>
      </c>
      <c r="AS1137" t="inlineStr">
        <is>
          <t>Yes</t>
        </is>
      </c>
      <c r="AT1137">
        <f>HYPERLINK("http://catalog.hathitrust.org/Record/000099645","HathiTrust Record")</f>
        <v/>
      </c>
      <c r="AU1137">
        <f>HYPERLINK("https://creighton-primo.hosted.exlibrisgroup.com/primo-explore/search?tab=default_tab&amp;search_scope=EVERYTHING&amp;vid=01CRU&amp;lang=en_US&amp;offset=0&amp;query=any,contains,991001151839702656","Catalog Record")</f>
        <v/>
      </c>
      <c r="AV1137">
        <f>HYPERLINK("http://www.worldcat.org/oclc/6086344","WorldCat Record")</f>
        <v/>
      </c>
      <c r="AW1137" t="inlineStr">
        <is>
          <t>426599935:eng</t>
        </is>
      </c>
      <c r="AX1137" t="inlineStr">
        <is>
          <t>6086344</t>
        </is>
      </c>
      <c r="AY1137" t="inlineStr">
        <is>
          <t>991001151839702656</t>
        </is>
      </c>
      <c r="AZ1137" t="inlineStr">
        <is>
          <t>991001151839702656</t>
        </is>
      </c>
      <c r="BA1137" t="inlineStr">
        <is>
          <t>2257612250002656</t>
        </is>
      </c>
      <c r="BB1137" t="inlineStr">
        <is>
          <t>BOOK</t>
        </is>
      </c>
      <c r="BD1137" t="inlineStr">
        <is>
          <t>9780894432750</t>
        </is>
      </c>
      <c r="BE1137" t="inlineStr">
        <is>
          <t>30001000296519</t>
        </is>
      </c>
      <c r="BF1137" t="inlineStr">
        <is>
          <t>893134291</t>
        </is>
      </c>
    </row>
    <row r="1138">
      <c r="A1138" t="inlineStr">
        <is>
          <t>No</t>
        </is>
      </c>
      <c r="B1138" t="inlineStr">
        <is>
          <t>CUHSL</t>
        </is>
      </c>
      <c r="C1138" t="inlineStr">
        <is>
          <t>SHELVES</t>
        </is>
      </c>
      <c r="D1138" t="inlineStr">
        <is>
          <t>WY 105 N9737 1985</t>
        </is>
      </c>
      <c r="E1138" t="inlineStr">
        <is>
          <t>0                      WY 0105000N  9737        1985</t>
        </is>
      </c>
      <c r="F1138" t="inlineStr">
        <is>
          <t>Nursing administration handbook / edited by Howard S. Rowland, Beatrice L. Rowland.</t>
        </is>
      </c>
      <c r="H1138" t="inlineStr">
        <is>
          <t>No</t>
        </is>
      </c>
      <c r="I1138" t="inlineStr">
        <is>
          <t>1</t>
        </is>
      </c>
      <c r="J1138" t="inlineStr">
        <is>
          <t>No</t>
        </is>
      </c>
      <c r="K1138" t="inlineStr">
        <is>
          <t>Yes</t>
        </is>
      </c>
      <c r="L1138" t="inlineStr">
        <is>
          <t>0</t>
        </is>
      </c>
      <c r="N1138" t="inlineStr">
        <is>
          <t>Rockville, Md. : Aspen Systems Corp., c1985.</t>
        </is>
      </c>
      <c r="O1138" t="inlineStr">
        <is>
          <t>1985</t>
        </is>
      </c>
      <c r="P1138" t="inlineStr">
        <is>
          <t>2nd ed.</t>
        </is>
      </c>
      <c r="Q1138" t="inlineStr">
        <is>
          <t>eng</t>
        </is>
      </c>
      <c r="R1138" t="inlineStr">
        <is>
          <t>xxu</t>
        </is>
      </c>
      <c r="T1138" t="inlineStr">
        <is>
          <t xml:space="preserve">WY </t>
        </is>
      </c>
      <c r="U1138" t="n">
        <v>6</v>
      </c>
      <c r="V1138" t="n">
        <v>6</v>
      </c>
      <c r="W1138" t="inlineStr">
        <is>
          <t>1991-03-12</t>
        </is>
      </c>
      <c r="X1138" t="inlineStr">
        <is>
          <t>1991-03-12</t>
        </is>
      </c>
      <c r="Y1138" t="inlineStr">
        <is>
          <t>1988-01-05</t>
        </is>
      </c>
      <c r="Z1138" t="inlineStr">
        <is>
          <t>1988-01-05</t>
        </is>
      </c>
      <c r="AA1138" t="n">
        <v>219</v>
      </c>
      <c r="AB1138" t="n">
        <v>192</v>
      </c>
      <c r="AC1138" t="n">
        <v>549</v>
      </c>
      <c r="AD1138" t="n">
        <v>2</v>
      </c>
      <c r="AE1138" t="n">
        <v>2</v>
      </c>
      <c r="AF1138" t="n">
        <v>8</v>
      </c>
      <c r="AG1138" t="n">
        <v>16</v>
      </c>
      <c r="AH1138" t="n">
        <v>3</v>
      </c>
      <c r="AI1138" t="n">
        <v>9</v>
      </c>
      <c r="AJ1138" t="n">
        <v>1</v>
      </c>
      <c r="AK1138" t="n">
        <v>3</v>
      </c>
      <c r="AL1138" t="n">
        <v>4</v>
      </c>
      <c r="AM1138" t="n">
        <v>8</v>
      </c>
      <c r="AN1138" t="n">
        <v>0</v>
      </c>
      <c r="AO1138" t="n">
        <v>0</v>
      </c>
      <c r="AP1138" t="n">
        <v>0</v>
      </c>
      <c r="AQ1138" t="n">
        <v>0</v>
      </c>
      <c r="AR1138" t="inlineStr">
        <is>
          <t>No</t>
        </is>
      </c>
      <c r="AS1138" t="inlineStr">
        <is>
          <t>Yes</t>
        </is>
      </c>
      <c r="AT1138">
        <f>HYPERLINK("http://catalog.hathitrust.org/Record/000471640","HathiTrust Record")</f>
        <v/>
      </c>
      <c r="AU1138">
        <f>HYPERLINK("https://creighton-primo.hosted.exlibrisgroup.com/primo-explore/search?tab=default_tab&amp;search_scope=EVERYTHING&amp;vid=01CRU&amp;lang=en_US&amp;offset=0&amp;query=any,contains,991001151879702656","Catalog Record")</f>
        <v/>
      </c>
      <c r="AV1138">
        <f>HYPERLINK("http://www.worldcat.org/oclc/12724876","WorldCat Record")</f>
        <v/>
      </c>
      <c r="AW1138" t="inlineStr">
        <is>
          <t>426599935:eng</t>
        </is>
      </c>
      <c r="AX1138" t="inlineStr">
        <is>
          <t>12724876</t>
        </is>
      </c>
      <c r="AY1138" t="inlineStr">
        <is>
          <t>991001151879702656</t>
        </is>
      </c>
      <c r="AZ1138" t="inlineStr">
        <is>
          <t>991001151879702656</t>
        </is>
      </c>
      <c r="BA1138" t="inlineStr">
        <is>
          <t>2256848160002656</t>
        </is>
      </c>
      <c r="BB1138" t="inlineStr">
        <is>
          <t>BOOK</t>
        </is>
      </c>
      <c r="BD1138" t="inlineStr">
        <is>
          <t>9780871892294</t>
        </is>
      </c>
      <c r="BE1138" t="inlineStr">
        <is>
          <t>30001000296527</t>
        </is>
      </c>
      <c r="BF1138" t="inlineStr">
        <is>
          <t>893552188</t>
        </is>
      </c>
    </row>
    <row r="1139">
      <c r="A1139" t="inlineStr">
        <is>
          <t>No</t>
        </is>
      </c>
      <c r="B1139" t="inlineStr">
        <is>
          <t>CUHSL</t>
        </is>
      </c>
      <c r="C1139" t="inlineStr">
        <is>
          <t>SHELVES</t>
        </is>
      </c>
      <c r="D1139" t="inlineStr">
        <is>
          <t>WY 105 N974 1988</t>
        </is>
      </c>
      <c r="E1139" t="inlineStr">
        <is>
          <t>0                      WY 0105000N  974         1988</t>
        </is>
      </c>
      <c r="F1139" t="inlineStr">
        <is>
          <t>Nursing case management / American Nurses' Association.</t>
        </is>
      </c>
      <c r="H1139" t="inlineStr">
        <is>
          <t>No</t>
        </is>
      </c>
      <c r="I1139" t="inlineStr">
        <is>
          <t>1</t>
        </is>
      </c>
      <c r="J1139" t="inlineStr">
        <is>
          <t>No</t>
        </is>
      </c>
      <c r="K1139" t="inlineStr">
        <is>
          <t>No</t>
        </is>
      </c>
      <c r="L1139" t="inlineStr">
        <is>
          <t>0</t>
        </is>
      </c>
      <c r="N1139" t="inlineStr">
        <is>
          <t>Kansas City, Mo. : The Association, c1988.</t>
        </is>
      </c>
      <c r="O1139" t="inlineStr">
        <is>
          <t>1988</t>
        </is>
      </c>
      <c r="Q1139" t="inlineStr">
        <is>
          <t>eng</t>
        </is>
      </c>
      <c r="R1139" t="inlineStr">
        <is>
          <t>mou</t>
        </is>
      </c>
      <c r="T1139" t="inlineStr">
        <is>
          <t xml:space="preserve">WY </t>
        </is>
      </c>
      <c r="U1139" t="n">
        <v>5</v>
      </c>
      <c r="V1139" t="n">
        <v>5</v>
      </c>
      <c r="W1139" t="inlineStr">
        <is>
          <t>1994-11-14</t>
        </is>
      </c>
      <c r="X1139" t="inlineStr">
        <is>
          <t>1994-11-14</t>
        </is>
      </c>
      <c r="Y1139" t="inlineStr">
        <is>
          <t>1988-09-20</t>
        </is>
      </c>
      <c r="Z1139" t="inlineStr">
        <is>
          <t>1988-09-20</t>
        </is>
      </c>
      <c r="AA1139" t="n">
        <v>101</v>
      </c>
      <c r="AB1139" t="n">
        <v>96</v>
      </c>
      <c r="AC1139" t="n">
        <v>104</v>
      </c>
      <c r="AD1139" t="n">
        <v>1</v>
      </c>
      <c r="AE1139" t="n">
        <v>1</v>
      </c>
      <c r="AF1139" t="n">
        <v>5</v>
      </c>
      <c r="AG1139" t="n">
        <v>5</v>
      </c>
      <c r="AH1139" t="n">
        <v>1</v>
      </c>
      <c r="AI1139" t="n">
        <v>1</v>
      </c>
      <c r="AJ1139" t="n">
        <v>0</v>
      </c>
      <c r="AK1139" t="n">
        <v>0</v>
      </c>
      <c r="AL1139" t="n">
        <v>4</v>
      </c>
      <c r="AM1139" t="n">
        <v>4</v>
      </c>
      <c r="AN1139" t="n">
        <v>0</v>
      </c>
      <c r="AO1139" t="n">
        <v>0</v>
      </c>
      <c r="AP1139" t="n">
        <v>0</v>
      </c>
      <c r="AQ1139" t="n">
        <v>0</v>
      </c>
      <c r="AR1139" t="inlineStr">
        <is>
          <t>No</t>
        </is>
      </c>
      <c r="AS1139" t="inlineStr">
        <is>
          <t>Yes</t>
        </is>
      </c>
      <c r="AT1139">
        <f>HYPERLINK("http://catalog.hathitrust.org/Record/001077955","HathiTrust Record")</f>
        <v/>
      </c>
      <c r="AU1139">
        <f>HYPERLINK("https://creighton-primo.hosted.exlibrisgroup.com/primo-explore/search?tab=default_tab&amp;search_scope=EVERYTHING&amp;vid=01CRU&amp;lang=en_US&amp;offset=0&amp;query=any,contains,991000759999702656","Catalog Record")</f>
        <v/>
      </c>
      <c r="AV1139">
        <f>HYPERLINK("http://www.worldcat.org/oclc/23901795","WorldCat Record")</f>
        <v/>
      </c>
      <c r="AW1139" t="inlineStr">
        <is>
          <t>3943681689:eng</t>
        </is>
      </c>
      <c r="AX1139" t="inlineStr">
        <is>
          <t>23901795</t>
        </is>
      </c>
      <c r="AY1139" t="inlineStr">
        <is>
          <t>991000759999702656</t>
        </is>
      </c>
      <c r="AZ1139" t="inlineStr">
        <is>
          <t>991000759999702656</t>
        </is>
      </c>
      <c r="BA1139" t="inlineStr">
        <is>
          <t>2272219070002656</t>
        </is>
      </c>
      <c r="BB1139" t="inlineStr">
        <is>
          <t>BOOK</t>
        </is>
      </c>
      <c r="BE1139" t="inlineStr">
        <is>
          <t>30001001392101</t>
        </is>
      </c>
      <c r="BF1139" t="inlineStr">
        <is>
          <t>893540433</t>
        </is>
      </c>
    </row>
    <row r="1140">
      <c r="A1140" t="inlineStr">
        <is>
          <t>No</t>
        </is>
      </c>
      <c r="B1140" t="inlineStr">
        <is>
          <t>CUHSL</t>
        </is>
      </c>
      <c r="C1140" t="inlineStr">
        <is>
          <t>SHELVES</t>
        </is>
      </c>
      <c r="D1140" t="inlineStr">
        <is>
          <t>WY 105 N9743 1978</t>
        </is>
      </c>
      <c r="E1140" t="inlineStr">
        <is>
          <t>0                      WY 0105000N  9743        1978</t>
        </is>
      </c>
      <c r="F1140" t="inlineStr">
        <is>
          <t>Nursing administration : present and future.</t>
        </is>
      </c>
      <c r="H1140" t="inlineStr">
        <is>
          <t>No</t>
        </is>
      </c>
      <c r="I1140" t="inlineStr">
        <is>
          <t>1</t>
        </is>
      </c>
      <c r="J1140" t="inlineStr">
        <is>
          <t>No</t>
        </is>
      </c>
      <c r="K1140" t="inlineStr">
        <is>
          <t>No</t>
        </is>
      </c>
      <c r="L1140" t="inlineStr">
        <is>
          <t>0</t>
        </is>
      </c>
      <c r="N1140" t="inlineStr">
        <is>
          <t>New York : National League for Nursing, c1978.</t>
        </is>
      </c>
      <c r="O1140" t="inlineStr">
        <is>
          <t>1978</t>
        </is>
      </c>
      <c r="Q1140" t="inlineStr">
        <is>
          <t>eng</t>
        </is>
      </c>
      <c r="R1140" t="inlineStr">
        <is>
          <t>xxu</t>
        </is>
      </c>
      <c r="S1140" t="inlineStr">
        <is>
          <t>NLN pub. no.20-1739</t>
        </is>
      </c>
      <c r="T1140" t="inlineStr">
        <is>
          <t xml:space="preserve">WY </t>
        </is>
      </c>
      <c r="U1140" t="n">
        <v>1</v>
      </c>
      <c r="V1140" t="n">
        <v>1</v>
      </c>
      <c r="W1140" t="inlineStr">
        <is>
          <t>1990-05-10</t>
        </is>
      </c>
      <c r="X1140" t="inlineStr">
        <is>
          <t>1990-05-10</t>
        </is>
      </c>
      <c r="Y1140" t="inlineStr">
        <is>
          <t>1987-11-04</t>
        </is>
      </c>
      <c r="Z1140" t="inlineStr">
        <is>
          <t>1987-11-04</t>
        </is>
      </c>
      <c r="AA1140" t="n">
        <v>90</v>
      </c>
      <c r="AB1140" t="n">
        <v>78</v>
      </c>
      <c r="AC1140" t="n">
        <v>80</v>
      </c>
      <c r="AD1140" t="n">
        <v>2</v>
      </c>
      <c r="AE1140" t="n">
        <v>2</v>
      </c>
      <c r="AF1140" t="n">
        <v>4</v>
      </c>
      <c r="AG1140" t="n">
        <v>4</v>
      </c>
      <c r="AH1140" t="n">
        <v>1</v>
      </c>
      <c r="AI1140" t="n">
        <v>1</v>
      </c>
      <c r="AJ1140" t="n">
        <v>1</v>
      </c>
      <c r="AK1140" t="n">
        <v>1</v>
      </c>
      <c r="AL1140" t="n">
        <v>3</v>
      </c>
      <c r="AM1140" t="n">
        <v>3</v>
      </c>
      <c r="AN1140" t="n">
        <v>0</v>
      </c>
      <c r="AO1140" t="n">
        <v>0</v>
      </c>
      <c r="AP1140" t="n">
        <v>0</v>
      </c>
      <c r="AQ1140" t="n">
        <v>0</v>
      </c>
      <c r="AR1140" t="inlineStr">
        <is>
          <t>No</t>
        </is>
      </c>
      <c r="AS1140" t="inlineStr">
        <is>
          <t>Yes</t>
        </is>
      </c>
      <c r="AT1140">
        <f>HYPERLINK("http://catalog.hathitrust.org/Record/000217849","HathiTrust Record")</f>
        <v/>
      </c>
      <c r="AU1140">
        <f>HYPERLINK("https://creighton-primo.hosted.exlibrisgroup.com/primo-explore/search?tab=default_tab&amp;search_scope=EVERYTHING&amp;vid=01CRU&amp;lang=en_US&amp;offset=0&amp;query=any,contains,991001385109702656","Catalog Record")</f>
        <v/>
      </c>
      <c r="AV1140">
        <f>HYPERLINK("http://www.worldcat.org/oclc/5051586","WorldCat Record")</f>
        <v/>
      </c>
      <c r="AW1140" t="inlineStr">
        <is>
          <t>15136542:eng</t>
        </is>
      </c>
      <c r="AX1140" t="inlineStr">
        <is>
          <t>5051586</t>
        </is>
      </c>
      <c r="AY1140" t="inlineStr">
        <is>
          <t>991001385109702656</t>
        </is>
      </c>
      <c r="AZ1140" t="inlineStr">
        <is>
          <t>991001385109702656</t>
        </is>
      </c>
      <c r="BA1140" t="inlineStr">
        <is>
          <t>2268523340002656</t>
        </is>
      </c>
      <c r="BB1140" t="inlineStr">
        <is>
          <t>BOOK</t>
        </is>
      </c>
      <c r="BE1140" t="inlineStr">
        <is>
          <t>30001000463564</t>
        </is>
      </c>
      <c r="BF1140" t="inlineStr">
        <is>
          <t>893369341</t>
        </is>
      </c>
    </row>
    <row r="1141">
      <c r="A1141" t="inlineStr">
        <is>
          <t>No</t>
        </is>
      </c>
      <c r="B1141" t="inlineStr">
        <is>
          <t>CUHSL</t>
        </is>
      </c>
      <c r="C1141" t="inlineStr">
        <is>
          <t>SHELVES</t>
        </is>
      </c>
      <c r="D1141" t="inlineStr">
        <is>
          <t>WY 105 N97479 1996</t>
        </is>
      </c>
      <c r="E1141" t="inlineStr">
        <is>
          <t>0                      WY 0105000N  97479       1996</t>
        </is>
      </c>
      <c r="F1141" t="inlineStr">
        <is>
          <t>Nursing management in the new paradigm / [edited by] Catherine E. Loveridge and Susan H. Cummings.</t>
        </is>
      </c>
      <c r="H1141" t="inlineStr">
        <is>
          <t>No</t>
        </is>
      </c>
      <c r="I1141" t="inlineStr">
        <is>
          <t>1</t>
        </is>
      </c>
      <c r="J1141" t="inlineStr">
        <is>
          <t>No</t>
        </is>
      </c>
      <c r="K1141" t="inlineStr">
        <is>
          <t>No</t>
        </is>
      </c>
      <c r="L1141" t="inlineStr">
        <is>
          <t>0</t>
        </is>
      </c>
      <c r="N1141" t="inlineStr">
        <is>
          <t>Gaithersburg, Md. : Aspen Publishers, c1996.</t>
        </is>
      </c>
      <c r="O1141" t="inlineStr">
        <is>
          <t>1996</t>
        </is>
      </c>
      <c r="Q1141" t="inlineStr">
        <is>
          <t>eng</t>
        </is>
      </c>
      <c r="R1141" t="inlineStr">
        <is>
          <t>mdu</t>
        </is>
      </c>
      <c r="T1141" t="inlineStr">
        <is>
          <t xml:space="preserve">WY </t>
        </is>
      </c>
      <c r="U1141" t="n">
        <v>5</v>
      </c>
      <c r="V1141" t="n">
        <v>5</v>
      </c>
      <c r="W1141" t="inlineStr">
        <is>
          <t>1998-03-19</t>
        </is>
      </c>
      <c r="X1141" t="inlineStr">
        <is>
          <t>1998-03-19</t>
        </is>
      </c>
      <c r="Y1141" t="inlineStr">
        <is>
          <t>1997-02-14</t>
        </is>
      </c>
      <c r="Z1141" t="inlineStr">
        <is>
          <t>1997-02-14</t>
        </is>
      </c>
      <c r="AA1141" t="n">
        <v>246</v>
      </c>
      <c r="AB1141" t="n">
        <v>216</v>
      </c>
      <c r="AC1141" t="n">
        <v>223</v>
      </c>
      <c r="AD1141" t="n">
        <v>3</v>
      </c>
      <c r="AE1141" t="n">
        <v>3</v>
      </c>
      <c r="AF1141" t="n">
        <v>13</v>
      </c>
      <c r="AG1141" t="n">
        <v>13</v>
      </c>
      <c r="AH1141" t="n">
        <v>4</v>
      </c>
      <c r="AI1141" t="n">
        <v>4</v>
      </c>
      <c r="AJ1141" t="n">
        <v>3</v>
      </c>
      <c r="AK1141" t="n">
        <v>3</v>
      </c>
      <c r="AL1141" t="n">
        <v>8</v>
      </c>
      <c r="AM1141" t="n">
        <v>8</v>
      </c>
      <c r="AN1141" t="n">
        <v>1</v>
      </c>
      <c r="AO1141" t="n">
        <v>1</v>
      </c>
      <c r="AP1141" t="n">
        <v>0</v>
      </c>
      <c r="AQ1141" t="n">
        <v>0</v>
      </c>
      <c r="AR1141" t="inlineStr">
        <is>
          <t>No</t>
        </is>
      </c>
      <c r="AS1141" t="inlineStr">
        <is>
          <t>Yes</t>
        </is>
      </c>
      <c r="AT1141">
        <f>HYPERLINK("http://catalog.hathitrust.org/Record/003034943","HathiTrust Record")</f>
        <v/>
      </c>
      <c r="AU1141">
        <f>HYPERLINK("https://creighton-primo.hosted.exlibrisgroup.com/primo-explore/search?tab=default_tab&amp;search_scope=EVERYTHING&amp;vid=01CRU&amp;lang=en_US&amp;offset=0&amp;query=any,contains,991001552799702656","Catalog Record")</f>
        <v/>
      </c>
      <c r="AV1141">
        <f>HYPERLINK("http://www.worldcat.org/oclc/33077398","WorldCat Record")</f>
        <v/>
      </c>
      <c r="AW1141" t="inlineStr">
        <is>
          <t>474197835:eng</t>
        </is>
      </c>
      <c r="AX1141" t="inlineStr">
        <is>
          <t>33077398</t>
        </is>
      </c>
      <c r="AY1141" t="inlineStr">
        <is>
          <t>991001552799702656</t>
        </is>
      </c>
      <c r="AZ1141" t="inlineStr">
        <is>
          <t>991001552799702656</t>
        </is>
      </c>
      <c r="BA1141" t="inlineStr">
        <is>
          <t>2254751130002656</t>
        </is>
      </c>
      <c r="BB1141" t="inlineStr">
        <is>
          <t>BOOK</t>
        </is>
      </c>
      <c r="BD1141" t="inlineStr">
        <is>
          <t>9780834206205</t>
        </is>
      </c>
      <c r="BE1141" t="inlineStr">
        <is>
          <t>30001003474857</t>
        </is>
      </c>
      <c r="BF1141" t="inlineStr">
        <is>
          <t>893284899</t>
        </is>
      </c>
    </row>
    <row r="1142">
      <c r="A1142" t="inlineStr">
        <is>
          <t>No</t>
        </is>
      </c>
      <c r="B1142" t="inlineStr">
        <is>
          <t>CUHSL</t>
        </is>
      </c>
      <c r="C1142" t="inlineStr">
        <is>
          <t>SHELVES</t>
        </is>
      </c>
      <c r="D1142" t="inlineStr">
        <is>
          <t>WY 105 NU553L 1989 v.1,no.1</t>
        </is>
      </c>
      <c r="E1142" t="inlineStr">
        <is>
          <t>0                      WY 0105000NU 553L        1989                                        v.1,no.1</t>
        </is>
      </c>
      <c r="F1142" t="inlineStr">
        <is>
          <t>Recruitment and retention / editorial advisory board, Karen G. Barnes ... [et al.] ; managing editor, Susan M. Glover ; [associate editor, Marjorie Kidd Keating].</t>
        </is>
      </c>
      <c r="G1142" t="inlineStr">
        <is>
          <t>V. 1,NO. 1</t>
        </is>
      </c>
      <c r="H1142" t="inlineStr">
        <is>
          <t>No</t>
        </is>
      </c>
      <c r="I1142" t="inlineStr">
        <is>
          <t>1</t>
        </is>
      </c>
      <c r="J1142" t="inlineStr">
        <is>
          <t>No</t>
        </is>
      </c>
      <c r="K1142" t="inlineStr">
        <is>
          <t>No</t>
        </is>
      </c>
      <c r="L1142" t="inlineStr">
        <is>
          <t>0</t>
        </is>
      </c>
      <c r="N1142" t="inlineStr">
        <is>
          <t>Baltimore : Williams &amp; Wilkins, c1989.</t>
        </is>
      </c>
      <c r="O1142" t="inlineStr">
        <is>
          <t>1989</t>
        </is>
      </c>
      <c r="Q1142" t="inlineStr">
        <is>
          <t>eng</t>
        </is>
      </c>
      <c r="R1142" t="inlineStr">
        <is>
          <t>mdu</t>
        </is>
      </c>
      <c r="S1142" t="inlineStr">
        <is>
          <t>Nurse managers' bookshelf ; vol. 1, no. 1 (Mar. 1989)</t>
        </is>
      </c>
      <c r="T1142" t="inlineStr">
        <is>
          <t xml:space="preserve">WY </t>
        </is>
      </c>
      <c r="U1142" t="n">
        <v>5</v>
      </c>
      <c r="V1142" t="n">
        <v>5</v>
      </c>
      <c r="W1142" t="inlineStr">
        <is>
          <t>2007-04-13</t>
        </is>
      </c>
      <c r="X1142" t="inlineStr">
        <is>
          <t>2007-04-13</t>
        </is>
      </c>
      <c r="Y1142" t="inlineStr">
        <is>
          <t>1992-03-25</t>
        </is>
      </c>
      <c r="Z1142" t="inlineStr">
        <is>
          <t>1992-03-25</t>
        </is>
      </c>
      <c r="AA1142" t="n">
        <v>67</v>
      </c>
      <c r="AB1142" t="n">
        <v>53</v>
      </c>
      <c r="AC1142" t="n">
        <v>55</v>
      </c>
      <c r="AD1142" t="n">
        <v>1</v>
      </c>
      <c r="AE1142" t="n">
        <v>1</v>
      </c>
      <c r="AF1142" t="n">
        <v>3</v>
      </c>
      <c r="AG1142" t="n">
        <v>3</v>
      </c>
      <c r="AH1142" t="n">
        <v>1</v>
      </c>
      <c r="AI1142" t="n">
        <v>1</v>
      </c>
      <c r="AJ1142" t="n">
        <v>0</v>
      </c>
      <c r="AK1142" t="n">
        <v>0</v>
      </c>
      <c r="AL1142" t="n">
        <v>2</v>
      </c>
      <c r="AM1142" t="n">
        <v>2</v>
      </c>
      <c r="AN1142" t="n">
        <v>0</v>
      </c>
      <c r="AO1142" t="n">
        <v>0</v>
      </c>
      <c r="AP1142" t="n">
        <v>0</v>
      </c>
      <c r="AQ1142" t="n">
        <v>0</v>
      </c>
      <c r="AR1142" t="inlineStr">
        <is>
          <t>No</t>
        </is>
      </c>
      <c r="AS1142" t="inlineStr">
        <is>
          <t>Yes</t>
        </is>
      </c>
      <c r="AT1142">
        <f>HYPERLINK("http://catalog.hathitrust.org/Record/010598946","HathiTrust Record")</f>
        <v/>
      </c>
      <c r="AU1142">
        <f>HYPERLINK("https://creighton-primo.hosted.exlibrisgroup.com/primo-explore/search?tab=default_tab&amp;search_scope=EVERYTHING&amp;vid=01CRU&amp;lang=en_US&amp;offset=0&amp;query=any,contains,991001780929702656","Catalog Record")</f>
        <v/>
      </c>
      <c r="AV1142">
        <f>HYPERLINK("http://www.worldcat.org/oclc/22665874","WorldCat Record")</f>
        <v/>
      </c>
      <c r="AW1142" t="inlineStr">
        <is>
          <t>55402627:eng</t>
        </is>
      </c>
      <c r="AX1142" t="inlineStr">
        <is>
          <t>22665874</t>
        </is>
      </c>
      <c r="AY1142" t="inlineStr">
        <is>
          <t>991001780929702656</t>
        </is>
      </c>
      <c r="AZ1142" t="inlineStr">
        <is>
          <t>991001780929702656</t>
        </is>
      </c>
      <c r="BA1142" t="inlineStr">
        <is>
          <t>2256743910002656</t>
        </is>
      </c>
      <c r="BB1142" t="inlineStr">
        <is>
          <t>BOOK</t>
        </is>
      </c>
      <c r="BD1142" t="inlineStr">
        <is>
          <t>9780683065282</t>
        </is>
      </c>
      <c r="BE1142" t="inlineStr">
        <is>
          <t>30001002244707</t>
        </is>
      </c>
      <c r="BF1142" t="inlineStr">
        <is>
          <t>893633387</t>
        </is>
      </c>
    </row>
    <row r="1143">
      <c r="A1143" t="inlineStr">
        <is>
          <t>No</t>
        </is>
      </c>
      <c r="B1143" t="inlineStr">
        <is>
          <t>CUHSL</t>
        </is>
      </c>
      <c r="C1143" t="inlineStr">
        <is>
          <t>SHELVES</t>
        </is>
      </c>
      <c r="D1143" t="inlineStr">
        <is>
          <t>WY 105 NU553L 1989 v.1,no.2</t>
        </is>
      </c>
      <c r="E1143" t="inlineStr">
        <is>
          <t>0                      WY 0105000NU 553L        1989                                        v.1,no.2</t>
        </is>
      </c>
      <c r="F1143" t="inlineStr">
        <is>
          <t>Performance evaluations / Editorial Advisory Board, Karen G. Barnes ... [et al.] ; managing editor, Susan M. Glover.</t>
        </is>
      </c>
      <c r="G1143" t="inlineStr">
        <is>
          <t>V. 1,NO. 2</t>
        </is>
      </c>
      <c r="H1143" t="inlineStr">
        <is>
          <t>No</t>
        </is>
      </c>
      <c r="I1143" t="inlineStr">
        <is>
          <t>1</t>
        </is>
      </c>
      <c r="J1143" t="inlineStr">
        <is>
          <t>No</t>
        </is>
      </c>
      <c r="K1143" t="inlineStr">
        <is>
          <t>No</t>
        </is>
      </c>
      <c r="L1143" t="inlineStr">
        <is>
          <t>0</t>
        </is>
      </c>
      <c r="N1143" t="inlineStr">
        <is>
          <t>Baltimore : Williams &amp; Wilkins, c1989.</t>
        </is>
      </c>
      <c r="O1143" t="inlineStr">
        <is>
          <t>1989</t>
        </is>
      </c>
      <c r="Q1143" t="inlineStr">
        <is>
          <t>eng</t>
        </is>
      </c>
      <c r="R1143" t="inlineStr">
        <is>
          <t>mdu</t>
        </is>
      </c>
      <c r="S1143" t="inlineStr">
        <is>
          <t>Nurse managers' bookshelf ; v. 1, no. 2</t>
        </is>
      </c>
      <c r="T1143" t="inlineStr">
        <is>
          <t xml:space="preserve">WY </t>
        </is>
      </c>
      <c r="U1143" t="n">
        <v>4</v>
      </c>
      <c r="V1143" t="n">
        <v>4</v>
      </c>
      <c r="W1143" t="inlineStr">
        <is>
          <t>1993-03-07</t>
        </is>
      </c>
      <c r="X1143" t="inlineStr">
        <is>
          <t>1993-03-07</t>
        </is>
      </c>
      <c r="Y1143" t="inlineStr">
        <is>
          <t>1992-03-25</t>
        </is>
      </c>
      <c r="Z1143" t="inlineStr">
        <is>
          <t>1992-03-25</t>
        </is>
      </c>
      <c r="AA1143" t="n">
        <v>111</v>
      </c>
      <c r="AB1143" t="n">
        <v>95</v>
      </c>
      <c r="AC1143" t="n">
        <v>95</v>
      </c>
      <c r="AD1143" t="n">
        <v>1</v>
      </c>
      <c r="AE1143" t="n">
        <v>1</v>
      </c>
      <c r="AF1143" t="n">
        <v>3</v>
      </c>
      <c r="AG1143" t="n">
        <v>3</v>
      </c>
      <c r="AH1143" t="n">
        <v>2</v>
      </c>
      <c r="AI1143" t="n">
        <v>2</v>
      </c>
      <c r="AJ1143" t="n">
        <v>0</v>
      </c>
      <c r="AK1143" t="n">
        <v>0</v>
      </c>
      <c r="AL1143" t="n">
        <v>2</v>
      </c>
      <c r="AM1143" t="n">
        <v>2</v>
      </c>
      <c r="AN1143" t="n">
        <v>0</v>
      </c>
      <c r="AO1143" t="n">
        <v>0</v>
      </c>
      <c r="AP1143" t="n">
        <v>0</v>
      </c>
      <c r="AQ1143" t="n">
        <v>0</v>
      </c>
      <c r="AR1143" t="inlineStr">
        <is>
          <t>No</t>
        </is>
      </c>
      <c r="AS1143" t="inlineStr">
        <is>
          <t>No</t>
        </is>
      </c>
      <c r="AU1143">
        <f>HYPERLINK("https://creighton-primo.hosted.exlibrisgroup.com/primo-explore/search?tab=default_tab&amp;search_scope=EVERYTHING&amp;vid=01CRU&amp;lang=en_US&amp;offset=0&amp;query=any,contains,991001035609702656","Catalog Record")</f>
        <v/>
      </c>
      <c r="AV1143">
        <f>HYPERLINK("http://www.worldcat.org/oclc/20407841","WorldCat Record")</f>
        <v/>
      </c>
      <c r="AW1143" t="inlineStr">
        <is>
          <t>22073801:eng</t>
        </is>
      </c>
      <c r="AX1143" t="inlineStr">
        <is>
          <t>20407841</t>
        </is>
      </c>
      <c r="AY1143" t="inlineStr">
        <is>
          <t>991001035609702656</t>
        </is>
      </c>
      <c r="AZ1143" t="inlineStr">
        <is>
          <t>991001035609702656</t>
        </is>
      </c>
      <c r="BA1143" t="inlineStr">
        <is>
          <t>2255580400002656</t>
        </is>
      </c>
      <c r="BB1143" t="inlineStr">
        <is>
          <t>BOOK</t>
        </is>
      </c>
      <c r="BD1143" t="inlineStr">
        <is>
          <t>9780683065299</t>
        </is>
      </c>
      <c r="BE1143" t="inlineStr">
        <is>
          <t>30001002244681</t>
        </is>
      </c>
      <c r="BF1143" t="inlineStr">
        <is>
          <t>893736162</t>
        </is>
      </c>
    </row>
    <row r="1144">
      <c r="A1144" t="inlineStr">
        <is>
          <t>No</t>
        </is>
      </c>
      <c r="B1144" t="inlineStr">
        <is>
          <t>CUHSL</t>
        </is>
      </c>
      <c r="C1144" t="inlineStr">
        <is>
          <t>SHELVES</t>
        </is>
      </c>
      <c r="D1144" t="inlineStr">
        <is>
          <t>WY 105 NU553L 1989 v.1,no.3</t>
        </is>
      </c>
      <c r="E1144" t="inlineStr">
        <is>
          <t>0                      WY 0105000NU 553L        1989                                        v.1,no.3</t>
        </is>
      </c>
      <c r="F1144" t="inlineStr">
        <is>
          <t>Communicating like a manager / Rebecca S. Weinfeld, Edith M. Donohue.</t>
        </is>
      </c>
      <c r="G1144" t="inlineStr">
        <is>
          <t>V. 1,NO. 3</t>
        </is>
      </c>
      <c r="H1144" t="inlineStr">
        <is>
          <t>No</t>
        </is>
      </c>
      <c r="I1144" t="inlineStr">
        <is>
          <t>1</t>
        </is>
      </c>
      <c r="J1144" t="inlineStr">
        <is>
          <t>No</t>
        </is>
      </c>
      <c r="K1144" t="inlineStr">
        <is>
          <t>No</t>
        </is>
      </c>
      <c r="L1144" t="inlineStr">
        <is>
          <t>0</t>
        </is>
      </c>
      <c r="M1144" t="inlineStr">
        <is>
          <t>Weinfeld, Rebecca S.</t>
        </is>
      </c>
      <c r="N1144" t="inlineStr">
        <is>
          <t>Baltimore : Williams &amp; Wilkins, c1989.</t>
        </is>
      </c>
      <c r="O1144" t="inlineStr">
        <is>
          <t>1990</t>
        </is>
      </c>
      <c r="Q1144" t="inlineStr">
        <is>
          <t>eng</t>
        </is>
      </c>
      <c r="R1144" t="inlineStr">
        <is>
          <t>mdu</t>
        </is>
      </c>
      <c r="S1144" t="inlineStr">
        <is>
          <t>Nurse managers' bookshelf ; v. 1, no. 3 (Sept. 1989)</t>
        </is>
      </c>
      <c r="T1144" t="inlineStr">
        <is>
          <t xml:space="preserve">WY </t>
        </is>
      </c>
      <c r="U1144" t="n">
        <v>3</v>
      </c>
      <c r="V1144" t="n">
        <v>3</v>
      </c>
      <c r="W1144" t="inlineStr">
        <is>
          <t>1992-05-21</t>
        </is>
      </c>
      <c r="X1144" t="inlineStr">
        <is>
          <t>1992-05-21</t>
        </is>
      </c>
      <c r="Y1144" t="inlineStr">
        <is>
          <t>1992-03-25</t>
        </is>
      </c>
      <c r="Z1144" t="inlineStr">
        <is>
          <t>1992-03-25</t>
        </is>
      </c>
      <c r="AA1144" t="n">
        <v>67</v>
      </c>
      <c r="AB1144" t="n">
        <v>62</v>
      </c>
      <c r="AC1144" t="n">
        <v>67</v>
      </c>
      <c r="AD1144" t="n">
        <v>1</v>
      </c>
      <c r="AE1144" t="n">
        <v>1</v>
      </c>
      <c r="AF1144" t="n">
        <v>3</v>
      </c>
      <c r="AG1144" t="n">
        <v>3</v>
      </c>
      <c r="AH1144" t="n">
        <v>2</v>
      </c>
      <c r="AI1144" t="n">
        <v>2</v>
      </c>
      <c r="AJ1144" t="n">
        <v>0</v>
      </c>
      <c r="AK1144" t="n">
        <v>0</v>
      </c>
      <c r="AL1144" t="n">
        <v>3</v>
      </c>
      <c r="AM1144" t="n">
        <v>3</v>
      </c>
      <c r="AN1144" t="n">
        <v>0</v>
      </c>
      <c r="AO1144" t="n">
        <v>0</v>
      </c>
      <c r="AP1144" t="n">
        <v>0</v>
      </c>
      <c r="AQ1144" t="n">
        <v>0</v>
      </c>
      <c r="AR1144" t="inlineStr">
        <is>
          <t>No</t>
        </is>
      </c>
      <c r="AS1144" t="inlineStr">
        <is>
          <t>No</t>
        </is>
      </c>
      <c r="AU1144">
        <f>HYPERLINK("https://creighton-primo.hosted.exlibrisgroup.com/primo-explore/search?tab=default_tab&amp;search_scope=EVERYTHING&amp;vid=01CRU&amp;lang=en_US&amp;offset=0&amp;query=any,contains,991001780849702656","Catalog Record")</f>
        <v/>
      </c>
      <c r="AV1144">
        <f>HYPERLINK("http://www.worldcat.org/oclc/20013222","WorldCat Record")</f>
        <v/>
      </c>
      <c r="AW1144" t="inlineStr">
        <is>
          <t>21331556:eng</t>
        </is>
      </c>
      <c r="AX1144" t="inlineStr">
        <is>
          <t>20013222</t>
        </is>
      </c>
      <c r="AY1144" t="inlineStr">
        <is>
          <t>991001780849702656</t>
        </is>
      </c>
      <c r="AZ1144" t="inlineStr">
        <is>
          <t>991001780849702656</t>
        </is>
      </c>
      <c r="BA1144" t="inlineStr">
        <is>
          <t>2262121070002656</t>
        </is>
      </c>
      <c r="BB1144" t="inlineStr">
        <is>
          <t>BOOK</t>
        </is>
      </c>
      <c r="BD1144" t="inlineStr">
        <is>
          <t>9780683065305</t>
        </is>
      </c>
      <c r="BE1144" t="inlineStr">
        <is>
          <t>30001002244665</t>
        </is>
      </c>
      <c r="BF1144" t="inlineStr">
        <is>
          <t>893279663</t>
        </is>
      </c>
    </row>
    <row r="1145">
      <c r="A1145" t="inlineStr">
        <is>
          <t>No</t>
        </is>
      </c>
      <c r="B1145" t="inlineStr">
        <is>
          <t>CUHSL</t>
        </is>
      </c>
      <c r="C1145" t="inlineStr">
        <is>
          <t>SHELVES</t>
        </is>
      </c>
      <c r="D1145" t="inlineStr">
        <is>
          <t>WY 105 NU553L 1989 v.1,no.4</t>
        </is>
      </c>
      <c r="E1145" t="inlineStr">
        <is>
          <t>0                      WY 0105000NU 553L        1989                                        v.1,no.4</t>
        </is>
      </c>
      <c r="F1145" t="inlineStr">
        <is>
          <t>Team building / Ann Marie T. Brooks.</t>
        </is>
      </c>
      <c r="G1145" t="inlineStr">
        <is>
          <t>V. 1,NO. 4</t>
        </is>
      </c>
      <c r="H1145" t="inlineStr">
        <is>
          <t>No</t>
        </is>
      </c>
      <c r="I1145" t="inlineStr">
        <is>
          <t>1</t>
        </is>
      </c>
      <c r="J1145" t="inlineStr">
        <is>
          <t>No</t>
        </is>
      </c>
      <c r="K1145" t="inlineStr">
        <is>
          <t>No</t>
        </is>
      </c>
      <c r="L1145" t="inlineStr">
        <is>
          <t>0</t>
        </is>
      </c>
      <c r="M1145" t="inlineStr">
        <is>
          <t>Brooks, Ann Marie T., 1947-</t>
        </is>
      </c>
      <c r="N1145" t="inlineStr">
        <is>
          <t>Baltimore : Williams &amp; Wilkins, c1990.</t>
        </is>
      </c>
      <c r="O1145" t="inlineStr">
        <is>
          <t>1990</t>
        </is>
      </c>
      <c r="Q1145" t="inlineStr">
        <is>
          <t>eng</t>
        </is>
      </c>
      <c r="R1145" t="inlineStr">
        <is>
          <t>mdu</t>
        </is>
      </c>
      <c r="S1145" t="inlineStr">
        <is>
          <t>Nurse managers' bookshelf ; v. 1, no. 4</t>
        </is>
      </c>
      <c r="T1145" t="inlineStr">
        <is>
          <t xml:space="preserve">WY </t>
        </is>
      </c>
      <c r="U1145" t="n">
        <v>8</v>
      </c>
      <c r="V1145" t="n">
        <v>8</v>
      </c>
      <c r="W1145" t="inlineStr">
        <is>
          <t>2001-04-23</t>
        </is>
      </c>
      <c r="X1145" t="inlineStr">
        <is>
          <t>2001-04-23</t>
        </is>
      </c>
      <c r="Y1145" t="inlineStr">
        <is>
          <t>1992-03-25</t>
        </is>
      </c>
      <c r="Z1145" t="inlineStr">
        <is>
          <t>1992-03-25</t>
        </is>
      </c>
      <c r="AA1145" t="n">
        <v>78</v>
      </c>
      <c r="AB1145" t="n">
        <v>62</v>
      </c>
      <c r="AC1145" t="n">
        <v>62</v>
      </c>
      <c r="AD1145" t="n">
        <v>1</v>
      </c>
      <c r="AE1145" t="n">
        <v>1</v>
      </c>
      <c r="AF1145" t="n">
        <v>3</v>
      </c>
      <c r="AG1145" t="n">
        <v>3</v>
      </c>
      <c r="AH1145" t="n">
        <v>2</v>
      </c>
      <c r="AI1145" t="n">
        <v>2</v>
      </c>
      <c r="AJ1145" t="n">
        <v>0</v>
      </c>
      <c r="AK1145" t="n">
        <v>0</v>
      </c>
      <c r="AL1145" t="n">
        <v>2</v>
      </c>
      <c r="AM1145" t="n">
        <v>2</v>
      </c>
      <c r="AN1145" t="n">
        <v>0</v>
      </c>
      <c r="AO1145" t="n">
        <v>0</v>
      </c>
      <c r="AP1145" t="n">
        <v>0</v>
      </c>
      <c r="AQ1145" t="n">
        <v>0</v>
      </c>
      <c r="AR1145" t="inlineStr">
        <is>
          <t>No</t>
        </is>
      </c>
      <c r="AS1145" t="inlineStr">
        <is>
          <t>No</t>
        </is>
      </c>
      <c r="AU1145">
        <f>HYPERLINK("https://creighton-primo.hosted.exlibrisgroup.com/primo-explore/search?tab=default_tab&amp;search_scope=EVERYTHING&amp;vid=01CRU&amp;lang=en_US&amp;offset=0&amp;query=any,contains,991001780889702656","Catalog Record")</f>
        <v/>
      </c>
      <c r="AV1145">
        <f>HYPERLINK("http://www.worldcat.org/oclc/21043024","WorldCat Record")</f>
        <v/>
      </c>
      <c r="AW1145" t="inlineStr">
        <is>
          <t>22744476:eng</t>
        </is>
      </c>
      <c r="AX1145" t="inlineStr">
        <is>
          <t>21043024</t>
        </is>
      </c>
      <c r="AY1145" t="inlineStr">
        <is>
          <t>991001780889702656</t>
        </is>
      </c>
      <c r="AZ1145" t="inlineStr">
        <is>
          <t>991001780889702656</t>
        </is>
      </c>
      <c r="BA1145" t="inlineStr">
        <is>
          <t>2269070610002656</t>
        </is>
      </c>
      <c r="BB1145" t="inlineStr">
        <is>
          <t>BOOK</t>
        </is>
      </c>
      <c r="BD1145" t="inlineStr">
        <is>
          <t>9780683065312</t>
        </is>
      </c>
      <c r="BE1145" t="inlineStr">
        <is>
          <t>30001002244640</t>
        </is>
      </c>
      <c r="BF1145" t="inlineStr">
        <is>
          <t>893827083</t>
        </is>
      </c>
    </row>
    <row r="1146">
      <c r="A1146" t="inlineStr">
        <is>
          <t>No</t>
        </is>
      </c>
      <c r="B1146" t="inlineStr">
        <is>
          <t>CUHSL</t>
        </is>
      </c>
      <c r="C1146" t="inlineStr">
        <is>
          <t>SHELVES</t>
        </is>
      </c>
      <c r="D1146" t="inlineStr">
        <is>
          <t>WY 105 O45w 1986</t>
        </is>
      </c>
      <c r="E1146" t="inlineStr">
        <is>
          <t>0                      WY 0105000O  45w         1986</t>
        </is>
      </c>
      <c r="F1146" t="inlineStr">
        <is>
          <t>Winning strategies for nursing managers / Joan G. O'Leary, Sharon Tarrant Wendelgass, Helen Eckman Zimmerman.</t>
        </is>
      </c>
      <c r="H1146" t="inlineStr">
        <is>
          <t>No</t>
        </is>
      </c>
      <c r="I1146" t="inlineStr">
        <is>
          <t>1</t>
        </is>
      </c>
      <c r="J1146" t="inlineStr">
        <is>
          <t>No</t>
        </is>
      </c>
      <c r="K1146" t="inlineStr">
        <is>
          <t>No</t>
        </is>
      </c>
      <c r="L1146" t="inlineStr">
        <is>
          <t>0</t>
        </is>
      </c>
      <c r="M1146" t="inlineStr">
        <is>
          <t>O'Leary, Joan G.</t>
        </is>
      </c>
      <c r="N1146" t="inlineStr">
        <is>
          <t>Philadelphia : Lippincott, c1986.</t>
        </is>
      </c>
      <c r="O1146" t="inlineStr">
        <is>
          <t>1986</t>
        </is>
      </c>
      <c r="Q1146" t="inlineStr">
        <is>
          <t>eng</t>
        </is>
      </c>
      <c r="R1146" t="inlineStr">
        <is>
          <t>xxu</t>
        </is>
      </c>
      <c r="T1146" t="inlineStr">
        <is>
          <t xml:space="preserve">WY </t>
        </is>
      </c>
      <c r="U1146" t="n">
        <v>4</v>
      </c>
      <c r="V1146" t="n">
        <v>4</v>
      </c>
      <c r="W1146" t="inlineStr">
        <is>
          <t>1995-10-29</t>
        </is>
      </c>
      <c r="X1146" t="inlineStr">
        <is>
          <t>1995-10-29</t>
        </is>
      </c>
      <c r="Y1146" t="inlineStr">
        <is>
          <t>1987-12-30</t>
        </is>
      </c>
      <c r="Z1146" t="inlineStr">
        <is>
          <t>1987-12-30</t>
        </is>
      </c>
      <c r="AA1146" t="n">
        <v>198</v>
      </c>
      <c r="AB1146" t="n">
        <v>160</v>
      </c>
      <c r="AC1146" t="n">
        <v>167</v>
      </c>
      <c r="AD1146" t="n">
        <v>1</v>
      </c>
      <c r="AE1146" t="n">
        <v>1</v>
      </c>
      <c r="AF1146" t="n">
        <v>6</v>
      </c>
      <c r="AG1146" t="n">
        <v>6</v>
      </c>
      <c r="AH1146" t="n">
        <v>1</v>
      </c>
      <c r="AI1146" t="n">
        <v>1</v>
      </c>
      <c r="AJ1146" t="n">
        <v>1</v>
      </c>
      <c r="AK1146" t="n">
        <v>1</v>
      </c>
      <c r="AL1146" t="n">
        <v>4</v>
      </c>
      <c r="AM1146" t="n">
        <v>4</v>
      </c>
      <c r="AN1146" t="n">
        <v>0</v>
      </c>
      <c r="AO1146" t="n">
        <v>0</v>
      </c>
      <c r="AP1146" t="n">
        <v>0</v>
      </c>
      <c r="AQ1146" t="n">
        <v>0</v>
      </c>
      <c r="AR1146" t="inlineStr">
        <is>
          <t>No</t>
        </is>
      </c>
      <c r="AS1146" t="inlineStr">
        <is>
          <t>Yes</t>
        </is>
      </c>
      <c r="AT1146">
        <f>HYPERLINK("http://catalog.hathitrust.org/Record/000400682","HathiTrust Record")</f>
        <v/>
      </c>
      <c r="AU1146">
        <f>HYPERLINK("https://creighton-primo.hosted.exlibrisgroup.com/primo-explore/search?tab=default_tab&amp;search_scope=EVERYTHING&amp;vid=01CRU&amp;lang=en_US&amp;offset=0&amp;query=any,contains,991001151919702656","Catalog Record")</f>
        <v/>
      </c>
      <c r="AV1146">
        <f>HYPERLINK("http://www.worldcat.org/oclc/13184303","WorldCat Record")</f>
        <v/>
      </c>
      <c r="AW1146" t="inlineStr">
        <is>
          <t>5844647:eng</t>
        </is>
      </c>
      <c r="AX1146" t="inlineStr">
        <is>
          <t>13184303</t>
        </is>
      </c>
      <c r="AY1146" t="inlineStr">
        <is>
          <t>991001151919702656</t>
        </is>
      </c>
      <c r="AZ1146" t="inlineStr">
        <is>
          <t>991001151919702656</t>
        </is>
      </c>
      <c r="BA1146" t="inlineStr">
        <is>
          <t>2266372280002656</t>
        </is>
      </c>
      <c r="BB1146" t="inlineStr">
        <is>
          <t>BOOK</t>
        </is>
      </c>
      <c r="BD1146" t="inlineStr">
        <is>
          <t>9780397545414</t>
        </is>
      </c>
      <c r="BE1146" t="inlineStr">
        <is>
          <t>30001000296535</t>
        </is>
      </c>
      <c r="BF1146" t="inlineStr">
        <is>
          <t>893541062</t>
        </is>
      </c>
    </row>
    <row r="1147">
      <c r="A1147" t="inlineStr">
        <is>
          <t>No</t>
        </is>
      </c>
      <c r="B1147" t="inlineStr">
        <is>
          <t>CUHSL</t>
        </is>
      </c>
      <c r="C1147" t="inlineStr">
        <is>
          <t>SHELVES</t>
        </is>
      </c>
      <c r="D1147" t="inlineStr">
        <is>
          <t>WY 105 O58 1978</t>
        </is>
      </c>
      <c r="E1147" t="inlineStr">
        <is>
          <t>0                      WY 0105000O  58          1978</t>
        </is>
      </c>
      <c r="F1147" t="inlineStr">
        <is>
          <t>One step beyond : shock or reality? : Presentations from the October 1976 and March 1977 Forums for Nursing Service Administrators in the West / sponsored by the Western Regional Assembly of Constituent Leagues.</t>
        </is>
      </c>
      <c r="H1147" t="inlineStr">
        <is>
          <t>No</t>
        </is>
      </c>
      <c r="I1147" t="inlineStr">
        <is>
          <t>1</t>
        </is>
      </c>
      <c r="J1147" t="inlineStr">
        <is>
          <t>No</t>
        </is>
      </c>
      <c r="K1147" t="inlineStr">
        <is>
          <t>No</t>
        </is>
      </c>
      <c r="L1147" t="inlineStr">
        <is>
          <t>0</t>
        </is>
      </c>
      <c r="N1147" t="inlineStr">
        <is>
          <t>New York : National League for Nursing, c1978.</t>
        </is>
      </c>
      <c r="O1147" t="inlineStr">
        <is>
          <t>1976</t>
        </is>
      </c>
      <c r="Q1147" t="inlineStr">
        <is>
          <t>eng</t>
        </is>
      </c>
      <c r="R1147" t="inlineStr">
        <is>
          <t>nyu</t>
        </is>
      </c>
      <c r="S1147" t="inlineStr">
        <is>
          <t>NLN pub. no. 52-1724</t>
        </is>
      </c>
      <c r="T1147" t="inlineStr">
        <is>
          <t xml:space="preserve">WY </t>
        </is>
      </c>
      <c r="U1147" t="n">
        <v>2</v>
      </c>
      <c r="V1147" t="n">
        <v>2</v>
      </c>
      <c r="W1147" t="inlineStr">
        <is>
          <t>2008-09-17</t>
        </is>
      </c>
      <c r="X1147" t="inlineStr">
        <is>
          <t>2008-09-17</t>
        </is>
      </c>
      <c r="Y1147" t="inlineStr">
        <is>
          <t>1987-11-18</t>
        </is>
      </c>
      <c r="Z1147" t="inlineStr">
        <is>
          <t>1987-11-18</t>
        </is>
      </c>
      <c r="AA1147" t="n">
        <v>48</v>
      </c>
      <c r="AB1147" t="n">
        <v>39</v>
      </c>
      <c r="AC1147" t="n">
        <v>53</v>
      </c>
      <c r="AD1147" t="n">
        <v>1</v>
      </c>
      <c r="AE1147" t="n">
        <v>1</v>
      </c>
      <c r="AF1147" t="n">
        <v>1</v>
      </c>
      <c r="AG1147" t="n">
        <v>2</v>
      </c>
      <c r="AH1147" t="n">
        <v>0</v>
      </c>
      <c r="AI1147" t="n">
        <v>1</v>
      </c>
      <c r="AJ1147" t="n">
        <v>0</v>
      </c>
      <c r="AK1147" t="n">
        <v>0</v>
      </c>
      <c r="AL1147" t="n">
        <v>1</v>
      </c>
      <c r="AM1147" t="n">
        <v>1</v>
      </c>
      <c r="AN1147" t="n">
        <v>0</v>
      </c>
      <c r="AO1147" t="n">
        <v>0</v>
      </c>
      <c r="AP1147" t="n">
        <v>0</v>
      </c>
      <c r="AQ1147" t="n">
        <v>0</v>
      </c>
      <c r="AR1147" t="inlineStr">
        <is>
          <t>No</t>
        </is>
      </c>
      <c r="AS1147" t="inlineStr">
        <is>
          <t>Yes</t>
        </is>
      </c>
      <c r="AT1147">
        <f>HYPERLINK("http://catalog.hathitrust.org/Record/000696002","HathiTrust Record")</f>
        <v/>
      </c>
      <c r="AU1147">
        <f>HYPERLINK("https://creighton-primo.hosted.exlibrisgroup.com/primo-explore/search?tab=default_tab&amp;search_scope=EVERYTHING&amp;vid=01CRU&amp;lang=en_US&amp;offset=0&amp;query=any,contains,991001517029702656","Catalog Record")</f>
        <v/>
      </c>
      <c r="AV1147">
        <f>HYPERLINK("http://www.worldcat.org/oclc/6143913","WorldCat Record")</f>
        <v/>
      </c>
      <c r="AW1147" t="inlineStr">
        <is>
          <t>13991208:eng</t>
        </is>
      </c>
      <c r="AX1147" t="inlineStr">
        <is>
          <t>6143913</t>
        </is>
      </c>
      <c r="AY1147" t="inlineStr">
        <is>
          <t>991001517029702656</t>
        </is>
      </c>
      <c r="AZ1147" t="inlineStr">
        <is>
          <t>991001517029702656</t>
        </is>
      </c>
      <c r="BA1147" t="inlineStr">
        <is>
          <t>2260042860002656</t>
        </is>
      </c>
      <c r="BB1147" t="inlineStr">
        <is>
          <t>BOOK</t>
        </is>
      </c>
      <c r="BE1147" t="inlineStr">
        <is>
          <t>30001000600090</t>
        </is>
      </c>
      <c r="BF1147" t="inlineStr">
        <is>
          <t>893546787</t>
        </is>
      </c>
    </row>
    <row r="1148">
      <c r="A1148" t="inlineStr">
        <is>
          <t>No</t>
        </is>
      </c>
      <c r="B1148" t="inlineStr">
        <is>
          <t>CUHSL</t>
        </is>
      </c>
      <c r="C1148" t="inlineStr">
        <is>
          <t>SHELVES</t>
        </is>
      </c>
      <c r="D1148" t="inlineStr">
        <is>
          <t>WY 105 O71 1970</t>
        </is>
      </c>
      <c r="E1148" t="inlineStr">
        <is>
          <t>0                      WY 0105000O  71          1970</t>
        </is>
      </c>
      <c r="F1148" t="inlineStr">
        <is>
          <t>The use of managerial tools in evaluating and improving the quality of nursing care : a survey of selected hospitals in New Jersey.</t>
        </is>
      </c>
      <c r="H1148" t="inlineStr">
        <is>
          <t>No</t>
        </is>
      </c>
      <c r="I1148" t="inlineStr">
        <is>
          <t>1</t>
        </is>
      </c>
      <c r="J1148" t="inlineStr">
        <is>
          <t>No</t>
        </is>
      </c>
      <c r="K1148" t="inlineStr">
        <is>
          <t>No</t>
        </is>
      </c>
      <c r="L1148" t="inlineStr">
        <is>
          <t>0</t>
        </is>
      </c>
      <c r="M1148" t="inlineStr">
        <is>
          <t>Orleans, Donald.</t>
        </is>
      </c>
      <c r="N1148" t="inlineStr">
        <is>
          <t>New York : National League for Nursing, 1970.</t>
        </is>
      </c>
      <c r="O1148" t="inlineStr">
        <is>
          <t>1970</t>
        </is>
      </c>
      <c r="Q1148" t="inlineStr">
        <is>
          <t>eng</t>
        </is>
      </c>
      <c r="R1148" t="inlineStr">
        <is>
          <t>nyu</t>
        </is>
      </c>
      <c r="S1148" t="inlineStr">
        <is>
          <t>League exchange ; no. 92</t>
        </is>
      </c>
      <c r="T1148" t="inlineStr">
        <is>
          <t xml:space="preserve">WY </t>
        </is>
      </c>
      <c r="U1148" t="n">
        <v>1</v>
      </c>
      <c r="V1148" t="n">
        <v>1</v>
      </c>
      <c r="W1148" t="inlineStr">
        <is>
          <t>1990-05-04</t>
        </is>
      </c>
      <c r="X1148" t="inlineStr">
        <is>
          <t>1990-05-04</t>
        </is>
      </c>
      <c r="Y1148" t="inlineStr">
        <is>
          <t>1987-11-04</t>
        </is>
      </c>
      <c r="Z1148" t="inlineStr">
        <is>
          <t>1987-11-04</t>
        </is>
      </c>
      <c r="AA1148" t="n">
        <v>63</v>
      </c>
      <c r="AB1148" t="n">
        <v>56</v>
      </c>
      <c r="AC1148" t="n">
        <v>58</v>
      </c>
      <c r="AD1148" t="n">
        <v>1</v>
      </c>
      <c r="AE1148" t="n">
        <v>1</v>
      </c>
      <c r="AF1148" t="n">
        <v>2</v>
      </c>
      <c r="AG1148" t="n">
        <v>2</v>
      </c>
      <c r="AH1148" t="n">
        <v>0</v>
      </c>
      <c r="AI1148" t="n">
        <v>0</v>
      </c>
      <c r="AJ1148" t="n">
        <v>0</v>
      </c>
      <c r="AK1148" t="n">
        <v>0</v>
      </c>
      <c r="AL1148" t="n">
        <v>2</v>
      </c>
      <c r="AM1148" t="n">
        <v>2</v>
      </c>
      <c r="AN1148" t="n">
        <v>0</v>
      </c>
      <c r="AO1148" t="n">
        <v>0</v>
      </c>
      <c r="AP1148" t="n">
        <v>0</v>
      </c>
      <c r="AQ1148" t="n">
        <v>0</v>
      </c>
      <c r="AR1148" t="inlineStr">
        <is>
          <t>No</t>
        </is>
      </c>
      <c r="AS1148" t="inlineStr">
        <is>
          <t>Yes</t>
        </is>
      </c>
      <c r="AT1148">
        <f>HYPERLINK("http://catalog.hathitrust.org/Record/001574072","HathiTrust Record")</f>
        <v/>
      </c>
      <c r="AU1148">
        <f>HYPERLINK("https://creighton-primo.hosted.exlibrisgroup.com/primo-explore/search?tab=default_tab&amp;search_scope=EVERYTHING&amp;vid=01CRU&amp;lang=en_US&amp;offset=0&amp;query=any,contains,991001384199702656","Catalog Record")</f>
        <v/>
      </c>
      <c r="AV1148">
        <f>HYPERLINK("http://www.worldcat.org/oclc/123500","WorldCat Record")</f>
        <v/>
      </c>
      <c r="AW1148" t="inlineStr">
        <is>
          <t>1246837:eng</t>
        </is>
      </c>
      <c r="AX1148" t="inlineStr">
        <is>
          <t>123500</t>
        </is>
      </c>
      <c r="AY1148" t="inlineStr">
        <is>
          <t>991001384199702656</t>
        </is>
      </c>
      <c r="AZ1148" t="inlineStr">
        <is>
          <t>991001384199702656</t>
        </is>
      </c>
      <c r="BA1148" t="inlineStr">
        <is>
          <t>2263580470002656</t>
        </is>
      </c>
      <c r="BB1148" t="inlineStr">
        <is>
          <t>BOOK</t>
        </is>
      </c>
      <c r="BE1148" t="inlineStr">
        <is>
          <t>30001000463382</t>
        </is>
      </c>
      <c r="BF1148" t="inlineStr">
        <is>
          <t>893727525</t>
        </is>
      </c>
    </row>
    <row r="1149">
      <c r="A1149" t="inlineStr">
        <is>
          <t>No</t>
        </is>
      </c>
      <c r="B1149" t="inlineStr">
        <is>
          <t>CUHSL</t>
        </is>
      </c>
      <c r="C1149" t="inlineStr">
        <is>
          <t>SHELVES</t>
        </is>
      </c>
      <c r="D1149" t="inlineStr">
        <is>
          <t>WY 105 O86f 1979</t>
        </is>
      </c>
      <c r="E1149" t="inlineStr">
        <is>
          <t>0                      WY 0105000O  86f         1979</t>
        </is>
      </c>
      <c r="F1149" t="inlineStr">
        <is>
          <t>Financial management of department of nursing services / [Richard J. Oszustowicz].</t>
        </is>
      </c>
      <c r="H1149" t="inlineStr">
        <is>
          <t>No</t>
        </is>
      </c>
      <c r="I1149" t="inlineStr">
        <is>
          <t>1</t>
        </is>
      </c>
      <c r="J1149" t="inlineStr">
        <is>
          <t>No</t>
        </is>
      </c>
      <c r="K1149" t="inlineStr">
        <is>
          <t>No</t>
        </is>
      </c>
      <c r="L1149" t="inlineStr">
        <is>
          <t>0</t>
        </is>
      </c>
      <c r="M1149" t="inlineStr">
        <is>
          <t>Oszustowicz, Richard J.</t>
        </is>
      </c>
      <c r="N1149" t="inlineStr">
        <is>
          <t>New York : National League for Nursing, c1979.</t>
        </is>
      </c>
      <c r="O1149" t="inlineStr">
        <is>
          <t>1979</t>
        </is>
      </c>
      <c r="Q1149" t="inlineStr">
        <is>
          <t>eng</t>
        </is>
      </c>
      <c r="R1149" t="inlineStr">
        <is>
          <t>xxu</t>
        </is>
      </c>
      <c r="S1149" t="inlineStr">
        <is>
          <t>NLN pub. no. 20-1798</t>
        </is>
      </c>
      <c r="T1149" t="inlineStr">
        <is>
          <t xml:space="preserve">WY </t>
        </is>
      </c>
      <c r="U1149" t="n">
        <v>2</v>
      </c>
      <c r="V1149" t="n">
        <v>2</v>
      </c>
      <c r="W1149" t="inlineStr">
        <is>
          <t>1990-06-12</t>
        </is>
      </c>
      <c r="X1149" t="inlineStr">
        <is>
          <t>1990-06-12</t>
        </is>
      </c>
      <c r="Y1149" t="inlineStr">
        <is>
          <t>1987-11-04</t>
        </is>
      </c>
      <c r="Z1149" t="inlineStr">
        <is>
          <t>1987-11-04</t>
        </is>
      </c>
      <c r="AA1149" t="n">
        <v>90</v>
      </c>
      <c r="AB1149" t="n">
        <v>79</v>
      </c>
      <c r="AC1149" t="n">
        <v>82</v>
      </c>
      <c r="AD1149" t="n">
        <v>2</v>
      </c>
      <c r="AE1149" t="n">
        <v>2</v>
      </c>
      <c r="AF1149" t="n">
        <v>3</v>
      </c>
      <c r="AG1149" t="n">
        <v>3</v>
      </c>
      <c r="AH1149" t="n">
        <v>0</v>
      </c>
      <c r="AI1149" t="n">
        <v>0</v>
      </c>
      <c r="AJ1149" t="n">
        <v>0</v>
      </c>
      <c r="AK1149" t="n">
        <v>0</v>
      </c>
      <c r="AL1149" t="n">
        <v>2</v>
      </c>
      <c r="AM1149" t="n">
        <v>2</v>
      </c>
      <c r="AN1149" t="n">
        <v>1</v>
      </c>
      <c r="AO1149" t="n">
        <v>1</v>
      </c>
      <c r="AP1149" t="n">
        <v>0</v>
      </c>
      <c r="AQ1149" t="n">
        <v>0</v>
      </c>
      <c r="AR1149" t="inlineStr">
        <is>
          <t>No</t>
        </is>
      </c>
      <c r="AS1149" t="inlineStr">
        <is>
          <t>Yes</t>
        </is>
      </c>
      <c r="AT1149">
        <f>HYPERLINK("http://catalog.hathitrust.org/Record/000760234","HathiTrust Record")</f>
        <v/>
      </c>
      <c r="AU1149">
        <f>HYPERLINK("https://creighton-primo.hosted.exlibrisgroup.com/primo-explore/search?tab=default_tab&amp;search_scope=EVERYTHING&amp;vid=01CRU&amp;lang=en_US&amp;offset=0&amp;query=any,contains,991001385709702656","Catalog Record")</f>
        <v/>
      </c>
      <c r="AV1149">
        <f>HYPERLINK("http://www.worldcat.org/oclc/6223951","WorldCat Record")</f>
        <v/>
      </c>
      <c r="AW1149" t="inlineStr">
        <is>
          <t>21464011:eng</t>
        </is>
      </c>
      <c r="AX1149" t="inlineStr">
        <is>
          <t>6223951</t>
        </is>
      </c>
      <c r="AY1149" t="inlineStr">
        <is>
          <t>991001385709702656</t>
        </is>
      </c>
      <c r="AZ1149" t="inlineStr">
        <is>
          <t>991001385709702656</t>
        </is>
      </c>
      <c r="BA1149" t="inlineStr">
        <is>
          <t>2271991670002656</t>
        </is>
      </c>
      <c r="BB1149" t="inlineStr">
        <is>
          <t>BOOK</t>
        </is>
      </c>
      <c r="BE1149" t="inlineStr">
        <is>
          <t>30001000463671</t>
        </is>
      </c>
      <c r="BF1149" t="inlineStr">
        <is>
          <t>893460509</t>
        </is>
      </c>
    </row>
    <row r="1150">
      <c r="A1150" t="inlineStr">
        <is>
          <t>No</t>
        </is>
      </c>
      <c r="B1150" t="inlineStr">
        <is>
          <t>CUHSL</t>
        </is>
      </c>
      <c r="C1150" t="inlineStr">
        <is>
          <t>SHELVES</t>
        </is>
      </c>
      <c r="D1150" t="inlineStr">
        <is>
          <t>WY 105 P298 1980</t>
        </is>
      </c>
      <c r="E1150" t="inlineStr">
        <is>
          <t>0                      WY 0105000P  298         1980</t>
        </is>
      </c>
      <c r="F1150" t="inlineStr">
        <is>
          <t>Patient care standards / Susan Martin Tucker ... [et al.].</t>
        </is>
      </c>
      <c r="H1150" t="inlineStr">
        <is>
          <t>No</t>
        </is>
      </c>
      <c r="I1150" t="inlineStr">
        <is>
          <t>1</t>
        </is>
      </c>
      <c r="J1150" t="inlineStr">
        <is>
          <t>No</t>
        </is>
      </c>
      <c r="K1150" t="inlineStr">
        <is>
          <t>Yes</t>
        </is>
      </c>
      <c r="L1150" t="inlineStr">
        <is>
          <t>0</t>
        </is>
      </c>
      <c r="N1150" t="inlineStr">
        <is>
          <t>St. Louis : Mosby, 1980.</t>
        </is>
      </c>
      <c r="O1150" t="inlineStr">
        <is>
          <t>1980</t>
        </is>
      </c>
      <c r="P1150" t="inlineStr">
        <is>
          <t>2nd ed.</t>
        </is>
      </c>
      <c r="Q1150" t="inlineStr">
        <is>
          <t>eng</t>
        </is>
      </c>
      <c r="R1150" t="inlineStr">
        <is>
          <t>xxu</t>
        </is>
      </c>
      <c r="T1150" t="inlineStr">
        <is>
          <t xml:space="preserve">WY </t>
        </is>
      </c>
      <c r="U1150" t="n">
        <v>3</v>
      </c>
      <c r="V1150" t="n">
        <v>3</v>
      </c>
      <c r="W1150" t="inlineStr">
        <is>
          <t>1990-12-12</t>
        </is>
      </c>
      <c r="X1150" t="inlineStr">
        <is>
          <t>1990-12-12</t>
        </is>
      </c>
      <c r="Y1150" t="inlineStr">
        <is>
          <t>1988-01-05</t>
        </is>
      </c>
      <c r="Z1150" t="inlineStr">
        <is>
          <t>1988-01-05</t>
        </is>
      </c>
      <c r="AA1150" t="n">
        <v>237</v>
      </c>
      <c r="AB1150" t="n">
        <v>203</v>
      </c>
      <c r="AC1150" t="n">
        <v>703</v>
      </c>
      <c r="AD1150" t="n">
        <v>1</v>
      </c>
      <c r="AE1150" t="n">
        <v>5</v>
      </c>
      <c r="AF1150" t="n">
        <v>2</v>
      </c>
      <c r="AG1150" t="n">
        <v>21</v>
      </c>
      <c r="AH1150" t="n">
        <v>0</v>
      </c>
      <c r="AI1150" t="n">
        <v>6</v>
      </c>
      <c r="AJ1150" t="n">
        <v>0</v>
      </c>
      <c r="AK1150" t="n">
        <v>3</v>
      </c>
      <c r="AL1150" t="n">
        <v>2</v>
      </c>
      <c r="AM1150" t="n">
        <v>10</v>
      </c>
      <c r="AN1150" t="n">
        <v>0</v>
      </c>
      <c r="AO1150" t="n">
        <v>4</v>
      </c>
      <c r="AP1150" t="n">
        <v>0</v>
      </c>
      <c r="AQ1150" t="n">
        <v>0</v>
      </c>
      <c r="AR1150" t="inlineStr">
        <is>
          <t>No</t>
        </is>
      </c>
      <c r="AS1150" t="inlineStr">
        <is>
          <t>Yes</t>
        </is>
      </c>
      <c r="AT1150">
        <f>HYPERLINK("http://catalog.hathitrust.org/Record/000102832","HathiTrust Record")</f>
        <v/>
      </c>
      <c r="AU1150">
        <f>HYPERLINK("https://creighton-primo.hosted.exlibrisgroup.com/primo-explore/search?tab=default_tab&amp;search_scope=EVERYTHING&amp;vid=01CRU&amp;lang=en_US&amp;offset=0&amp;query=any,contains,991001152049702656","Catalog Record")</f>
        <v/>
      </c>
      <c r="AV1150">
        <f>HYPERLINK("http://www.worldcat.org/oclc/5725796","WorldCat Record")</f>
        <v/>
      </c>
      <c r="AW1150" t="inlineStr">
        <is>
          <t>1881846255:eng</t>
        </is>
      </c>
      <c r="AX1150" t="inlineStr">
        <is>
          <t>5725796</t>
        </is>
      </c>
      <c r="AY1150" t="inlineStr">
        <is>
          <t>991001152049702656</t>
        </is>
      </c>
      <c r="AZ1150" t="inlineStr">
        <is>
          <t>991001152049702656</t>
        </is>
      </c>
      <c r="BA1150" t="inlineStr">
        <is>
          <t>2255495110002656</t>
        </is>
      </c>
      <c r="BB1150" t="inlineStr">
        <is>
          <t>BOOK</t>
        </is>
      </c>
      <c r="BD1150" t="inlineStr">
        <is>
          <t>9780801651229</t>
        </is>
      </c>
      <c r="BE1150" t="inlineStr">
        <is>
          <t>30001000296618</t>
        </is>
      </c>
      <c r="BF1150" t="inlineStr">
        <is>
          <t>893560888</t>
        </is>
      </c>
    </row>
    <row r="1151">
      <c r="A1151" t="inlineStr">
        <is>
          <t>No</t>
        </is>
      </c>
      <c r="B1151" t="inlineStr">
        <is>
          <t>CUHSL</t>
        </is>
      </c>
      <c r="C1151" t="inlineStr">
        <is>
          <t>SHELVES</t>
        </is>
      </c>
      <c r="D1151" t="inlineStr">
        <is>
          <t>WY 105 P712 1983</t>
        </is>
      </c>
      <c r="E1151" t="inlineStr">
        <is>
          <t>0                      WY 0105000P  712         1983</t>
        </is>
      </c>
      <c r="F1151" t="inlineStr">
        <is>
          <t>Planning, strategies for nurse managers / edited by Janet M. Kraegel.</t>
        </is>
      </c>
      <c r="H1151" t="inlineStr">
        <is>
          <t>No</t>
        </is>
      </c>
      <c r="I1151" t="inlineStr">
        <is>
          <t>1</t>
        </is>
      </c>
      <c r="J1151" t="inlineStr">
        <is>
          <t>No</t>
        </is>
      </c>
      <c r="K1151" t="inlineStr">
        <is>
          <t>No</t>
        </is>
      </c>
      <c r="L1151" t="inlineStr">
        <is>
          <t>0</t>
        </is>
      </c>
      <c r="N1151" t="inlineStr">
        <is>
          <t>Rockville, Md. : Aspen Systems Corp., c1983.</t>
        </is>
      </c>
      <c r="O1151" t="inlineStr">
        <is>
          <t>1983</t>
        </is>
      </c>
      <c r="Q1151" t="inlineStr">
        <is>
          <t>eng</t>
        </is>
      </c>
      <c r="R1151" t="inlineStr">
        <is>
          <t>xxu</t>
        </is>
      </c>
      <c r="T1151" t="inlineStr">
        <is>
          <t xml:space="preserve">WY </t>
        </is>
      </c>
      <c r="U1151" t="n">
        <v>2</v>
      </c>
      <c r="V1151" t="n">
        <v>2</v>
      </c>
      <c r="W1151" t="inlineStr">
        <is>
          <t>1990-10-25</t>
        </is>
      </c>
      <c r="X1151" t="inlineStr">
        <is>
          <t>1990-10-25</t>
        </is>
      </c>
      <c r="Y1151" t="inlineStr">
        <is>
          <t>1987-12-30</t>
        </is>
      </c>
      <c r="Z1151" t="inlineStr">
        <is>
          <t>1987-12-30</t>
        </is>
      </c>
      <c r="AA1151" t="n">
        <v>194</v>
      </c>
      <c r="AB1151" t="n">
        <v>172</v>
      </c>
      <c r="AC1151" t="n">
        <v>174</v>
      </c>
      <c r="AD1151" t="n">
        <v>2</v>
      </c>
      <c r="AE1151" t="n">
        <v>2</v>
      </c>
      <c r="AF1151" t="n">
        <v>5</v>
      </c>
      <c r="AG1151" t="n">
        <v>5</v>
      </c>
      <c r="AH1151" t="n">
        <v>0</v>
      </c>
      <c r="AI1151" t="n">
        <v>0</v>
      </c>
      <c r="AJ1151" t="n">
        <v>1</v>
      </c>
      <c r="AK1151" t="n">
        <v>1</v>
      </c>
      <c r="AL1151" t="n">
        <v>3</v>
      </c>
      <c r="AM1151" t="n">
        <v>3</v>
      </c>
      <c r="AN1151" t="n">
        <v>1</v>
      </c>
      <c r="AO1151" t="n">
        <v>1</v>
      </c>
      <c r="AP1151" t="n">
        <v>0</v>
      </c>
      <c r="AQ1151" t="n">
        <v>0</v>
      </c>
      <c r="AR1151" t="inlineStr">
        <is>
          <t>No</t>
        </is>
      </c>
      <c r="AS1151" t="inlineStr">
        <is>
          <t>Yes</t>
        </is>
      </c>
      <c r="AT1151">
        <f>HYPERLINK("http://catalog.hathitrust.org/Record/000114287","HathiTrust Record")</f>
        <v/>
      </c>
      <c r="AU1151">
        <f>HYPERLINK("https://creighton-primo.hosted.exlibrisgroup.com/primo-explore/search?tab=default_tab&amp;search_scope=EVERYTHING&amp;vid=01CRU&amp;lang=en_US&amp;offset=0&amp;query=any,contains,991001152089702656","Catalog Record")</f>
        <v/>
      </c>
      <c r="AV1151">
        <f>HYPERLINK("http://www.worldcat.org/oclc/9533546","WorldCat Record")</f>
        <v/>
      </c>
      <c r="AW1151" t="inlineStr">
        <is>
          <t>43699073:eng</t>
        </is>
      </c>
      <c r="AX1151" t="inlineStr">
        <is>
          <t>9533546</t>
        </is>
      </c>
      <c r="AY1151" t="inlineStr">
        <is>
          <t>991001152089702656</t>
        </is>
      </c>
      <c r="AZ1151" t="inlineStr">
        <is>
          <t>991001152089702656</t>
        </is>
      </c>
      <c r="BA1151" t="inlineStr">
        <is>
          <t>2267216250002656</t>
        </is>
      </c>
      <c r="BB1151" t="inlineStr">
        <is>
          <t>BOOK</t>
        </is>
      </c>
      <c r="BD1151" t="inlineStr">
        <is>
          <t>9780894438813</t>
        </is>
      </c>
      <c r="BE1151" t="inlineStr">
        <is>
          <t>30001000296626</t>
        </is>
      </c>
      <c r="BF1151" t="inlineStr">
        <is>
          <t>893727292</t>
        </is>
      </c>
    </row>
    <row r="1152">
      <c r="A1152" t="inlineStr">
        <is>
          <t>No</t>
        </is>
      </c>
      <c r="B1152" t="inlineStr">
        <is>
          <t>CUHSL</t>
        </is>
      </c>
      <c r="C1152" t="inlineStr">
        <is>
          <t>SHELVES</t>
        </is>
      </c>
      <c r="D1152" t="inlineStr">
        <is>
          <t>WY 105 P849c 1986</t>
        </is>
      </c>
      <c r="E1152" t="inlineStr">
        <is>
          <t>0                      WY 0105000P  849c        1986</t>
        </is>
      </c>
      <c r="F1152" t="inlineStr">
        <is>
          <t>Creative nursing administration : participative management into the 21st century / Tim Porter-O'Grady.</t>
        </is>
      </c>
      <c r="H1152" t="inlineStr">
        <is>
          <t>No</t>
        </is>
      </c>
      <c r="I1152" t="inlineStr">
        <is>
          <t>1</t>
        </is>
      </c>
      <c r="J1152" t="inlineStr">
        <is>
          <t>No</t>
        </is>
      </c>
      <c r="K1152" t="inlineStr">
        <is>
          <t>No</t>
        </is>
      </c>
      <c r="L1152" t="inlineStr">
        <is>
          <t>0</t>
        </is>
      </c>
      <c r="M1152" t="inlineStr">
        <is>
          <t>Porter-O'Grady, Timothy.</t>
        </is>
      </c>
      <c r="N1152" t="inlineStr">
        <is>
          <t>Rockville, Md. : Aspen Systems Corp., c1986.</t>
        </is>
      </c>
      <c r="O1152" t="inlineStr">
        <is>
          <t>1986</t>
        </is>
      </c>
      <c r="Q1152" t="inlineStr">
        <is>
          <t>eng</t>
        </is>
      </c>
      <c r="R1152" t="inlineStr">
        <is>
          <t>xxu</t>
        </is>
      </c>
      <c r="T1152" t="inlineStr">
        <is>
          <t xml:space="preserve">WY </t>
        </is>
      </c>
      <c r="U1152" t="n">
        <v>3</v>
      </c>
      <c r="V1152" t="n">
        <v>3</v>
      </c>
      <c r="W1152" t="inlineStr">
        <is>
          <t>2007-04-01</t>
        </is>
      </c>
      <c r="X1152" t="inlineStr">
        <is>
          <t>2007-04-01</t>
        </is>
      </c>
      <c r="Y1152" t="inlineStr">
        <is>
          <t>1987-12-30</t>
        </is>
      </c>
      <c r="Z1152" t="inlineStr">
        <is>
          <t>1987-12-30</t>
        </is>
      </c>
      <c r="AA1152" t="n">
        <v>304</v>
      </c>
      <c r="AB1152" t="n">
        <v>272</v>
      </c>
      <c r="AC1152" t="n">
        <v>279</v>
      </c>
      <c r="AD1152" t="n">
        <v>3</v>
      </c>
      <c r="AE1152" t="n">
        <v>3</v>
      </c>
      <c r="AF1152" t="n">
        <v>14</v>
      </c>
      <c r="AG1152" t="n">
        <v>14</v>
      </c>
      <c r="AH1152" t="n">
        <v>6</v>
      </c>
      <c r="AI1152" t="n">
        <v>6</v>
      </c>
      <c r="AJ1152" t="n">
        <v>2</v>
      </c>
      <c r="AK1152" t="n">
        <v>2</v>
      </c>
      <c r="AL1152" t="n">
        <v>6</v>
      </c>
      <c r="AM1152" t="n">
        <v>6</v>
      </c>
      <c r="AN1152" t="n">
        <v>1</v>
      </c>
      <c r="AO1152" t="n">
        <v>1</v>
      </c>
      <c r="AP1152" t="n">
        <v>0</v>
      </c>
      <c r="AQ1152" t="n">
        <v>0</v>
      </c>
      <c r="AR1152" t="inlineStr">
        <is>
          <t>No</t>
        </is>
      </c>
      <c r="AS1152" t="inlineStr">
        <is>
          <t>Yes</t>
        </is>
      </c>
      <c r="AT1152">
        <f>HYPERLINK("http://catalog.hathitrust.org/Record/000580472","HathiTrust Record")</f>
        <v/>
      </c>
      <c r="AU1152">
        <f>HYPERLINK("https://creighton-primo.hosted.exlibrisgroup.com/primo-explore/search?tab=default_tab&amp;search_scope=EVERYTHING&amp;vid=01CRU&amp;lang=en_US&amp;offset=0&amp;query=any,contains,991001152129702656","Catalog Record")</f>
        <v/>
      </c>
      <c r="AV1152">
        <f>HYPERLINK("http://www.worldcat.org/oclc/12695687","WorldCat Record")</f>
        <v/>
      </c>
      <c r="AW1152" t="inlineStr">
        <is>
          <t>429889319:eng</t>
        </is>
      </c>
      <c r="AX1152" t="inlineStr">
        <is>
          <t>12695687</t>
        </is>
      </c>
      <c r="AY1152" t="inlineStr">
        <is>
          <t>991001152129702656</t>
        </is>
      </c>
      <c r="AZ1152" t="inlineStr">
        <is>
          <t>991001152129702656</t>
        </is>
      </c>
      <c r="BA1152" t="inlineStr">
        <is>
          <t>2264949340002656</t>
        </is>
      </c>
      <c r="BB1152" t="inlineStr">
        <is>
          <t>BOOK</t>
        </is>
      </c>
      <c r="BD1152" t="inlineStr">
        <is>
          <t>9780871892645</t>
        </is>
      </c>
      <c r="BE1152" t="inlineStr">
        <is>
          <t>30001000296659</t>
        </is>
      </c>
      <c r="BF1152" t="inlineStr">
        <is>
          <t>893643264</t>
        </is>
      </c>
    </row>
    <row r="1153">
      <c r="A1153" t="inlineStr">
        <is>
          <t>No</t>
        </is>
      </c>
      <c r="B1153" t="inlineStr">
        <is>
          <t>CUHSL</t>
        </is>
      </c>
      <c r="C1153" t="inlineStr">
        <is>
          <t>SHELVES</t>
        </is>
      </c>
      <c r="D1153" t="inlineStr">
        <is>
          <t>WY 105 Q1 1974</t>
        </is>
      </c>
      <c r="E1153" t="inlineStr">
        <is>
          <t>0                      WY 0105000Q  1           1974</t>
        </is>
      </c>
      <c r="F1153" t="inlineStr">
        <is>
          <t>Quality assessment and patient care : presentations at the fall 1974 Forum for Nursing Service Administrators in the West, held at San Francisco, California.</t>
        </is>
      </c>
      <c r="H1153" t="inlineStr">
        <is>
          <t>No</t>
        </is>
      </c>
      <c r="I1153" t="inlineStr">
        <is>
          <t>1</t>
        </is>
      </c>
      <c r="J1153" t="inlineStr">
        <is>
          <t>No</t>
        </is>
      </c>
      <c r="K1153" t="inlineStr">
        <is>
          <t>No</t>
        </is>
      </c>
      <c r="L1153" t="inlineStr">
        <is>
          <t>0</t>
        </is>
      </c>
      <c r="N1153" t="inlineStr">
        <is>
          <t>New York : Division of Community Planning, National League for Nursing, c1975.</t>
        </is>
      </c>
      <c r="O1153" t="inlineStr">
        <is>
          <t>1974</t>
        </is>
      </c>
      <c r="Q1153" t="inlineStr">
        <is>
          <t>eng</t>
        </is>
      </c>
      <c r="R1153" t="inlineStr">
        <is>
          <t>nyu</t>
        </is>
      </c>
      <c r="S1153" t="inlineStr">
        <is>
          <t>NLN pub. no. 52-1572</t>
        </is>
      </c>
      <c r="T1153" t="inlineStr">
        <is>
          <t xml:space="preserve">WY </t>
        </is>
      </c>
      <c r="U1153" t="n">
        <v>1</v>
      </c>
      <c r="V1153" t="n">
        <v>1</v>
      </c>
      <c r="W1153" t="inlineStr">
        <is>
          <t>1990-07-23</t>
        </is>
      </c>
      <c r="X1153" t="inlineStr">
        <is>
          <t>1990-07-23</t>
        </is>
      </c>
      <c r="Y1153" t="inlineStr">
        <is>
          <t>1987-11-18</t>
        </is>
      </c>
      <c r="Z1153" t="inlineStr">
        <is>
          <t>1987-11-18</t>
        </is>
      </c>
      <c r="AA1153" t="n">
        <v>96</v>
      </c>
      <c r="AB1153" t="n">
        <v>82</v>
      </c>
      <c r="AC1153" t="n">
        <v>86</v>
      </c>
      <c r="AD1153" t="n">
        <v>3</v>
      </c>
      <c r="AE1153" t="n">
        <v>3</v>
      </c>
      <c r="AF1153" t="n">
        <v>5</v>
      </c>
      <c r="AG1153" t="n">
        <v>5</v>
      </c>
      <c r="AH1153" t="n">
        <v>1</v>
      </c>
      <c r="AI1153" t="n">
        <v>1</v>
      </c>
      <c r="AJ1153" t="n">
        <v>1</v>
      </c>
      <c r="AK1153" t="n">
        <v>1</v>
      </c>
      <c r="AL1153" t="n">
        <v>2</v>
      </c>
      <c r="AM1153" t="n">
        <v>2</v>
      </c>
      <c r="AN1153" t="n">
        <v>1</v>
      </c>
      <c r="AO1153" t="n">
        <v>1</v>
      </c>
      <c r="AP1153" t="n">
        <v>0</v>
      </c>
      <c r="AQ1153" t="n">
        <v>0</v>
      </c>
      <c r="AR1153" t="inlineStr">
        <is>
          <t>No</t>
        </is>
      </c>
      <c r="AS1153" t="inlineStr">
        <is>
          <t>Yes</t>
        </is>
      </c>
      <c r="AT1153">
        <f>HYPERLINK("http://catalog.hathitrust.org/Record/000252881","HathiTrust Record")</f>
        <v/>
      </c>
      <c r="AU1153">
        <f>HYPERLINK("https://creighton-primo.hosted.exlibrisgroup.com/primo-explore/search?tab=default_tab&amp;search_scope=EVERYTHING&amp;vid=01CRU&amp;lang=en_US&amp;offset=0&amp;query=any,contains,991001516199702656","Catalog Record")</f>
        <v/>
      </c>
      <c r="AV1153">
        <f>HYPERLINK("http://www.worldcat.org/oclc/3053077","WorldCat Record")</f>
        <v/>
      </c>
      <c r="AW1153" t="inlineStr">
        <is>
          <t>1151051028:eng</t>
        </is>
      </c>
      <c r="AX1153" t="inlineStr">
        <is>
          <t>3053077</t>
        </is>
      </c>
      <c r="AY1153" t="inlineStr">
        <is>
          <t>991001516199702656</t>
        </is>
      </c>
      <c r="AZ1153" t="inlineStr">
        <is>
          <t>991001516199702656</t>
        </is>
      </c>
      <c r="BA1153" t="inlineStr">
        <is>
          <t>2265742180002656</t>
        </is>
      </c>
      <c r="BB1153" t="inlineStr">
        <is>
          <t>BOOK</t>
        </is>
      </c>
      <c r="BE1153" t="inlineStr">
        <is>
          <t>30001000600033</t>
        </is>
      </c>
      <c r="BF1153" t="inlineStr">
        <is>
          <t>893826832</t>
        </is>
      </c>
    </row>
    <row r="1154">
      <c r="A1154" t="inlineStr">
        <is>
          <t>No</t>
        </is>
      </c>
      <c r="B1154" t="inlineStr">
        <is>
          <t>CUHSL</t>
        </is>
      </c>
      <c r="C1154" t="inlineStr">
        <is>
          <t>SHELVES</t>
        </is>
      </c>
      <c r="D1154" t="inlineStr">
        <is>
          <t>WY 105 Q5 1966</t>
        </is>
      </c>
      <c r="E1154" t="inlineStr">
        <is>
          <t>0                      WY 0105000Q  5           1966</t>
        </is>
      </c>
      <c r="F1154" t="inlineStr">
        <is>
          <t>Quest for quality : a self evaluation guide to patient care / prepared by the Committee on Quality of Patient Care, Department of Hospital Nursing.</t>
        </is>
      </c>
      <c r="H1154" t="inlineStr">
        <is>
          <t>No</t>
        </is>
      </c>
      <c r="I1154" t="inlineStr">
        <is>
          <t>1</t>
        </is>
      </c>
      <c r="J1154" t="inlineStr">
        <is>
          <t>No</t>
        </is>
      </c>
      <c r="K1154" t="inlineStr">
        <is>
          <t>No</t>
        </is>
      </c>
      <c r="L1154" t="inlineStr">
        <is>
          <t>0</t>
        </is>
      </c>
      <c r="N1154" t="inlineStr">
        <is>
          <t>New York : National League for Nursing, 1966.</t>
        </is>
      </c>
      <c r="O1154" t="inlineStr">
        <is>
          <t>1966</t>
        </is>
      </c>
      <c r="Q1154" t="inlineStr">
        <is>
          <t>eng</t>
        </is>
      </c>
      <c r="R1154" t="inlineStr">
        <is>
          <t xml:space="preserve">xx </t>
        </is>
      </c>
      <c r="S1154" t="inlineStr">
        <is>
          <t>NLN pub. no. 20-1212</t>
        </is>
      </c>
      <c r="T1154" t="inlineStr">
        <is>
          <t xml:space="preserve">WY </t>
        </is>
      </c>
      <c r="U1154" t="n">
        <v>1</v>
      </c>
      <c r="V1154" t="n">
        <v>1</v>
      </c>
      <c r="W1154" t="inlineStr">
        <is>
          <t>1990-05-07</t>
        </is>
      </c>
      <c r="X1154" t="inlineStr">
        <is>
          <t>1990-05-07</t>
        </is>
      </c>
      <c r="Y1154" t="inlineStr">
        <is>
          <t>1990-05-07</t>
        </is>
      </c>
      <c r="Z1154" t="inlineStr">
        <is>
          <t>1990-05-07</t>
        </is>
      </c>
      <c r="AA1154" t="n">
        <v>27</v>
      </c>
      <c r="AB1154" t="n">
        <v>26</v>
      </c>
      <c r="AC1154" t="n">
        <v>26</v>
      </c>
      <c r="AD1154" t="n">
        <v>1</v>
      </c>
      <c r="AE1154" t="n">
        <v>1</v>
      </c>
      <c r="AF1154" t="n">
        <v>1</v>
      </c>
      <c r="AG1154" t="n">
        <v>1</v>
      </c>
      <c r="AH1154" t="n">
        <v>0</v>
      </c>
      <c r="AI1154" t="n">
        <v>0</v>
      </c>
      <c r="AJ1154" t="n">
        <v>0</v>
      </c>
      <c r="AK1154" t="n">
        <v>0</v>
      </c>
      <c r="AL1154" t="n">
        <v>1</v>
      </c>
      <c r="AM1154" t="n">
        <v>1</v>
      </c>
      <c r="AN1154" t="n">
        <v>0</v>
      </c>
      <c r="AO1154" t="n">
        <v>0</v>
      </c>
      <c r="AP1154" t="n">
        <v>0</v>
      </c>
      <c r="AQ1154" t="n">
        <v>0</v>
      </c>
      <c r="AR1154" t="inlineStr">
        <is>
          <t>No</t>
        </is>
      </c>
      <c r="AS1154" t="inlineStr">
        <is>
          <t>No</t>
        </is>
      </c>
      <c r="AU1154">
        <f>HYPERLINK("https://creighton-primo.hosted.exlibrisgroup.com/primo-explore/search?tab=default_tab&amp;search_scope=EVERYTHING&amp;vid=01CRU&amp;lang=en_US&amp;offset=0&amp;query=any,contains,991001384009702656","Catalog Record")</f>
        <v/>
      </c>
      <c r="AV1154">
        <f>HYPERLINK("http://www.worldcat.org/oclc/1399858","WorldCat Record")</f>
        <v/>
      </c>
      <c r="AW1154" t="inlineStr">
        <is>
          <t>4020065569:eng</t>
        </is>
      </c>
      <c r="AX1154" t="inlineStr">
        <is>
          <t>1399858</t>
        </is>
      </c>
      <c r="AY1154" t="inlineStr">
        <is>
          <t>991001384009702656</t>
        </is>
      </c>
      <c r="AZ1154" t="inlineStr">
        <is>
          <t>991001384009702656</t>
        </is>
      </c>
      <c r="BA1154" t="inlineStr">
        <is>
          <t>2264031240002656</t>
        </is>
      </c>
      <c r="BB1154" t="inlineStr">
        <is>
          <t>BOOK</t>
        </is>
      </c>
      <c r="BE1154" t="inlineStr">
        <is>
          <t>30001000463317</t>
        </is>
      </c>
      <c r="BF1154" t="inlineStr">
        <is>
          <t>893451123</t>
        </is>
      </c>
    </row>
    <row r="1155">
      <c r="A1155" t="inlineStr">
        <is>
          <t>No</t>
        </is>
      </c>
      <c r="B1155" t="inlineStr">
        <is>
          <t>CUHSL</t>
        </is>
      </c>
      <c r="C1155" t="inlineStr">
        <is>
          <t>SHELVES</t>
        </is>
      </c>
      <c r="D1155" t="inlineStr">
        <is>
          <t>WY 105 R211p 1983</t>
        </is>
      </c>
      <c r="E1155" t="inlineStr">
        <is>
          <t>0                      WY 0105000R  211p        1983</t>
        </is>
      </c>
      <c r="F1155" t="inlineStr">
        <is>
          <t>Patient education : issues, principles, and guidelines / Sally H. Rankin, Karen L. Duffy, with a contribution from Diane Shea Pravikoff.</t>
        </is>
      </c>
      <c r="H1155" t="inlineStr">
        <is>
          <t>No</t>
        </is>
      </c>
      <c r="I1155" t="inlineStr">
        <is>
          <t>1</t>
        </is>
      </c>
      <c r="J1155" t="inlineStr">
        <is>
          <t>No</t>
        </is>
      </c>
      <c r="K1155" t="inlineStr">
        <is>
          <t>No</t>
        </is>
      </c>
      <c r="L1155" t="inlineStr">
        <is>
          <t>0</t>
        </is>
      </c>
      <c r="M1155" t="inlineStr">
        <is>
          <t>Rankin, Sally H.</t>
        </is>
      </c>
      <c r="N1155" t="inlineStr">
        <is>
          <t>Philadelphia : J.B. Lippincott, c1983.</t>
        </is>
      </c>
      <c r="O1155" t="inlineStr">
        <is>
          <t>1983</t>
        </is>
      </c>
      <c r="Q1155" t="inlineStr">
        <is>
          <t>eng</t>
        </is>
      </c>
      <c r="R1155" t="inlineStr">
        <is>
          <t>pau</t>
        </is>
      </c>
      <c r="T1155" t="inlineStr">
        <is>
          <t xml:space="preserve">WY </t>
        </is>
      </c>
      <c r="U1155" t="n">
        <v>6</v>
      </c>
      <c r="V1155" t="n">
        <v>6</v>
      </c>
      <c r="W1155" t="inlineStr">
        <is>
          <t>1998-12-02</t>
        </is>
      </c>
      <c r="X1155" t="inlineStr">
        <is>
          <t>1998-12-02</t>
        </is>
      </c>
      <c r="Y1155" t="inlineStr">
        <is>
          <t>1987-12-30</t>
        </is>
      </c>
      <c r="Z1155" t="inlineStr">
        <is>
          <t>1987-12-30</t>
        </is>
      </c>
      <c r="AA1155" t="n">
        <v>251</v>
      </c>
      <c r="AB1155" t="n">
        <v>199</v>
      </c>
      <c r="AC1155" t="n">
        <v>206</v>
      </c>
      <c r="AD1155" t="n">
        <v>3</v>
      </c>
      <c r="AE1155" t="n">
        <v>3</v>
      </c>
      <c r="AF1155" t="n">
        <v>7</v>
      </c>
      <c r="AG1155" t="n">
        <v>7</v>
      </c>
      <c r="AH1155" t="n">
        <v>1</v>
      </c>
      <c r="AI1155" t="n">
        <v>1</v>
      </c>
      <c r="AJ1155" t="n">
        <v>2</v>
      </c>
      <c r="AK1155" t="n">
        <v>2</v>
      </c>
      <c r="AL1155" t="n">
        <v>4</v>
      </c>
      <c r="AM1155" t="n">
        <v>4</v>
      </c>
      <c r="AN1155" t="n">
        <v>1</v>
      </c>
      <c r="AO1155" t="n">
        <v>1</v>
      </c>
      <c r="AP1155" t="n">
        <v>0</v>
      </c>
      <c r="AQ1155" t="n">
        <v>0</v>
      </c>
      <c r="AR1155" t="inlineStr">
        <is>
          <t>No</t>
        </is>
      </c>
      <c r="AS1155" t="inlineStr">
        <is>
          <t>Yes</t>
        </is>
      </c>
      <c r="AT1155">
        <f>HYPERLINK("http://catalog.hathitrust.org/Record/000114306","HathiTrust Record")</f>
        <v/>
      </c>
      <c r="AU1155">
        <f>HYPERLINK("https://creighton-primo.hosted.exlibrisgroup.com/primo-explore/search?tab=default_tab&amp;search_scope=EVERYTHING&amp;vid=01CRU&amp;lang=en_US&amp;offset=0&amp;query=any,contains,991001152179702656","Catalog Record")</f>
        <v/>
      </c>
      <c r="AV1155">
        <f>HYPERLINK("http://www.worldcat.org/oclc/9084369","WorldCat Record")</f>
        <v/>
      </c>
      <c r="AW1155" t="inlineStr">
        <is>
          <t>3859688034:eng</t>
        </is>
      </c>
      <c r="AX1155" t="inlineStr">
        <is>
          <t>9084369</t>
        </is>
      </c>
      <c r="AY1155" t="inlineStr">
        <is>
          <t>991001152179702656</t>
        </is>
      </c>
      <c r="AZ1155" t="inlineStr">
        <is>
          <t>991001152179702656</t>
        </is>
      </c>
      <c r="BA1155" t="inlineStr">
        <is>
          <t>2256486440002656</t>
        </is>
      </c>
      <c r="BB1155" t="inlineStr">
        <is>
          <t>BOOK</t>
        </is>
      </c>
      <c r="BD1155" t="inlineStr">
        <is>
          <t>9780397543984</t>
        </is>
      </c>
      <c r="BE1155" t="inlineStr">
        <is>
          <t>30001000296675</t>
        </is>
      </c>
      <c r="BF1155" t="inlineStr">
        <is>
          <t>893731707</t>
        </is>
      </c>
    </row>
    <row r="1156">
      <c r="A1156" t="inlineStr">
        <is>
          <t>No</t>
        </is>
      </c>
      <c r="B1156" t="inlineStr">
        <is>
          <t>CUHSL</t>
        </is>
      </c>
      <c r="C1156" t="inlineStr">
        <is>
          <t>SHELVES</t>
        </is>
      </c>
      <c r="D1156" t="inlineStr">
        <is>
          <t>WY 105 R744 1977</t>
        </is>
      </c>
      <c r="E1156" t="inlineStr">
        <is>
          <t>0                      WY 0105000R  744         1977</t>
        </is>
      </c>
      <c r="F1156" t="inlineStr">
        <is>
          <t>Role expectations : nurse administrators, governing boards, chief executive officers.</t>
        </is>
      </c>
      <c r="H1156" t="inlineStr">
        <is>
          <t>No</t>
        </is>
      </c>
      <c r="I1156" t="inlineStr">
        <is>
          <t>1</t>
        </is>
      </c>
      <c r="J1156" t="inlineStr">
        <is>
          <t>No</t>
        </is>
      </c>
      <c r="K1156" t="inlineStr">
        <is>
          <t>No</t>
        </is>
      </c>
      <c r="L1156" t="inlineStr">
        <is>
          <t>0</t>
        </is>
      </c>
      <c r="N1156" t="inlineStr">
        <is>
          <t>New York : National League for Nursing, c1977.</t>
        </is>
      </c>
      <c r="O1156" t="inlineStr">
        <is>
          <t>1977</t>
        </is>
      </c>
      <c r="Q1156" t="inlineStr">
        <is>
          <t>eng</t>
        </is>
      </c>
      <c r="R1156" t="inlineStr">
        <is>
          <t>nyu</t>
        </is>
      </c>
      <c r="S1156" t="inlineStr">
        <is>
          <t>NLN pub. no. 20-1693</t>
        </is>
      </c>
      <c r="T1156" t="inlineStr">
        <is>
          <t xml:space="preserve">WY </t>
        </is>
      </c>
      <c r="U1156" t="n">
        <v>4</v>
      </c>
      <c r="V1156" t="n">
        <v>4</v>
      </c>
      <c r="W1156" t="inlineStr">
        <is>
          <t>1994-09-16</t>
        </is>
      </c>
      <c r="X1156" t="inlineStr">
        <is>
          <t>1994-09-16</t>
        </is>
      </c>
      <c r="Y1156" t="inlineStr">
        <is>
          <t>1990-05-10</t>
        </is>
      </c>
      <c r="Z1156" t="inlineStr">
        <is>
          <t>1990-05-10</t>
        </is>
      </c>
      <c r="AA1156" t="n">
        <v>111</v>
      </c>
      <c r="AB1156" t="n">
        <v>100</v>
      </c>
      <c r="AC1156" t="n">
        <v>102</v>
      </c>
      <c r="AD1156" t="n">
        <v>2</v>
      </c>
      <c r="AE1156" t="n">
        <v>2</v>
      </c>
      <c r="AF1156" t="n">
        <v>4</v>
      </c>
      <c r="AG1156" t="n">
        <v>4</v>
      </c>
      <c r="AH1156" t="n">
        <v>0</v>
      </c>
      <c r="AI1156" t="n">
        <v>0</v>
      </c>
      <c r="AJ1156" t="n">
        <v>1</v>
      </c>
      <c r="AK1156" t="n">
        <v>1</v>
      </c>
      <c r="AL1156" t="n">
        <v>4</v>
      </c>
      <c r="AM1156" t="n">
        <v>4</v>
      </c>
      <c r="AN1156" t="n">
        <v>0</v>
      </c>
      <c r="AO1156" t="n">
        <v>0</v>
      </c>
      <c r="AP1156" t="n">
        <v>0</v>
      </c>
      <c r="AQ1156" t="n">
        <v>0</v>
      </c>
      <c r="AR1156" t="inlineStr">
        <is>
          <t>No</t>
        </is>
      </c>
      <c r="AS1156" t="inlineStr">
        <is>
          <t>Yes</t>
        </is>
      </c>
      <c r="AT1156">
        <f>HYPERLINK("http://catalog.hathitrust.org/Record/000090230","HathiTrust Record")</f>
        <v/>
      </c>
      <c r="AU1156">
        <f>HYPERLINK("https://creighton-primo.hosted.exlibrisgroup.com/primo-explore/search?tab=default_tab&amp;search_scope=EVERYTHING&amp;vid=01CRU&amp;lang=en_US&amp;offset=0&amp;query=any,contains,991001448089702656","Catalog Record")</f>
        <v/>
      </c>
      <c r="AV1156">
        <f>HYPERLINK("http://www.worldcat.org/oclc/4468347","WorldCat Record")</f>
        <v/>
      </c>
      <c r="AW1156" t="inlineStr">
        <is>
          <t>14685428:eng</t>
        </is>
      </c>
      <c r="AX1156" t="inlineStr">
        <is>
          <t>4468347</t>
        </is>
      </c>
      <c r="AY1156" t="inlineStr">
        <is>
          <t>991001448089702656</t>
        </is>
      </c>
      <c r="AZ1156" t="inlineStr">
        <is>
          <t>991001448089702656</t>
        </is>
      </c>
      <c r="BA1156" t="inlineStr">
        <is>
          <t>2255649010002656</t>
        </is>
      </c>
      <c r="BB1156" t="inlineStr">
        <is>
          <t>BOOK</t>
        </is>
      </c>
      <c r="BE1156" t="inlineStr">
        <is>
          <t>30001001881434</t>
        </is>
      </c>
      <c r="BF1156" t="inlineStr">
        <is>
          <t>893451215</t>
        </is>
      </c>
    </row>
    <row r="1157">
      <c r="A1157" t="inlineStr">
        <is>
          <t>No</t>
        </is>
      </c>
      <c r="B1157" t="inlineStr">
        <is>
          <t>CUHSL</t>
        </is>
      </c>
      <c r="C1157" t="inlineStr">
        <is>
          <t>SHELVES</t>
        </is>
      </c>
      <c r="D1157" t="inlineStr">
        <is>
          <t>WY 105 R745 1976</t>
        </is>
      </c>
      <c r="E1157" t="inlineStr">
        <is>
          <t>0                      WY 0105000R  745         1976</t>
        </is>
      </c>
      <c r="F1157" t="inlineStr">
        <is>
          <t>The Role of the director of nursing service.</t>
        </is>
      </c>
      <c r="H1157" t="inlineStr">
        <is>
          <t>No</t>
        </is>
      </c>
      <c r="I1157" t="inlineStr">
        <is>
          <t>1</t>
        </is>
      </c>
      <c r="J1157" t="inlineStr">
        <is>
          <t>No</t>
        </is>
      </c>
      <c r="K1157" t="inlineStr">
        <is>
          <t>No</t>
        </is>
      </c>
      <c r="L1157" t="inlineStr">
        <is>
          <t>0</t>
        </is>
      </c>
      <c r="N1157" t="inlineStr">
        <is>
          <t>New York : National League for Nursing, c1977.</t>
        </is>
      </c>
      <c r="O1157" t="inlineStr">
        <is>
          <t>1977</t>
        </is>
      </c>
      <c r="Q1157" t="inlineStr">
        <is>
          <t>eng</t>
        </is>
      </c>
      <c r="R1157" t="inlineStr">
        <is>
          <t>xxu</t>
        </is>
      </c>
      <c r="S1157" t="inlineStr">
        <is>
          <t>NLN pub. no. 20-1646</t>
        </is>
      </c>
      <c r="T1157" t="inlineStr">
        <is>
          <t xml:space="preserve">WY </t>
        </is>
      </c>
      <c r="U1157" t="n">
        <v>2</v>
      </c>
      <c r="V1157" t="n">
        <v>2</v>
      </c>
      <c r="W1157" t="inlineStr">
        <is>
          <t>1990-05-10</t>
        </is>
      </c>
      <c r="X1157" t="inlineStr">
        <is>
          <t>1990-05-10</t>
        </is>
      </c>
      <c r="Y1157" t="inlineStr">
        <is>
          <t>1987-11-04</t>
        </is>
      </c>
      <c r="Z1157" t="inlineStr">
        <is>
          <t>1987-11-04</t>
        </is>
      </c>
      <c r="AA1157" t="n">
        <v>97</v>
      </c>
      <c r="AB1157" t="n">
        <v>82</v>
      </c>
      <c r="AC1157" t="n">
        <v>84</v>
      </c>
      <c r="AD1157" t="n">
        <v>3</v>
      </c>
      <c r="AE1157" t="n">
        <v>3</v>
      </c>
      <c r="AF1157" t="n">
        <v>4</v>
      </c>
      <c r="AG1157" t="n">
        <v>4</v>
      </c>
      <c r="AH1157" t="n">
        <v>1</v>
      </c>
      <c r="AI1157" t="n">
        <v>1</v>
      </c>
      <c r="AJ1157" t="n">
        <v>0</v>
      </c>
      <c r="AK1157" t="n">
        <v>0</v>
      </c>
      <c r="AL1157" t="n">
        <v>2</v>
      </c>
      <c r="AM1157" t="n">
        <v>2</v>
      </c>
      <c r="AN1157" t="n">
        <v>1</v>
      </c>
      <c r="AO1157" t="n">
        <v>1</v>
      </c>
      <c r="AP1157" t="n">
        <v>0</v>
      </c>
      <c r="AQ1157" t="n">
        <v>0</v>
      </c>
      <c r="AR1157" t="inlineStr">
        <is>
          <t>No</t>
        </is>
      </c>
      <c r="AS1157" t="inlineStr">
        <is>
          <t>Yes</t>
        </is>
      </c>
      <c r="AT1157">
        <f>HYPERLINK("http://catalog.hathitrust.org/Record/000019433","HathiTrust Record")</f>
        <v/>
      </c>
      <c r="AU1157">
        <f>HYPERLINK("https://creighton-primo.hosted.exlibrisgroup.com/primo-explore/search?tab=default_tab&amp;search_scope=EVERYTHING&amp;vid=01CRU&amp;lang=en_US&amp;offset=0&amp;query=any,contains,991001384779702656","Catalog Record")</f>
        <v/>
      </c>
      <c r="AV1157">
        <f>HYPERLINK("http://www.worldcat.org/oclc/2738971","WorldCat Record")</f>
        <v/>
      </c>
      <c r="AW1157" t="inlineStr">
        <is>
          <t>6189749:eng</t>
        </is>
      </c>
      <c r="AX1157" t="inlineStr">
        <is>
          <t>2738971</t>
        </is>
      </c>
      <c r="AY1157" t="inlineStr">
        <is>
          <t>991001384779702656</t>
        </is>
      </c>
      <c r="AZ1157" t="inlineStr">
        <is>
          <t>991001384779702656</t>
        </is>
      </c>
      <c r="BA1157" t="inlineStr">
        <is>
          <t>2266484150002656</t>
        </is>
      </c>
      <c r="BB1157" t="inlineStr">
        <is>
          <t>BOOK</t>
        </is>
      </c>
      <c r="BE1157" t="inlineStr">
        <is>
          <t>30001000463507</t>
        </is>
      </c>
      <c r="BF1157" t="inlineStr">
        <is>
          <t>893727526</t>
        </is>
      </c>
    </row>
    <row r="1158">
      <c r="A1158" t="inlineStr">
        <is>
          <t>No</t>
        </is>
      </c>
      <c r="B1158" t="inlineStr">
        <is>
          <t>CUHSL</t>
        </is>
      </c>
      <c r="C1158" t="inlineStr">
        <is>
          <t>SHELVES</t>
        </is>
      </c>
      <c r="D1158" t="inlineStr">
        <is>
          <t>WY 105 S465 1967</t>
        </is>
      </c>
      <c r="E1158" t="inlineStr">
        <is>
          <t>0                      WY 0105000S  465         1967</t>
        </is>
      </c>
      <c r="F1158" t="inlineStr">
        <is>
          <t>A self-evaluation guide for nursing services in hospitals and related institutions.</t>
        </is>
      </c>
      <c r="H1158" t="inlineStr">
        <is>
          <t>No</t>
        </is>
      </c>
      <c r="I1158" t="inlineStr">
        <is>
          <t>1</t>
        </is>
      </c>
      <c r="J1158" t="inlineStr">
        <is>
          <t>No</t>
        </is>
      </c>
      <c r="K1158" t="inlineStr">
        <is>
          <t>No</t>
        </is>
      </c>
      <c r="L1158" t="inlineStr">
        <is>
          <t>0</t>
        </is>
      </c>
      <c r="N1158" t="inlineStr">
        <is>
          <t>New York : National League for Nursing, 1967.</t>
        </is>
      </c>
      <c r="O1158" t="inlineStr">
        <is>
          <t>1967</t>
        </is>
      </c>
      <c r="Q1158" t="inlineStr">
        <is>
          <t>eng</t>
        </is>
      </c>
      <c r="R1158" t="inlineStr">
        <is>
          <t xml:space="preserve">xx </t>
        </is>
      </c>
      <c r="S1158" t="inlineStr">
        <is>
          <t>NLN pub. no. 20-1291</t>
        </is>
      </c>
      <c r="T1158" t="inlineStr">
        <is>
          <t xml:space="preserve">WY </t>
        </is>
      </c>
      <c r="U1158" t="n">
        <v>1</v>
      </c>
      <c r="V1158" t="n">
        <v>1</v>
      </c>
      <c r="W1158" t="inlineStr">
        <is>
          <t>1990-05-04</t>
        </is>
      </c>
      <c r="X1158" t="inlineStr">
        <is>
          <t>1990-05-04</t>
        </is>
      </c>
      <c r="Y1158" t="inlineStr">
        <is>
          <t>1987-11-04</t>
        </is>
      </c>
      <c r="Z1158" t="inlineStr">
        <is>
          <t>1987-11-04</t>
        </is>
      </c>
      <c r="AA1158" t="n">
        <v>47</v>
      </c>
      <c r="AB1158" t="n">
        <v>40</v>
      </c>
      <c r="AC1158" t="n">
        <v>40</v>
      </c>
      <c r="AD1158" t="n">
        <v>1</v>
      </c>
      <c r="AE1158" t="n">
        <v>1</v>
      </c>
      <c r="AF1158" t="n">
        <v>2</v>
      </c>
      <c r="AG1158" t="n">
        <v>2</v>
      </c>
      <c r="AH1158" t="n">
        <v>0</v>
      </c>
      <c r="AI1158" t="n">
        <v>0</v>
      </c>
      <c r="AJ1158" t="n">
        <v>0</v>
      </c>
      <c r="AK1158" t="n">
        <v>0</v>
      </c>
      <c r="AL1158" t="n">
        <v>2</v>
      </c>
      <c r="AM1158" t="n">
        <v>2</v>
      </c>
      <c r="AN1158" t="n">
        <v>0</v>
      </c>
      <c r="AO1158" t="n">
        <v>0</v>
      </c>
      <c r="AP1158" t="n">
        <v>0</v>
      </c>
      <c r="AQ1158" t="n">
        <v>0</v>
      </c>
      <c r="AR1158" t="inlineStr">
        <is>
          <t>No</t>
        </is>
      </c>
      <c r="AS1158" t="inlineStr">
        <is>
          <t>No</t>
        </is>
      </c>
      <c r="AU1158">
        <f>HYPERLINK("https://creighton-primo.hosted.exlibrisgroup.com/primo-explore/search?tab=default_tab&amp;search_scope=EVERYTHING&amp;vid=01CRU&amp;lang=en_US&amp;offset=0&amp;query=any,contains,991001384129702656","Catalog Record")</f>
        <v/>
      </c>
      <c r="AV1158">
        <f>HYPERLINK("http://www.worldcat.org/oclc/14503531","WorldCat Record")</f>
        <v/>
      </c>
      <c r="AW1158" t="inlineStr">
        <is>
          <t>8077093:eng</t>
        </is>
      </c>
      <c r="AX1158" t="inlineStr">
        <is>
          <t>14503531</t>
        </is>
      </c>
      <c r="AY1158" t="inlineStr">
        <is>
          <t>991001384129702656</t>
        </is>
      </c>
      <c r="AZ1158" t="inlineStr">
        <is>
          <t>991001384129702656</t>
        </is>
      </c>
      <c r="BA1158" t="inlineStr">
        <is>
          <t>2270255550002656</t>
        </is>
      </c>
      <c r="BB1158" t="inlineStr">
        <is>
          <t>BOOK</t>
        </is>
      </c>
      <c r="BE1158" t="inlineStr">
        <is>
          <t>30001000463358</t>
        </is>
      </c>
      <c r="BF1158" t="inlineStr">
        <is>
          <t>893374489</t>
        </is>
      </c>
    </row>
    <row r="1159">
      <c r="A1159" t="inlineStr">
        <is>
          <t>No</t>
        </is>
      </c>
      <c r="B1159" t="inlineStr">
        <is>
          <t>CUHSL</t>
        </is>
      </c>
      <c r="C1159" t="inlineStr">
        <is>
          <t>SHELVES</t>
        </is>
      </c>
      <c r="D1159" t="inlineStr">
        <is>
          <t>WY 105 S844f 1983</t>
        </is>
      </c>
      <c r="E1159" t="inlineStr">
        <is>
          <t>0                      WY 0105000S  844f        1983</t>
        </is>
      </c>
      <c r="F1159" t="inlineStr">
        <is>
          <t>First-line patient care management / Barbara J. Stevens.</t>
        </is>
      </c>
      <c r="H1159" t="inlineStr">
        <is>
          <t>No</t>
        </is>
      </c>
      <c r="I1159" t="inlineStr">
        <is>
          <t>1</t>
        </is>
      </c>
      <c r="J1159" t="inlineStr">
        <is>
          <t>No</t>
        </is>
      </c>
      <c r="K1159" t="inlineStr">
        <is>
          <t>No</t>
        </is>
      </c>
      <c r="L1159" t="inlineStr">
        <is>
          <t>0</t>
        </is>
      </c>
      <c r="M1159" t="inlineStr">
        <is>
          <t>Barnum, Barbara Stevens.</t>
        </is>
      </c>
      <c r="O1159" t="inlineStr">
        <is>
          <t>1983</t>
        </is>
      </c>
      <c r="Q1159" t="inlineStr">
        <is>
          <t>eng</t>
        </is>
      </c>
      <c r="R1159" t="inlineStr">
        <is>
          <t>mdu</t>
        </is>
      </c>
      <c r="T1159" t="inlineStr">
        <is>
          <t xml:space="preserve">WY </t>
        </is>
      </c>
      <c r="U1159" t="n">
        <v>1</v>
      </c>
      <c r="V1159" t="n">
        <v>1</v>
      </c>
      <c r="W1159" t="inlineStr">
        <is>
          <t>1989-09-11</t>
        </is>
      </c>
      <c r="X1159" t="inlineStr">
        <is>
          <t>1989-09-11</t>
        </is>
      </c>
      <c r="Y1159" t="inlineStr">
        <is>
          <t>1987-12-30</t>
        </is>
      </c>
      <c r="Z1159" t="inlineStr">
        <is>
          <t>1987-12-30</t>
        </is>
      </c>
      <c r="AA1159" t="n">
        <v>258</v>
      </c>
      <c r="AB1159" t="n">
        <v>221</v>
      </c>
      <c r="AC1159" t="n">
        <v>316</v>
      </c>
      <c r="AD1159" t="n">
        <v>2</v>
      </c>
      <c r="AE1159" t="n">
        <v>3</v>
      </c>
      <c r="AF1159" t="n">
        <v>6</v>
      </c>
      <c r="AG1159" t="n">
        <v>10</v>
      </c>
      <c r="AH1159" t="n">
        <v>2</v>
      </c>
      <c r="AI1159" t="n">
        <v>4</v>
      </c>
      <c r="AJ1159" t="n">
        <v>1</v>
      </c>
      <c r="AK1159" t="n">
        <v>1</v>
      </c>
      <c r="AL1159" t="n">
        <v>3</v>
      </c>
      <c r="AM1159" t="n">
        <v>4</v>
      </c>
      <c r="AN1159" t="n">
        <v>0</v>
      </c>
      <c r="AO1159" t="n">
        <v>1</v>
      </c>
      <c r="AP1159" t="n">
        <v>0</v>
      </c>
      <c r="AQ1159" t="n">
        <v>0</v>
      </c>
      <c r="AR1159" t="inlineStr">
        <is>
          <t>No</t>
        </is>
      </c>
      <c r="AS1159" t="inlineStr">
        <is>
          <t>Yes</t>
        </is>
      </c>
      <c r="AT1159">
        <f>HYPERLINK("http://catalog.hathitrust.org/Record/000313572","HathiTrust Record")</f>
        <v/>
      </c>
      <c r="AU1159">
        <f>HYPERLINK("https://creighton-primo.hosted.exlibrisgroup.com/primo-explore/search?tab=default_tab&amp;search_scope=EVERYTHING&amp;vid=01CRU&amp;lang=en_US&amp;offset=0&amp;query=any,contains,991001083419702656","Catalog Record")</f>
        <v/>
      </c>
      <c r="AV1159">
        <f>HYPERLINK("http://www.worldcat.org/oclc/8708951","WorldCat Record")</f>
        <v/>
      </c>
      <c r="AW1159" t="inlineStr">
        <is>
          <t>3133600154:eng</t>
        </is>
      </c>
      <c r="AX1159" t="inlineStr">
        <is>
          <t>8708951</t>
        </is>
      </c>
      <c r="AY1159" t="inlineStr">
        <is>
          <t>991001083419702656</t>
        </is>
      </c>
      <c r="AZ1159" t="inlineStr">
        <is>
          <t>991001083419702656</t>
        </is>
      </c>
      <c r="BA1159" t="inlineStr">
        <is>
          <t>2272536170002656</t>
        </is>
      </c>
      <c r="BB1159" t="inlineStr">
        <is>
          <t>BOOK</t>
        </is>
      </c>
      <c r="BD1159" t="inlineStr">
        <is>
          <t>9780894438455</t>
        </is>
      </c>
      <c r="BE1159" t="inlineStr">
        <is>
          <t>30001000258071</t>
        </is>
      </c>
      <c r="BF1159" t="inlineStr">
        <is>
          <t>893450857</t>
        </is>
      </c>
    </row>
    <row r="1160">
      <c r="A1160" t="inlineStr">
        <is>
          <t>No</t>
        </is>
      </c>
      <c r="B1160" t="inlineStr">
        <is>
          <t>CUHSL</t>
        </is>
      </c>
      <c r="C1160" t="inlineStr">
        <is>
          <t>SHELVES</t>
        </is>
      </c>
      <c r="D1160" t="inlineStr">
        <is>
          <t>WY 105 S846m 1978</t>
        </is>
      </c>
      <c r="E1160" t="inlineStr">
        <is>
          <t>0                      WY 0105000S  846m        1978</t>
        </is>
      </c>
      <c r="F1160" t="inlineStr">
        <is>
          <t>Management and leadership in nursing / Warren F. Stevens.</t>
        </is>
      </c>
      <c r="H1160" t="inlineStr">
        <is>
          <t>No</t>
        </is>
      </c>
      <c r="I1160" t="inlineStr">
        <is>
          <t>1</t>
        </is>
      </c>
      <c r="J1160" t="inlineStr">
        <is>
          <t>No</t>
        </is>
      </c>
      <c r="K1160" t="inlineStr">
        <is>
          <t>No</t>
        </is>
      </c>
      <c r="L1160" t="inlineStr">
        <is>
          <t>0</t>
        </is>
      </c>
      <c r="M1160" t="inlineStr">
        <is>
          <t>Stevens, Warren F.</t>
        </is>
      </c>
      <c r="N1160" t="inlineStr">
        <is>
          <t>New York : McGraw-Hill, c1978.</t>
        </is>
      </c>
      <c r="O1160" t="inlineStr">
        <is>
          <t>1978</t>
        </is>
      </c>
      <c r="Q1160" t="inlineStr">
        <is>
          <t>eng</t>
        </is>
      </c>
      <c r="R1160" t="inlineStr">
        <is>
          <t>nyu</t>
        </is>
      </c>
      <c r="T1160" t="inlineStr">
        <is>
          <t xml:space="preserve">WY </t>
        </is>
      </c>
      <c r="U1160" t="n">
        <v>3</v>
      </c>
      <c r="V1160" t="n">
        <v>3</v>
      </c>
      <c r="W1160" t="inlineStr">
        <is>
          <t>1995-10-29</t>
        </is>
      </c>
      <c r="X1160" t="inlineStr">
        <is>
          <t>1995-10-29</t>
        </is>
      </c>
      <c r="Y1160" t="inlineStr">
        <is>
          <t>1987-10-22</t>
        </is>
      </c>
      <c r="Z1160" t="inlineStr">
        <is>
          <t>1987-10-22</t>
        </is>
      </c>
      <c r="AA1160" t="n">
        <v>264</v>
      </c>
      <c r="AB1160" t="n">
        <v>202</v>
      </c>
      <c r="AC1160" t="n">
        <v>204</v>
      </c>
      <c r="AD1160" t="n">
        <v>3</v>
      </c>
      <c r="AE1160" t="n">
        <v>3</v>
      </c>
      <c r="AF1160" t="n">
        <v>8</v>
      </c>
      <c r="AG1160" t="n">
        <v>8</v>
      </c>
      <c r="AH1160" t="n">
        <v>2</v>
      </c>
      <c r="AI1160" t="n">
        <v>2</v>
      </c>
      <c r="AJ1160" t="n">
        <v>2</v>
      </c>
      <c r="AK1160" t="n">
        <v>2</v>
      </c>
      <c r="AL1160" t="n">
        <v>3</v>
      </c>
      <c r="AM1160" t="n">
        <v>3</v>
      </c>
      <c r="AN1160" t="n">
        <v>2</v>
      </c>
      <c r="AO1160" t="n">
        <v>2</v>
      </c>
      <c r="AP1160" t="n">
        <v>0</v>
      </c>
      <c r="AQ1160" t="n">
        <v>0</v>
      </c>
      <c r="AR1160" t="inlineStr">
        <is>
          <t>No</t>
        </is>
      </c>
      <c r="AS1160" t="inlineStr">
        <is>
          <t>Yes</t>
        </is>
      </c>
      <c r="AT1160">
        <f>HYPERLINK("http://catalog.hathitrust.org/Record/000251886","HathiTrust Record")</f>
        <v/>
      </c>
      <c r="AU1160">
        <f>HYPERLINK("https://creighton-primo.hosted.exlibrisgroup.com/primo-explore/search?tab=default_tab&amp;search_scope=EVERYTHING&amp;vid=01CRU&amp;lang=en_US&amp;offset=0&amp;query=any,contains,991000736449702656","Catalog Record")</f>
        <v/>
      </c>
      <c r="AV1160">
        <f>HYPERLINK("http://www.worldcat.org/oclc/3017247","WorldCat Record")</f>
        <v/>
      </c>
      <c r="AW1160" t="inlineStr">
        <is>
          <t>406534:eng</t>
        </is>
      </c>
      <c r="AX1160" t="inlineStr">
        <is>
          <t>3017247</t>
        </is>
      </c>
      <c r="AY1160" t="inlineStr">
        <is>
          <t>991000736449702656</t>
        </is>
      </c>
      <c r="AZ1160" t="inlineStr">
        <is>
          <t>991000736449702656</t>
        </is>
      </c>
      <c r="BA1160" t="inlineStr">
        <is>
          <t>2269874420002656</t>
        </is>
      </c>
      <c r="BB1160" t="inlineStr">
        <is>
          <t>BOOK</t>
        </is>
      </c>
      <c r="BD1160" t="inlineStr">
        <is>
          <t>9780070612600</t>
        </is>
      </c>
      <c r="BE1160" t="inlineStr">
        <is>
          <t>30001000041725</t>
        </is>
      </c>
      <c r="BF1160" t="inlineStr">
        <is>
          <t>893373549</t>
        </is>
      </c>
    </row>
    <row r="1161">
      <c r="A1161" t="inlineStr">
        <is>
          <t>No</t>
        </is>
      </c>
      <c r="B1161" t="inlineStr">
        <is>
          <t>CUHSL</t>
        </is>
      </c>
      <c r="C1161" t="inlineStr">
        <is>
          <t>SHELVES</t>
        </is>
      </c>
      <c r="D1161" t="inlineStr">
        <is>
          <t>WY 105 S949ea 1997</t>
        </is>
      </c>
      <c r="E1161" t="inlineStr">
        <is>
          <t>0                      WY 0105000S  949ea       1997</t>
        </is>
      </c>
      <c r="F1161" t="inlineStr">
        <is>
          <t>Effective leadership and management in nursing / Eleanor J. Sullivan, Phillip J. Decker.</t>
        </is>
      </c>
      <c r="H1161" t="inlineStr">
        <is>
          <t>No</t>
        </is>
      </c>
      <c r="I1161" t="inlineStr">
        <is>
          <t>1</t>
        </is>
      </c>
      <c r="J1161" t="inlineStr">
        <is>
          <t>No</t>
        </is>
      </c>
      <c r="K1161" t="inlineStr">
        <is>
          <t>Yes</t>
        </is>
      </c>
      <c r="L1161" t="inlineStr">
        <is>
          <t>0</t>
        </is>
      </c>
      <c r="M1161" t="inlineStr">
        <is>
          <t>Sullivan, Eleanor J., 1938-</t>
        </is>
      </c>
      <c r="N1161" t="inlineStr">
        <is>
          <t>Menlo Park, Calif. : Addison-Wesley Nursing, c1997.</t>
        </is>
      </c>
      <c r="O1161" t="inlineStr">
        <is>
          <t>1996</t>
        </is>
      </c>
      <c r="P1161" t="inlineStr">
        <is>
          <t>4th ed.</t>
        </is>
      </c>
      <c r="Q1161" t="inlineStr">
        <is>
          <t>eng</t>
        </is>
      </c>
      <c r="R1161" t="inlineStr">
        <is>
          <t>cau</t>
        </is>
      </c>
      <c r="T1161" t="inlineStr">
        <is>
          <t xml:space="preserve">WY </t>
        </is>
      </c>
      <c r="U1161" t="n">
        <v>73</v>
      </c>
      <c r="V1161" t="n">
        <v>73</v>
      </c>
      <c r="W1161" t="inlineStr">
        <is>
          <t>2003-01-17</t>
        </is>
      </c>
      <c r="X1161" t="inlineStr">
        <is>
          <t>2003-01-17</t>
        </is>
      </c>
      <c r="Y1161" t="inlineStr">
        <is>
          <t>1997-08-25</t>
        </is>
      </c>
      <c r="Z1161" t="inlineStr">
        <is>
          <t>1997-08-25</t>
        </is>
      </c>
      <c r="AA1161" t="n">
        <v>227</v>
      </c>
      <c r="AB1161" t="n">
        <v>174</v>
      </c>
      <c r="AC1161" t="n">
        <v>841</v>
      </c>
      <c r="AD1161" t="n">
        <v>2</v>
      </c>
      <c r="AE1161" t="n">
        <v>5</v>
      </c>
      <c r="AF1161" t="n">
        <v>9</v>
      </c>
      <c r="AG1161" t="n">
        <v>25</v>
      </c>
      <c r="AH1161" t="n">
        <v>2</v>
      </c>
      <c r="AI1161" t="n">
        <v>11</v>
      </c>
      <c r="AJ1161" t="n">
        <v>2</v>
      </c>
      <c r="AK1161" t="n">
        <v>4</v>
      </c>
      <c r="AL1161" t="n">
        <v>5</v>
      </c>
      <c r="AM1161" t="n">
        <v>14</v>
      </c>
      <c r="AN1161" t="n">
        <v>1</v>
      </c>
      <c r="AO1161" t="n">
        <v>3</v>
      </c>
      <c r="AP1161" t="n">
        <v>0</v>
      </c>
      <c r="AQ1161" t="n">
        <v>0</v>
      </c>
      <c r="AR1161" t="inlineStr">
        <is>
          <t>No</t>
        </is>
      </c>
      <c r="AS1161" t="inlineStr">
        <is>
          <t>Yes</t>
        </is>
      </c>
      <c r="AT1161">
        <f>HYPERLINK("http://catalog.hathitrust.org/Record/003979374","HathiTrust Record")</f>
        <v/>
      </c>
      <c r="AU1161">
        <f>HYPERLINK("https://creighton-primo.hosted.exlibrisgroup.com/primo-explore/search?tab=default_tab&amp;search_scope=EVERYTHING&amp;vid=01CRU&amp;lang=en_US&amp;offset=0&amp;query=any,contains,991001263379702656","Catalog Record")</f>
        <v/>
      </c>
      <c r="AV1161">
        <f>HYPERLINK("http://www.worldcat.org/oclc/34663380","WorldCat Record")</f>
        <v/>
      </c>
      <c r="AW1161" t="inlineStr">
        <is>
          <t>658151:eng</t>
        </is>
      </c>
      <c r="AX1161" t="inlineStr">
        <is>
          <t>34663380</t>
        </is>
      </c>
      <c r="AY1161" t="inlineStr">
        <is>
          <t>991001263379702656</t>
        </is>
      </c>
      <c r="AZ1161" t="inlineStr">
        <is>
          <t>991001263379702656</t>
        </is>
      </c>
      <c r="BA1161" t="inlineStr">
        <is>
          <t>2262663750002656</t>
        </is>
      </c>
      <c r="BB1161" t="inlineStr">
        <is>
          <t>BOOK</t>
        </is>
      </c>
      <c r="BD1161" t="inlineStr">
        <is>
          <t>9780805378672</t>
        </is>
      </c>
      <c r="BE1161" t="inlineStr">
        <is>
          <t>30001003691815</t>
        </is>
      </c>
      <c r="BF1161" t="inlineStr">
        <is>
          <t>893369271</t>
        </is>
      </c>
    </row>
    <row r="1162">
      <c r="A1162" t="inlineStr">
        <is>
          <t>No</t>
        </is>
      </c>
      <c r="B1162" t="inlineStr">
        <is>
          <t>CUHSL</t>
        </is>
      </c>
      <c r="C1162" t="inlineStr">
        <is>
          <t>SHELVES</t>
        </is>
      </c>
      <c r="D1162" t="inlineStr">
        <is>
          <t>WY 105 S972i 1999</t>
        </is>
      </c>
      <c r="E1162" t="inlineStr">
        <is>
          <t>0                      WY 0105000S  972i        1999</t>
        </is>
      </c>
      <c r="F1162" t="inlineStr">
        <is>
          <t>Introductory management and leadership for nurses : an interactive text / Russell C. Swansburg, Richard J. Swansburg.</t>
        </is>
      </c>
      <c r="H1162" t="inlineStr">
        <is>
          <t>No</t>
        </is>
      </c>
      <c r="I1162" t="inlineStr">
        <is>
          <t>1</t>
        </is>
      </c>
      <c r="J1162" t="inlineStr">
        <is>
          <t>No</t>
        </is>
      </c>
      <c r="K1162" t="inlineStr">
        <is>
          <t>No</t>
        </is>
      </c>
      <c r="L1162" t="inlineStr">
        <is>
          <t>0</t>
        </is>
      </c>
      <c r="M1162" t="inlineStr">
        <is>
          <t>Swansburg, Russell C.</t>
        </is>
      </c>
      <c r="N1162" t="inlineStr">
        <is>
          <t>Sudbury, Mass. : Jones &amp; Bartlett Publishers, c1999.</t>
        </is>
      </c>
      <c r="O1162" t="inlineStr">
        <is>
          <t>1999</t>
        </is>
      </c>
      <c r="P1162" t="inlineStr">
        <is>
          <t>2nd ed.</t>
        </is>
      </c>
      <c r="Q1162" t="inlineStr">
        <is>
          <t>eng</t>
        </is>
      </c>
      <c r="R1162" t="inlineStr">
        <is>
          <t>mau</t>
        </is>
      </c>
      <c r="T1162" t="inlineStr">
        <is>
          <t xml:space="preserve">WY </t>
        </is>
      </c>
      <c r="U1162" t="n">
        <v>7</v>
      </c>
      <c r="V1162" t="n">
        <v>7</v>
      </c>
      <c r="W1162" t="inlineStr">
        <is>
          <t>2010-02-03</t>
        </is>
      </c>
      <c r="X1162" t="inlineStr">
        <is>
          <t>2010-02-03</t>
        </is>
      </c>
      <c r="Y1162" t="inlineStr">
        <is>
          <t>1999-07-23</t>
        </is>
      </c>
      <c r="Z1162" t="inlineStr">
        <is>
          <t>1999-07-23</t>
        </is>
      </c>
      <c r="AA1162" t="n">
        <v>190</v>
      </c>
      <c r="AB1162" t="n">
        <v>152</v>
      </c>
      <c r="AC1162" t="n">
        <v>959</v>
      </c>
      <c r="AD1162" t="n">
        <v>1</v>
      </c>
      <c r="AE1162" t="n">
        <v>27</v>
      </c>
      <c r="AF1162" t="n">
        <v>6</v>
      </c>
      <c r="AG1162" t="n">
        <v>27</v>
      </c>
      <c r="AH1162" t="n">
        <v>3</v>
      </c>
      <c r="AI1162" t="n">
        <v>8</v>
      </c>
      <c r="AJ1162" t="n">
        <v>0</v>
      </c>
      <c r="AK1162" t="n">
        <v>3</v>
      </c>
      <c r="AL1162" t="n">
        <v>3</v>
      </c>
      <c r="AM1162" t="n">
        <v>8</v>
      </c>
      <c r="AN1162" t="n">
        <v>0</v>
      </c>
      <c r="AO1162" t="n">
        <v>12</v>
      </c>
      <c r="AP1162" t="n">
        <v>0</v>
      </c>
      <c r="AQ1162" t="n">
        <v>0</v>
      </c>
      <c r="AR1162" t="inlineStr">
        <is>
          <t>No</t>
        </is>
      </c>
      <c r="AS1162" t="inlineStr">
        <is>
          <t>Yes</t>
        </is>
      </c>
      <c r="AT1162">
        <f>HYPERLINK("http://catalog.hathitrust.org/Record/004006437","HathiTrust Record")</f>
        <v/>
      </c>
      <c r="AU1162">
        <f>HYPERLINK("https://creighton-primo.hosted.exlibrisgroup.com/primo-explore/search?tab=default_tab&amp;search_scope=EVERYTHING&amp;vid=01CRU&amp;lang=en_US&amp;offset=0&amp;query=any,contains,991001573799702656","Catalog Record")</f>
        <v/>
      </c>
      <c r="AV1162">
        <f>HYPERLINK("http://www.worldcat.org/oclc/38976563","WorldCat Record")</f>
        <v/>
      </c>
      <c r="AW1162" t="inlineStr">
        <is>
          <t>799895021:eng</t>
        </is>
      </c>
      <c r="AX1162" t="inlineStr">
        <is>
          <t>38976563</t>
        </is>
      </c>
      <c r="AY1162" t="inlineStr">
        <is>
          <t>991001573799702656</t>
        </is>
      </c>
      <c r="AZ1162" t="inlineStr">
        <is>
          <t>991001573799702656</t>
        </is>
      </c>
      <c r="BA1162" t="inlineStr">
        <is>
          <t>2263273180002656</t>
        </is>
      </c>
      <c r="BB1162" t="inlineStr">
        <is>
          <t>BOOK</t>
        </is>
      </c>
      <c r="BD1162" t="inlineStr">
        <is>
          <t>9780763706401</t>
        </is>
      </c>
      <c r="BE1162" t="inlineStr">
        <is>
          <t>30001004010536</t>
        </is>
      </c>
      <c r="BF1162" t="inlineStr">
        <is>
          <t>893643719</t>
        </is>
      </c>
    </row>
    <row r="1163">
      <c r="A1163" t="inlineStr">
        <is>
          <t>No</t>
        </is>
      </c>
      <c r="B1163" t="inlineStr">
        <is>
          <t>CUHSL</t>
        </is>
      </c>
      <c r="C1163" t="inlineStr">
        <is>
          <t>SHELVES</t>
        </is>
      </c>
      <c r="D1163" t="inlineStr">
        <is>
          <t>WY 105 S972m 1990</t>
        </is>
      </c>
      <c r="E1163" t="inlineStr">
        <is>
          <t>0                      WY 0105000S  972m        1990</t>
        </is>
      </c>
      <c r="F1163" t="inlineStr">
        <is>
          <t>Management and leadership for nurse managers / Russell C. Swansburg.</t>
        </is>
      </c>
      <c r="H1163" t="inlineStr">
        <is>
          <t>No</t>
        </is>
      </c>
      <c r="I1163" t="inlineStr">
        <is>
          <t>1</t>
        </is>
      </c>
      <c r="J1163" t="inlineStr">
        <is>
          <t>No</t>
        </is>
      </c>
      <c r="K1163" t="inlineStr">
        <is>
          <t>No</t>
        </is>
      </c>
      <c r="L1163" t="inlineStr">
        <is>
          <t>0</t>
        </is>
      </c>
      <c r="M1163" t="inlineStr">
        <is>
          <t>Swansburg, Russell C.</t>
        </is>
      </c>
      <c r="N1163" t="inlineStr">
        <is>
          <t>Boston : Jones and Bartlett Publishers, c1990.</t>
        </is>
      </c>
      <c r="O1163" t="inlineStr">
        <is>
          <t>1990</t>
        </is>
      </c>
      <c r="Q1163" t="inlineStr">
        <is>
          <t>eng</t>
        </is>
      </c>
      <c r="R1163" t="inlineStr">
        <is>
          <t>mau</t>
        </is>
      </c>
      <c r="S1163" t="inlineStr">
        <is>
          <t>Jones and Bartlett series in nursing</t>
        </is>
      </c>
      <c r="T1163" t="inlineStr">
        <is>
          <t xml:space="preserve">WY </t>
        </is>
      </c>
      <c r="U1163" t="n">
        <v>17</v>
      </c>
      <c r="V1163" t="n">
        <v>17</v>
      </c>
      <c r="W1163" t="inlineStr">
        <is>
          <t>1995-10-12</t>
        </is>
      </c>
      <c r="X1163" t="inlineStr">
        <is>
          <t>1995-10-12</t>
        </is>
      </c>
      <c r="Y1163" t="inlineStr">
        <is>
          <t>1990-08-16</t>
        </is>
      </c>
      <c r="Z1163" t="inlineStr">
        <is>
          <t>1990-08-16</t>
        </is>
      </c>
      <c r="AA1163" t="n">
        <v>297</v>
      </c>
      <c r="AB1163" t="n">
        <v>231</v>
      </c>
      <c r="AC1163" t="n">
        <v>320</v>
      </c>
      <c r="AD1163" t="n">
        <v>3</v>
      </c>
      <c r="AE1163" t="n">
        <v>3</v>
      </c>
      <c r="AF1163" t="n">
        <v>10</v>
      </c>
      <c r="AG1163" t="n">
        <v>15</v>
      </c>
      <c r="AH1163" t="n">
        <v>5</v>
      </c>
      <c r="AI1163" t="n">
        <v>7</v>
      </c>
      <c r="AJ1163" t="n">
        <v>2</v>
      </c>
      <c r="AK1163" t="n">
        <v>3</v>
      </c>
      <c r="AL1163" t="n">
        <v>4</v>
      </c>
      <c r="AM1163" t="n">
        <v>7</v>
      </c>
      <c r="AN1163" t="n">
        <v>1</v>
      </c>
      <c r="AO1163" t="n">
        <v>1</v>
      </c>
      <c r="AP1163" t="n">
        <v>0</v>
      </c>
      <c r="AQ1163" t="n">
        <v>0</v>
      </c>
      <c r="AR1163" t="inlineStr">
        <is>
          <t>No</t>
        </is>
      </c>
      <c r="AS1163" t="inlineStr">
        <is>
          <t>Yes</t>
        </is>
      </c>
      <c r="AT1163">
        <f>HYPERLINK("http://catalog.hathitrust.org/Record/002168192","HathiTrust Record")</f>
        <v/>
      </c>
      <c r="AU1163">
        <f>HYPERLINK("https://creighton-primo.hosted.exlibrisgroup.com/primo-explore/search?tab=default_tab&amp;search_scope=EVERYTHING&amp;vid=01CRU&amp;lang=en_US&amp;offset=0&amp;query=any,contains,991001453159702656","Catalog Record")</f>
        <v/>
      </c>
      <c r="AV1163">
        <f>HYPERLINK("http://www.worldcat.org/oclc/20852952","WorldCat Record")</f>
        <v/>
      </c>
      <c r="AW1163" t="inlineStr">
        <is>
          <t>22030789:eng</t>
        </is>
      </c>
      <c r="AX1163" t="inlineStr">
        <is>
          <t>20852952</t>
        </is>
      </c>
      <c r="AY1163" t="inlineStr">
        <is>
          <t>991001453159702656</t>
        </is>
      </c>
      <c r="AZ1163" t="inlineStr">
        <is>
          <t>991001453159702656</t>
        </is>
      </c>
      <c r="BA1163" t="inlineStr">
        <is>
          <t>2264876060002656</t>
        </is>
      </c>
      <c r="BB1163" t="inlineStr">
        <is>
          <t>BOOK</t>
        </is>
      </c>
      <c r="BD1163" t="inlineStr">
        <is>
          <t>9780867204391</t>
        </is>
      </c>
      <c r="BE1163" t="inlineStr">
        <is>
          <t>30001001883927</t>
        </is>
      </c>
      <c r="BF1163" t="inlineStr">
        <is>
          <t>893816430</t>
        </is>
      </c>
    </row>
    <row r="1164">
      <c r="A1164" t="inlineStr">
        <is>
          <t>No</t>
        </is>
      </c>
      <c r="B1164" t="inlineStr">
        <is>
          <t>CUHSL</t>
        </is>
      </c>
      <c r="C1164" t="inlineStr">
        <is>
          <t>SHELVES</t>
        </is>
      </c>
      <c r="D1164" t="inlineStr">
        <is>
          <t>WY105 T253 1992</t>
        </is>
      </c>
      <c r="E1164" t="inlineStr">
        <is>
          <t>0                      WY 0105000T  253         1992</t>
        </is>
      </c>
      <c r="F1164" t="inlineStr">
        <is>
          <t>Teaching in nursing practice : a professional model / Nancy I. Whitman ... [et al.].</t>
        </is>
      </c>
      <c r="H1164" t="inlineStr">
        <is>
          <t>No</t>
        </is>
      </c>
      <c r="I1164" t="inlineStr">
        <is>
          <t>1</t>
        </is>
      </c>
      <c r="J1164" t="inlineStr">
        <is>
          <t>No</t>
        </is>
      </c>
      <c r="K1164" t="inlineStr">
        <is>
          <t>No</t>
        </is>
      </c>
      <c r="L1164" t="inlineStr">
        <is>
          <t>0</t>
        </is>
      </c>
      <c r="N1164" t="inlineStr">
        <is>
          <t>Norwalk, Conn. : Appleton &amp; Lange, c1992.</t>
        </is>
      </c>
      <c r="O1164" t="inlineStr">
        <is>
          <t>1992</t>
        </is>
      </c>
      <c r="P1164" t="inlineStr">
        <is>
          <t>2nd ed.</t>
        </is>
      </c>
      <c r="Q1164" t="inlineStr">
        <is>
          <t>eng</t>
        </is>
      </c>
      <c r="R1164" t="inlineStr">
        <is>
          <t>ctu</t>
        </is>
      </c>
      <c r="T1164" t="inlineStr">
        <is>
          <t xml:space="preserve">WY </t>
        </is>
      </c>
      <c r="U1164" t="n">
        <v>3</v>
      </c>
      <c r="V1164" t="n">
        <v>3</v>
      </c>
      <c r="W1164" t="inlineStr">
        <is>
          <t>2001-11-13</t>
        </is>
      </c>
      <c r="X1164" t="inlineStr">
        <is>
          <t>2001-11-13</t>
        </is>
      </c>
      <c r="Y1164" t="inlineStr">
        <is>
          <t>1994-05-25</t>
        </is>
      </c>
      <c r="Z1164" t="inlineStr">
        <is>
          <t>1994-05-25</t>
        </is>
      </c>
      <c r="AA1164" t="n">
        <v>301</v>
      </c>
      <c r="AB1164" t="n">
        <v>221</v>
      </c>
      <c r="AC1164" t="n">
        <v>299</v>
      </c>
      <c r="AD1164" t="n">
        <v>1</v>
      </c>
      <c r="AE1164" t="n">
        <v>1</v>
      </c>
      <c r="AF1164" t="n">
        <v>9</v>
      </c>
      <c r="AG1164" t="n">
        <v>11</v>
      </c>
      <c r="AH1164" t="n">
        <v>4</v>
      </c>
      <c r="AI1164" t="n">
        <v>4</v>
      </c>
      <c r="AJ1164" t="n">
        <v>4</v>
      </c>
      <c r="AK1164" t="n">
        <v>4</v>
      </c>
      <c r="AL1164" t="n">
        <v>5</v>
      </c>
      <c r="AM1164" t="n">
        <v>7</v>
      </c>
      <c r="AN1164" t="n">
        <v>0</v>
      </c>
      <c r="AO1164" t="n">
        <v>0</v>
      </c>
      <c r="AP1164" t="n">
        <v>0</v>
      </c>
      <c r="AQ1164" t="n">
        <v>0</v>
      </c>
      <c r="AR1164" t="inlineStr">
        <is>
          <t>No</t>
        </is>
      </c>
      <c r="AS1164" t="inlineStr">
        <is>
          <t>Yes</t>
        </is>
      </c>
      <c r="AT1164">
        <f>HYPERLINK("http://catalog.hathitrust.org/Record/002554737","HathiTrust Record")</f>
        <v/>
      </c>
      <c r="AU1164">
        <f>HYPERLINK("https://creighton-primo.hosted.exlibrisgroup.com/primo-explore/search?tab=default_tab&amp;search_scope=EVERYTHING&amp;vid=01CRU&amp;lang=en_US&amp;offset=0&amp;query=any,contains,991001194929702656","Catalog Record")</f>
        <v/>
      </c>
      <c r="AV1164">
        <f>HYPERLINK("http://www.worldcat.org/oclc/25411261","WorldCat Record")</f>
        <v/>
      </c>
      <c r="AW1164" t="inlineStr">
        <is>
          <t>836877420:eng</t>
        </is>
      </c>
      <c r="AX1164" t="inlineStr">
        <is>
          <t>25411261</t>
        </is>
      </c>
      <c r="AY1164" t="inlineStr">
        <is>
          <t>991001194929702656</t>
        </is>
      </c>
      <c r="AZ1164" t="inlineStr">
        <is>
          <t>991001194929702656</t>
        </is>
      </c>
      <c r="BA1164" t="inlineStr">
        <is>
          <t>2255441140002656</t>
        </is>
      </c>
      <c r="BB1164" t="inlineStr">
        <is>
          <t>BOOK</t>
        </is>
      </c>
      <c r="BD1164" t="inlineStr">
        <is>
          <t>9780838588246</t>
        </is>
      </c>
      <c r="BE1164" t="inlineStr">
        <is>
          <t>30001002984252</t>
        </is>
      </c>
      <c r="BF1164" t="inlineStr">
        <is>
          <t>893134333</t>
        </is>
      </c>
    </row>
    <row r="1165">
      <c r="A1165" t="inlineStr">
        <is>
          <t>No</t>
        </is>
      </c>
      <c r="B1165" t="inlineStr">
        <is>
          <t>CUHSL</t>
        </is>
      </c>
      <c r="C1165" t="inlineStr">
        <is>
          <t>SHELVES</t>
        </is>
      </c>
      <c r="D1165" t="inlineStr">
        <is>
          <t>WY 105 W747b 1992</t>
        </is>
      </c>
      <c r="E1165" t="inlineStr">
        <is>
          <t>0                      WY 0105000W  747b        1992</t>
        </is>
      </c>
      <c r="F1165" t="inlineStr">
        <is>
          <t>Building new nursing organizations : visions and realities / Cathleen Krueger Wilson.</t>
        </is>
      </c>
      <c r="H1165" t="inlineStr">
        <is>
          <t>No</t>
        </is>
      </c>
      <c r="I1165" t="inlineStr">
        <is>
          <t>1</t>
        </is>
      </c>
      <c r="J1165" t="inlineStr">
        <is>
          <t>No</t>
        </is>
      </c>
      <c r="K1165" t="inlineStr">
        <is>
          <t>No</t>
        </is>
      </c>
      <c r="L1165" t="inlineStr">
        <is>
          <t>0</t>
        </is>
      </c>
      <c r="M1165" t="inlineStr">
        <is>
          <t>Wilson, Cathleen Krueger.</t>
        </is>
      </c>
      <c r="N1165" t="inlineStr">
        <is>
          <t>Gaithersburg, Md. : Aspen Publishers, c1992.</t>
        </is>
      </c>
      <c r="O1165" t="inlineStr">
        <is>
          <t>1992</t>
        </is>
      </c>
      <c r="Q1165" t="inlineStr">
        <is>
          <t>eng</t>
        </is>
      </c>
      <c r="R1165" t="inlineStr">
        <is>
          <t>mdu</t>
        </is>
      </c>
      <c r="T1165" t="inlineStr">
        <is>
          <t xml:space="preserve">WY </t>
        </is>
      </c>
      <c r="U1165" t="n">
        <v>4</v>
      </c>
      <c r="V1165" t="n">
        <v>4</v>
      </c>
      <c r="W1165" t="inlineStr">
        <is>
          <t>1995-10-12</t>
        </is>
      </c>
      <c r="X1165" t="inlineStr">
        <is>
          <t>1995-10-12</t>
        </is>
      </c>
      <c r="Y1165" t="inlineStr">
        <is>
          <t>1993-06-14</t>
        </is>
      </c>
      <c r="Z1165" t="inlineStr">
        <is>
          <t>1993-06-14</t>
        </is>
      </c>
      <c r="AA1165" t="n">
        <v>266</v>
      </c>
      <c r="AB1165" t="n">
        <v>226</v>
      </c>
      <c r="AC1165" t="n">
        <v>234</v>
      </c>
      <c r="AD1165" t="n">
        <v>1</v>
      </c>
      <c r="AE1165" t="n">
        <v>1</v>
      </c>
      <c r="AF1165" t="n">
        <v>11</v>
      </c>
      <c r="AG1165" t="n">
        <v>11</v>
      </c>
      <c r="AH1165" t="n">
        <v>4</v>
      </c>
      <c r="AI1165" t="n">
        <v>4</v>
      </c>
      <c r="AJ1165" t="n">
        <v>3</v>
      </c>
      <c r="AK1165" t="n">
        <v>3</v>
      </c>
      <c r="AL1165" t="n">
        <v>7</v>
      </c>
      <c r="AM1165" t="n">
        <v>7</v>
      </c>
      <c r="AN1165" t="n">
        <v>0</v>
      </c>
      <c r="AO1165" t="n">
        <v>0</v>
      </c>
      <c r="AP1165" t="n">
        <v>0</v>
      </c>
      <c r="AQ1165" t="n">
        <v>0</v>
      </c>
      <c r="AR1165" t="inlineStr">
        <is>
          <t>No</t>
        </is>
      </c>
      <c r="AS1165" t="inlineStr">
        <is>
          <t>Yes</t>
        </is>
      </c>
      <c r="AT1165">
        <f>HYPERLINK("http://catalog.hathitrust.org/Record/002480477","HathiTrust Record")</f>
        <v/>
      </c>
      <c r="AU1165">
        <f>HYPERLINK("https://creighton-primo.hosted.exlibrisgroup.com/primo-explore/search?tab=default_tab&amp;search_scope=EVERYTHING&amp;vid=01CRU&amp;lang=en_US&amp;offset=0&amp;query=any,contains,991001479169702656","Catalog Record")</f>
        <v/>
      </c>
      <c r="AV1165">
        <f>HYPERLINK("http://www.worldcat.org/oclc/24065620","WorldCat Record")</f>
        <v/>
      </c>
      <c r="AW1165" t="inlineStr">
        <is>
          <t>25091369:eng</t>
        </is>
      </c>
      <c r="AX1165" t="inlineStr">
        <is>
          <t>24065620</t>
        </is>
      </c>
      <c r="AY1165" t="inlineStr">
        <is>
          <t>991001479169702656</t>
        </is>
      </c>
      <c r="AZ1165" t="inlineStr">
        <is>
          <t>991001479169702656</t>
        </is>
      </c>
      <c r="BA1165" t="inlineStr">
        <is>
          <t>2264166790002656</t>
        </is>
      </c>
      <c r="BB1165" t="inlineStr">
        <is>
          <t>BOOK</t>
        </is>
      </c>
      <c r="BD1165" t="inlineStr">
        <is>
          <t>9780834203075</t>
        </is>
      </c>
      <c r="BE1165" t="inlineStr">
        <is>
          <t>30001002564914</t>
        </is>
      </c>
      <c r="BF1165" t="inlineStr">
        <is>
          <t>893546744</t>
        </is>
      </c>
    </row>
    <row r="1166">
      <c r="A1166" t="inlineStr">
        <is>
          <t>No</t>
        </is>
      </c>
      <c r="B1166" t="inlineStr">
        <is>
          <t>CUHSL</t>
        </is>
      </c>
      <c r="C1166" t="inlineStr">
        <is>
          <t>SHELVES</t>
        </is>
      </c>
      <c r="D1166" t="inlineStr">
        <is>
          <t>WY 105 Y95n 1981</t>
        </is>
      </c>
      <c r="E1166" t="inlineStr">
        <is>
          <t>0                      WY 0105000Y  95n         1981</t>
        </is>
      </c>
      <c r="F1166" t="inlineStr">
        <is>
          <t>Nursing leadership : theory and process / Helen Yura, Dorothy Ozimek, Mary B. Walsh.</t>
        </is>
      </c>
      <c r="H1166" t="inlineStr">
        <is>
          <t>No</t>
        </is>
      </c>
      <c r="I1166" t="inlineStr">
        <is>
          <t>1</t>
        </is>
      </c>
      <c r="J1166" t="inlineStr">
        <is>
          <t>No</t>
        </is>
      </c>
      <c r="K1166" t="inlineStr">
        <is>
          <t>Yes</t>
        </is>
      </c>
      <c r="L1166" t="inlineStr">
        <is>
          <t>0</t>
        </is>
      </c>
      <c r="M1166" t="inlineStr">
        <is>
          <t>Petro-Yura, Helen, 1929-</t>
        </is>
      </c>
      <c r="N1166" t="inlineStr">
        <is>
          <t>New York : Appleton-Century-Crofts, c1981.</t>
        </is>
      </c>
      <c r="O1166" t="inlineStr">
        <is>
          <t>1981</t>
        </is>
      </c>
      <c r="P1166" t="inlineStr">
        <is>
          <t>2d ed.</t>
        </is>
      </c>
      <c r="Q1166" t="inlineStr">
        <is>
          <t>eng</t>
        </is>
      </c>
      <c r="R1166" t="inlineStr">
        <is>
          <t>nyu</t>
        </is>
      </c>
      <c r="T1166" t="inlineStr">
        <is>
          <t xml:space="preserve">WY </t>
        </is>
      </c>
      <c r="U1166" t="n">
        <v>2</v>
      </c>
      <c r="V1166" t="n">
        <v>2</v>
      </c>
      <c r="W1166" t="inlineStr">
        <is>
          <t>2010-09-28</t>
        </is>
      </c>
      <c r="X1166" t="inlineStr">
        <is>
          <t>2010-09-28</t>
        </is>
      </c>
      <c r="Y1166" t="inlineStr">
        <is>
          <t>1987-12-30</t>
        </is>
      </c>
      <c r="Z1166" t="inlineStr">
        <is>
          <t>1987-12-30</t>
        </is>
      </c>
      <c r="AA1166" t="n">
        <v>278</v>
      </c>
      <c r="AB1166" t="n">
        <v>225</v>
      </c>
      <c r="AC1166" t="n">
        <v>317</v>
      </c>
      <c r="AD1166" t="n">
        <v>1</v>
      </c>
      <c r="AE1166" t="n">
        <v>2</v>
      </c>
      <c r="AF1166" t="n">
        <v>11</v>
      </c>
      <c r="AG1166" t="n">
        <v>16</v>
      </c>
      <c r="AH1166" t="n">
        <v>7</v>
      </c>
      <c r="AI1166" t="n">
        <v>7</v>
      </c>
      <c r="AJ1166" t="n">
        <v>1</v>
      </c>
      <c r="AK1166" t="n">
        <v>3</v>
      </c>
      <c r="AL1166" t="n">
        <v>4</v>
      </c>
      <c r="AM1166" t="n">
        <v>7</v>
      </c>
      <c r="AN1166" t="n">
        <v>0</v>
      </c>
      <c r="AO1166" t="n">
        <v>1</v>
      </c>
      <c r="AP1166" t="n">
        <v>0</v>
      </c>
      <c r="AQ1166" t="n">
        <v>0</v>
      </c>
      <c r="AR1166" t="inlineStr">
        <is>
          <t>No</t>
        </is>
      </c>
      <c r="AS1166" t="inlineStr">
        <is>
          <t>Yes</t>
        </is>
      </c>
      <c r="AT1166">
        <f>HYPERLINK("http://catalog.hathitrust.org/Record/000720718","HathiTrust Record")</f>
        <v/>
      </c>
      <c r="AU1166">
        <f>HYPERLINK("https://creighton-primo.hosted.exlibrisgroup.com/primo-explore/search?tab=default_tab&amp;search_scope=EVERYTHING&amp;vid=01CRU&amp;lang=en_US&amp;offset=0&amp;query=any,contains,991001083489702656","Catalog Record")</f>
        <v/>
      </c>
      <c r="AV1166">
        <f>HYPERLINK("http://www.worldcat.org/oclc/6016313","WorldCat Record")</f>
        <v/>
      </c>
      <c r="AW1166" t="inlineStr">
        <is>
          <t>2452698536:eng</t>
        </is>
      </c>
      <c r="AX1166" t="inlineStr">
        <is>
          <t>6016313</t>
        </is>
      </c>
      <c r="AY1166" t="inlineStr">
        <is>
          <t>991001083489702656</t>
        </is>
      </c>
      <c r="AZ1166" t="inlineStr">
        <is>
          <t>991001083489702656</t>
        </is>
      </c>
      <c r="BA1166" t="inlineStr">
        <is>
          <t>2269515370002656</t>
        </is>
      </c>
      <c r="BB1166" t="inlineStr">
        <is>
          <t>BOOK</t>
        </is>
      </c>
      <c r="BD1166" t="inlineStr">
        <is>
          <t>9780838570289</t>
        </is>
      </c>
      <c r="BE1166" t="inlineStr">
        <is>
          <t>30001000258105</t>
        </is>
      </c>
      <c r="BF1166" t="inlineStr">
        <is>
          <t>893450858</t>
        </is>
      </c>
    </row>
    <row r="1167">
      <c r="A1167" t="inlineStr">
        <is>
          <t>No</t>
        </is>
      </c>
      <c r="B1167" t="inlineStr">
        <is>
          <t>CUHSL</t>
        </is>
      </c>
      <c r="C1167" t="inlineStr">
        <is>
          <t>SHELVES</t>
        </is>
      </c>
      <c r="D1167" t="inlineStr">
        <is>
          <t>WY106 A425c 2005</t>
        </is>
      </c>
      <c r="E1167" t="inlineStr">
        <is>
          <t>0                      WY 0106000A  425c        2005</t>
        </is>
      </c>
      <c r="F1167" t="inlineStr">
        <is>
          <t>Community health nursing : promoting and protecting the public's health / Judith Ann Allender, Barbara Walton Spradley.</t>
        </is>
      </c>
      <c r="H1167" t="inlineStr">
        <is>
          <t>No</t>
        </is>
      </c>
      <c r="I1167" t="inlineStr">
        <is>
          <t>1</t>
        </is>
      </c>
      <c r="J1167" t="inlineStr">
        <is>
          <t>No</t>
        </is>
      </c>
      <c r="K1167" t="inlineStr">
        <is>
          <t>Yes</t>
        </is>
      </c>
      <c r="L1167" t="inlineStr">
        <is>
          <t>0</t>
        </is>
      </c>
      <c r="M1167" t="inlineStr">
        <is>
          <t>Allender, Judith Ann.</t>
        </is>
      </c>
      <c r="N1167" t="inlineStr">
        <is>
          <t>Philadelphia : Lippincott Williams &amp; Wilkins, c2005.</t>
        </is>
      </c>
      <c r="O1167" t="inlineStr">
        <is>
          <t>2005</t>
        </is>
      </c>
      <c r="P1167" t="inlineStr">
        <is>
          <t>6th ed.</t>
        </is>
      </c>
      <c r="Q1167" t="inlineStr">
        <is>
          <t>eng</t>
        </is>
      </c>
      <c r="R1167" t="inlineStr">
        <is>
          <t>pau</t>
        </is>
      </c>
      <c r="T1167" t="inlineStr">
        <is>
          <t xml:space="preserve">WY </t>
        </is>
      </c>
      <c r="U1167" t="n">
        <v>1</v>
      </c>
      <c r="V1167" t="n">
        <v>1</v>
      </c>
      <c r="W1167" t="inlineStr">
        <is>
          <t>2005-08-01</t>
        </is>
      </c>
      <c r="X1167" t="inlineStr">
        <is>
          <t>2005-08-01</t>
        </is>
      </c>
      <c r="Y1167" t="inlineStr">
        <is>
          <t>2004-09-17</t>
        </is>
      </c>
      <c r="Z1167" t="inlineStr">
        <is>
          <t>2004-09-17</t>
        </is>
      </c>
      <c r="AA1167" t="n">
        <v>397</v>
      </c>
      <c r="AB1167" t="n">
        <v>284</v>
      </c>
      <c r="AC1167" t="n">
        <v>489</v>
      </c>
      <c r="AD1167" t="n">
        <v>2</v>
      </c>
      <c r="AE1167" t="n">
        <v>4</v>
      </c>
      <c r="AF1167" t="n">
        <v>5</v>
      </c>
      <c r="AG1167" t="n">
        <v>16</v>
      </c>
      <c r="AH1167" t="n">
        <v>1</v>
      </c>
      <c r="AI1167" t="n">
        <v>4</v>
      </c>
      <c r="AJ1167" t="n">
        <v>1</v>
      </c>
      <c r="AK1167" t="n">
        <v>2</v>
      </c>
      <c r="AL1167" t="n">
        <v>2</v>
      </c>
      <c r="AM1167" t="n">
        <v>8</v>
      </c>
      <c r="AN1167" t="n">
        <v>1</v>
      </c>
      <c r="AO1167" t="n">
        <v>3</v>
      </c>
      <c r="AP1167" t="n">
        <v>0</v>
      </c>
      <c r="AQ1167" t="n">
        <v>0</v>
      </c>
      <c r="AR1167" t="inlineStr">
        <is>
          <t>No</t>
        </is>
      </c>
      <c r="AS1167" t="inlineStr">
        <is>
          <t>No</t>
        </is>
      </c>
      <c r="AU1167">
        <f>HYPERLINK("https://creighton-primo.hosted.exlibrisgroup.com/primo-explore/search?tab=default_tab&amp;search_scope=EVERYTHING&amp;vid=01CRU&amp;lang=en_US&amp;offset=0&amp;query=any,contains,991000393179702656","Catalog Record")</f>
        <v/>
      </c>
      <c r="AV1167">
        <f>HYPERLINK("http://www.worldcat.org/oclc/54907013","WorldCat Record")</f>
        <v/>
      </c>
      <c r="AW1167" t="inlineStr">
        <is>
          <t>2867990823:eng</t>
        </is>
      </c>
      <c r="AX1167" t="inlineStr">
        <is>
          <t>54907013</t>
        </is>
      </c>
      <c r="AY1167" t="inlineStr">
        <is>
          <t>991000393179702656</t>
        </is>
      </c>
      <c r="AZ1167" t="inlineStr">
        <is>
          <t>991000393179702656</t>
        </is>
      </c>
      <c r="BA1167" t="inlineStr">
        <is>
          <t>2258108050002656</t>
        </is>
      </c>
      <c r="BB1167" t="inlineStr">
        <is>
          <t>BOOK</t>
        </is>
      </c>
      <c r="BD1167" t="inlineStr">
        <is>
          <t>9780781744492</t>
        </is>
      </c>
      <c r="BE1167" t="inlineStr">
        <is>
          <t>30001004922920</t>
        </is>
      </c>
      <c r="BF1167" t="inlineStr">
        <is>
          <t>893279974</t>
        </is>
      </c>
    </row>
    <row r="1168">
      <c r="A1168" t="inlineStr">
        <is>
          <t>No</t>
        </is>
      </c>
      <c r="B1168" t="inlineStr">
        <is>
          <t>CUHSL</t>
        </is>
      </c>
      <c r="C1168" t="inlineStr">
        <is>
          <t>SHELVES</t>
        </is>
      </c>
      <c r="D1168" t="inlineStr">
        <is>
          <t>WY 106 A512c 1980</t>
        </is>
      </c>
      <c r="E1168" t="inlineStr">
        <is>
          <t>0                      WY 0106000A  512c        1980</t>
        </is>
      </c>
      <c r="F1168" t="inlineStr">
        <is>
          <t>A conceptual model of community health nursing / America Nurses' Association, Division of Community Health Nursing.</t>
        </is>
      </c>
      <c r="H1168" t="inlineStr">
        <is>
          <t>No</t>
        </is>
      </c>
      <c r="I1168" t="inlineStr">
        <is>
          <t>1</t>
        </is>
      </c>
      <c r="J1168" t="inlineStr">
        <is>
          <t>No</t>
        </is>
      </c>
      <c r="K1168" t="inlineStr">
        <is>
          <t>No</t>
        </is>
      </c>
      <c r="L1168" t="inlineStr">
        <is>
          <t>0</t>
        </is>
      </c>
      <c r="N1168" t="inlineStr">
        <is>
          <t>Kansas City, Mo. : American Nurses' Assn, c1980.</t>
        </is>
      </c>
      <c r="O1168" t="inlineStr">
        <is>
          <t>1980</t>
        </is>
      </c>
      <c r="Q1168" t="inlineStr">
        <is>
          <t>eng</t>
        </is>
      </c>
      <c r="R1168" t="inlineStr">
        <is>
          <t>xxu</t>
        </is>
      </c>
      <c r="S1168" t="inlineStr">
        <is>
          <t>ANA pub ; no. CH-10 2M 5/80</t>
        </is>
      </c>
      <c r="T1168" t="inlineStr">
        <is>
          <t xml:space="preserve">WY </t>
        </is>
      </c>
      <c r="U1168" t="n">
        <v>1</v>
      </c>
      <c r="V1168" t="n">
        <v>1</v>
      </c>
      <c r="W1168" t="inlineStr">
        <is>
          <t>2008-01-08</t>
        </is>
      </c>
      <c r="X1168" t="inlineStr">
        <is>
          <t>2008-01-08</t>
        </is>
      </c>
      <c r="Y1168" t="inlineStr">
        <is>
          <t>1987-12-02</t>
        </is>
      </c>
      <c r="Z1168" t="inlineStr">
        <is>
          <t>1987-12-02</t>
        </is>
      </c>
      <c r="AA1168" t="n">
        <v>76</v>
      </c>
      <c r="AB1168" t="n">
        <v>63</v>
      </c>
      <c r="AC1168" t="n">
        <v>65</v>
      </c>
      <c r="AD1168" t="n">
        <v>1</v>
      </c>
      <c r="AE1168" t="n">
        <v>1</v>
      </c>
      <c r="AF1168" t="n">
        <v>2</v>
      </c>
      <c r="AG1168" t="n">
        <v>2</v>
      </c>
      <c r="AH1168" t="n">
        <v>0</v>
      </c>
      <c r="AI1168" t="n">
        <v>0</v>
      </c>
      <c r="AJ1168" t="n">
        <v>0</v>
      </c>
      <c r="AK1168" t="n">
        <v>0</v>
      </c>
      <c r="AL1168" t="n">
        <v>2</v>
      </c>
      <c r="AM1168" t="n">
        <v>2</v>
      </c>
      <c r="AN1168" t="n">
        <v>0</v>
      </c>
      <c r="AO1168" t="n">
        <v>0</v>
      </c>
      <c r="AP1168" t="n">
        <v>0</v>
      </c>
      <c r="AQ1168" t="n">
        <v>0</v>
      </c>
      <c r="AR1168" t="inlineStr">
        <is>
          <t>No</t>
        </is>
      </c>
      <c r="AS1168" t="inlineStr">
        <is>
          <t>Yes</t>
        </is>
      </c>
      <c r="AT1168">
        <f>HYPERLINK("http://catalog.hathitrust.org/Record/002953865","HathiTrust Record")</f>
        <v/>
      </c>
      <c r="AU1168">
        <f>HYPERLINK("https://creighton-primo.hosted.exlibrisgroup.com/primo-explore/search?tab=default_tab&amp;search_scope=EVERYTHING&amp;vid=01CRU&amp;lang=en_US&amp;offset=0&amp;query=any,contains,991001521519702656","Catalog Record")</f>
        <v/>
      </c>
      <c r="AV1168">
        <f>HYPERLINK("http://www.worldcat.org/oclc/6648173","WorldCat Record")</f>
        <v/>
      </c>
      <c r="AW1168" t="inlineStr">
        <is>
          <t>23450558:eng</t>
        </is>
      </c>
      <c r="AX1168" t="inlineStr">
        <is>
          <t>6648173</t>
        </is>
      </c>
      <c r="AY1168" t="inlineStr">
        <is>
          <t>991001521519702656</t>
        </is>
      </c>
      <c r="AZ1168" t="inlineStr">
        <is>
          <t>991001521519702656</t>
        </is>
      </c>
      <c r="BA1168" t="inlineStr">
        <is>
          <t>2268796090002656</t>
        </is>
      </c>
      <c r="BB1168" t="inlineStr">
        <is>
          <t>BOOK</t>
        </is>
      </c>
      <c r="BE1168" t="inlineStr">
        <is>
          <t>30001000602930</t>
        </is>
      </c>
      <c r="BF1168" t="inlineStr">
        <is>
          <t>893162100</t>
        </is>
      </c>
    </row>
    <row r="1169">
      <c r="A1169" t="inlineStr">
        <is>
          <t>No</t>
        </is>
      </c>
      <c r="B1169" t="inlineStr">
        <is>
          <t>CUHSL</t>
        </is>
      </c>
      <c r="C1169" t="inlineStr">
        <is>
          <t>SHELVES</t>
        </is>
      </c>
      <c r="D1169" t="inlineStr">
        <is>
          <t>WY 106 A546ca 1996</t>
        </is>
      </c>
      <c r="E1169" t="inlineStr">
        <is>
          <t>0                      WY 0106000A  546ca       1996</t>
        </is>
      </c>
      <c r="F1169" t="inlineStr">
        <is>
          <t>Community as partner : theory and practice in nursing / Elizabeth T. Anderson, Judith McFarlane.</t>
        </is>
      </c>
      <c r="H1169" t="inlineStr">
        <is>
          <t>No</t>
        </is>
      </c>
      <c r="I1169" t="inlineStr">
        <is>
          <t>1</t>
        </is>
      </c>
      <c r="J1169" t="inlineStr">
        <is>
          <t>No</t>
        </is>
      </c>
      <c r="K1169" t="inlineStr">
        <is>
          <t>Yes</t>
        </is>
      </c>
      <c r="L1169" t="inlineStr">
        <is>
          <t>0</t>
        </is>
      </c>
      <c r="M1169" t="inlineStr">
        <is>
          <t>Anderson, Elizabeth T.</t>
        </is>
      </c>
      <c r="N1169" t="inlineStr">
        <is>
          <t>Philadelphia : J.B. Lippincott, c1996.</t>
        </is>
      </c>
      <c r="O1169" t="inlineStr">
        <is>
          <t>1996</t>
        </is>
      </c>
      <c r="P1169" t="inlineStr">
        <is>
          <t>2nd ed.</t>
        </is>
      </c>
      <c r="Q1169" t="inlineStr">
        <is>
          <t>eng</t>
        </is>
      </c>
      <c r="R1169" t="inlineStr">
        <is>
          <t>pau</t>
        </is>
      </c>
      <c r="T1169" t="inlineStr">
        <is>
          <t xml:space="preserve">WY </t>
        </is>
      </c>
      <c r="U1169" t="n">
        <v>3</v>
      </c>
      <c r="V1169" t="n">
        <v>3</v>
      </c>
      <c r="W1169" t="inlineStr">
        <is>
          <t>2000-04-25</t>
        </is>
      </c>
      <c r="X1169" t="inlineStr">
        <is>
          <t>2000-04-25</t>
        </is>
      </c>
      <c r="Y1169" t="inlineStr">
        <is>
          <t>1997-02-14</t>
        </is>
      </c>
      <c r="Z1169" t="inlineStr">
        <is>
          <t>1997-02-14</t>
        </is>
      </c>
      <c r="AA1169" t="n">
        <v>275</v>
      </c>
      <c r="AB1169" t="n">
        <v>198</v>
      </c>
      <c r="AC1169" t="n">
        <v>810</v>
      </c>
      <c r="AD1169" t="n">
        <v>1</v>
      </c>
      <c r="AE1169" t="n">
        <v>3</v>
      </c>
      <c r="AF1169" t="n">
        <v>7</v>
      </c>
      <c r="AG1169" t="n">
        <v>25</v>
      </c>
      <c r="AH1169" t="n">
        <v>4</v>
      </c>
      <c r="AI1169" t="n">
        <v>10</v>
      </c>
      <c r="AJ1169" t="n">
        <v>1</v>
      </c>
      <c r="AK1169" t="n">
        <v>5</v>
      </c>
      <c r="AL1169" t="n">
        <v>6</v>
      </c>
      <c r="AM1169" t="n">
        <v>14</v>
      </c>
      <c r="AN1169" t="n">
        <v>0</v>
      </c>
      <c r="AO1169" t="n">
        <v>2</v>
      </c>
      <c r="AP1169" t="n">
        <v>0</v>
      </c>
      <c r="AQ1169" t="n">
        <v>0</v>
      </c>
      <c r="AR1169" t="inlineStr">
        <is>
          <t>No</t>
        </is>
      </c>
      <c r="AS1169" t="inlineStr">
        <is>
          <t>No</t>
        </is>
      </c>
      <c r="AU1169">
        <f>HYPERLINK("https://creighton-primo.hosted.exlibrisgroup.com/primo-explore/search?tab=default_tab&amp;search_scope=EVERYTHING&amp;vid=01CRU&amp;lang=en_US&amp;offset=0&amp;query=any,contains,991001552949702656","Catalog Record")</f>
        <v/>
      </c>
      <c r="AV1169">
        <f>HYPERLINK("http://www.worldcat.org/oclc/32431830","WorldCat Record")</f>
        <v/>
      </c>
      <c r="AW1169" t="inlineStr">
        <is>
          <t>9946277:eng</t>
        </is>
      </c>
      <c r="AX1169" t="inlineStr">
        <is>
          <t>32431830</t>
        </is>
      </c>
      <c r="AY1169" t="inlineStr">
        <is>
          <t>991001552949702656</t>
        </is>
      </c>
      <c r="AZ1169" t="inlineStr">
        <is>
          <t>991001552949702656</t>
        </is>
      </c>
      <c r="BA1169" t="inlineStr">
        <is>
          <t>2256987830002656</t>
        </is>
      </c>
      <c r="BB1169" t="inlineStr">
        <is>
          <t>BOOK</t>
        </is>
      </c>
      <c r="BD1169" t="inlineStr">
        <is>
          <t>9780397550883</t>
        </is>
      </c>
      <c r="BE1169" t="inlineStr">
        <is>
          <t>30001003474865</t>
        </is>
      </c>
      <c r="BF1169" t="inlineStr">
        <is>
          <t>893638441</t>
        </is>
      </c>
    </row>
    <row r="1170">
      <c r="A1170" t="inlineStr">
        <is>
          <t>No</t>
        </is>
      </c>
      <c r="B1170" t="inlineStr">
        <is>
          <t>CUHSL</t>
        </is>
      </c>
      <c r="C1170" t="inlineStr">
        <is>
          <t>SHELVES</t>
        </is>
      </c>
      <c r="D1170" t="inlineStr">
        <is>
          <t>WY 106 A546ca 2000</t>
        </is>
      </c>
      <c r="E1170" t="inlineStr">
        <is>
          <t>0                      WY 0106000A  546ca       2000</t>
        </is>
      </c>
      <c r="F1170" t="inlineStr">
        <is>
          <t>Community as partner : theory and practice in nursing / Elizabeth T. Anderson, Judith McFarlane.</t>
        </is>
      </c>
      <c r="H1170" t="inlineStr">
        <is>
          <t>No</t>
        </is>
      </c>
      <c r="I1170" t="inlineStr">
        <is>
          <t>1</t>
        </is>
      </c>
      <c r="J1170" t="inlineStr">
        <is>
          <t>No</t>
        </is>
      </c>
      <c r="K1170" t="inlineStr">
        <is>
          <t>Yes</t>
        </is>
      </c>
      <c r="L1170" t="inlineStr">
        <is>
          <t>0</t>
        </is>
      </c>
      <c r="M1170" t="inlineStr">
        <is>
          <t>Anderson, Elizabeth T.</t>
        </is>
      </c>
      <c r="N1170" t="inlineStr">
        <is>
          <t>Philadelphia : Lippincott Williams &amp; Wilkins, c2000.</t>
        </is>
      </c>
      <c r="O1170" t="inlineStr">
        <is>
          <t>2000</t>
        </is>
      </c>
      <c r="P1170" t="inlineStr">
        <is>
          <t>3rd ed.</t>
        </is>
      </c>
      <c r="Q1170" t="inlineStr">
        <is>
          <t>eng</t>
        </is>
      </c>
      <c r="R1170" t="inlineStr">
        <is>
          <t>pau</t>
        </is>
      </c>
      <c r="T1170" t="inlineStr">
        <is>
          <t xml:space="preserve">WY </t>
        </is>
      </c>
      <c r="U1170" t="n">
        <v>1</v>
      </c>
      <c r="V1170" t="n">
        <v>1</v>
      </c>
      <c r="W1170" t="inlineStr">
        <is>
          <t>2003-09-23</t>
        </is>
      </c>
      <c r="X1170" t="inlineStr">
        <is>
          <t>2003-09-23</t>
        </is>
      </c>
      <c r="Y1170" t="inlineStr">
        <is>
          <t>2000-07-20</t>
        </is>
      </c>
      <c r="Z1170" t="inlineStr">
        <is>
          <t>2000-07-20</t>
        </is>
      </c>
      <c r="AA1170" t="n">
        <v>279</v>
      </c>
      <c r="AB1170" t="n">
        <v>199</v>
      </c>
      <c r="AC1170" t="n">
        <v>810</v>
      </c>
      <c r="AD1170" t="n">
        <v>1</v>
      </c>
      <c r="AE1170" t="n">
        <v>3</v>
      </c>
      <c r="AF1170" t="n">
        <v>7</v>
      </c>
      <c r="AG1170" t="n">
        <v>25</v>
      </c>
      <c r="AH1170" t="n">
        <v>5</v>
      </c>
      <c r="AI1170" t="n">
        <v>10</v>
      </c>
      <c r="AJ1170" t="n">
        <v>0</v>
      </c>
      <c r="AK1170" t="n">
        <v>5</v>
      </c>
      <c r="AL1170" t="n">
        <v>3</v>
      </c>
      <c r="AM1170" t="n">
        <v>14</v>
      </c>
      <c r="AN1170" t="n">
        <v>0</v>
      </c>
      <c r="AO1170" t="n">
        <v>2</v>
      </c>
      <c r="AP1170" t="n">
        <v>0</v>
      </c>
      <c r="AQ1170" t="n">
        <v>0</v>
      </c>
      <c r="AR1170" t="inlineStr">
        <is>
          <t>No</t>
        </is>
      </c>
      <c r="AS1170" t="inlineStr">
        <is>
          <t>Yes</t>
        </is>
      </c>
      <c r="AT1170">
        <f>HYPERLINK("http://catalog.hathitrust.org/Record/004097881","HathiTrust Record")</f>
        <v/>
      </c>
      <c r="AU1170">
        <f>HYPERLINK("https://creighton-primo.hosted.exlibrisgroup.com/primo-explore/search?tab=default_tab&amp;search_scope=EVERYTHING&amp;vid=01CRU&amp;lang=en_US&amp;offset=0&amp;query=any,contains,991000276089702656","Catalog Record")</f>
        <v/>
      </c>
      <c r="AV1170">
        <f>HYPERLINK("http://www.worldcat.org/oclc/43286684","WorldCat Record")</f>
        <v/>
      </c>
      <c r="AW1170" t="inlineStr">
        <is>
          <t>9946277:eng</t>
        </is>
      </c>
      <c r="AX1170" t="inlineStr">
        <is>
          <t>43286684</t>
        </is>
      </c>
      <c r="AY1170" t="inlineStr">
        <is>
          <t>991000276089702656</t>
        </is>
      </c>
      <c r="AZ1170" t="inlineStr">
        <is>
          <t>991000276089702656</t>
        </is>
      </c>
      <c r="BA1170" t="inlineStr">
        <is>
          <t>2258460050002656</t>
        </is>
      </c>
      <c r="BB1170" t="inlineStr">
        <is>
          <t>BOOK</t>
        </is>
      </c>
      <c r="BD1170" t="inlineStr">
        <is>
          <t>9780781721257</t>
        </is>
      </c>
      <c r="BE1170" t="inlineStr">
        <is>
          <t>30001003942085</t>
        </is>
      </c>
      <c r="BF1170" t="inlineStr">
        <is>
          <t>893451926</t>
        </is>
      </c>
    </row>
    <row r="1171">
      <c r="A1171" t="inlineStr">
        <is>
          <t>No</t>
        </is>
      </c>
      <c r="B1171" t="inlineStr">
        <is>
          <t>CUHSL</t>
        </is>
      </c>
      <c r="C1171" t="inlineStr">
        <is>
          <t>SHELVES</t>
        </is>
      </c>
      <c r="D1171" t="inlineStr">
        <is>
          <t>WY 106 A546ca 2004</t>
        </is>
      </c>
      <c r="E1171" t="inlineStr">
        <is>
          <t>0                      WY 0106000A  546ca       2004</t>
        </is>
      </c>
      <c r="F1171" t="inlineStr">
        <is>
          <t>Community as partner : theory and practice in nursing / Elizabeth T. Anderson, Judith McFarlane.</t>
        </is>
      </c>
      <c r="H1171" t="inlineStr">
        <is>
          <t>No</t>
        </is>
      </c>
      <c r="I1171" t="inlineStr">
        <is>
          <t>1</t>
        </is>
      </c>
      <c r="J1171" t="inlineStr">
        <is>
          <t>No</t>
        </is>
      </c>
      <c r="K1171" t="inlineStr">
        <is>
          <t>Yes</t>
        </is>
      </c>
      <c r="L1171" t="inlineStr">
        <is>
          <t>0</t>
        </is>
      </c>
      <c r="M1171" t="inlineStr">
        <is>
          <t>Anderson, Elizabeth T.</t>
        </is>
      </c>
      <c r="N1171" t="inlineStr">
        <is>
          <t>Philadelphia : Lippincott Williams &amp; Wilkins, c2004.</t>
        </is>
      </c>
      <c r="O1171" t="inlineStr">
        <is>
          <t>2004</t>
        </is>
      </c>
      <c r="P1171" t="inlineStr">
        <is>
          <t>4th ed.</t>
        </is>
      </c>
      <c r="Q1171" t="inlineStr">
        <is>
          <t>eng</t>
        </is>
      </c>
      <c r="R1171" t="inlineStr">
        <is>
          <t>pau</t>
        </is>
      </c>
      <c r="T1171" t="inlineStr">
        <is>
          <t xml:space="preserve">WY </t>
        </is>
      </c>
      <c r="U1171" t="n">
        <v>0</v>
      </c>
      <c r="V1171" t="n">
        <v>0</v>
      </c>
      <c r="W1171" t="inlineStr">
        <is>
          <t>2007-01-29</t>
        </is>
      </c>
      <c r="X1171" t="inlineStr">
        <is>
          <t>2007-01-29</t>
        </is>
      </c>
      <c r="Y1171" t="inlineStr">
        <is>
          <t>2007-01-22</t>
        </is>
      </c>
      <c r="Z1171" t="inlineStr">
        <is>
          <t>2007-01-22</t>
        </is>
      </c>
      <c r="AA1171" t="n">
        <v>299</v>
      </c>
      <c r="AB1171" t="n">
        <v>213</v>
      </c>
      <c r="AC1171" t="n">
        <v>810</v>
      </c>
      <c r="AD1171" t="n">
        <v>1</v>
      </c>
      <c r="AE1171" t="n">
        <v>3</v>
      </c>
      <c r="AF1171" t="n">
        <v>7</v>
      </c>
      <c r="AG1171" t="n">
        <v>25</v>
      </c>
      <c r="AH1171" t="n">
        <v>2</v>
      </c>
      <c r="AI1171" t="n">
        <v>10</v>
      </c>
      <c r="AJ1171" t="n">
        <v>2</v>
      </c>
      <c r="AK1171" t="n">
        <v>5</v>
      </c>
      <c r="AL1171" t="n">
        <v>5</v>
      </c>
      <c r="AM1171" t="n">
        <v>14</v>
      </c>
      <c r="AN1171" t="n">
        <v>0</v>
      </c>
      <c r="AO1171" t="n">
        <v>2</v>
      </c>
      <c r="AP1171" t="n">
        <v>0</v>
      </c>
      <c r="AQ1171" t="n">
        <v>0</v>
      </c>
      <c r="AR1171" t="inlineStr">
        <is>
          <t>No</t>
        </is>
      </c>
      <c r="AS1171" t="inlineStr">
        <is>
          <t>No</t>
        </is>
      </c>
      <c r="AU1171">
        <f>HYPERLINK("https://creighton-primo.hosted.exlibrisgroup.com/primo-explore/search?tab=default_tab&amp;search_scope=EVERYTHING&amp;vid=01CRU&amp;lang=en_US&amp;offset=0&amp;query=any,contains,991000584459702656","Catalog Record")</f>
        <v/>
      </c>
      <c r="AV1171">
        <f>HYPERLINK("http://www.worldcat.org/oclc/52381865","WorldCat Record")</f>
        <v/>
      </c>
      <c r="AW1171" t="inlineStr">
        <is>
          <t>9946277:eng</t>
        </is>
      </c>
      <c r="AX1171" t="inlineStr">
        <is>
          <t>52381865</t>
        </is>
      </c>
      <c r="AY1171" t="inlineStr">
        <is>
          <t>991000584459702656</t>
        </is>
      </c>
      <c r="AZ1171" t="inlineStr">
        <is>
          <t>991000584459702656</t>
        </is>
      </c>
      <c r="BA1171" t="inlineStr">
        <is>
          <t>2256715520002656</t>
        </is>
      </c>
      <c r="BB1171" t="inlineStr">
        <is>
          <t>BOOK</t>
        </is>
      </c>
      <c r="BD1171" t="inlineStr">
        <is>
          <t>9780781744546</t>
        </is>
      </c>
      <c r="BE1171" t="inlineStr">
        <is>
          <t>30001005175304</t>
        </is>
      </c>
      <c r="BF1171" t="inlineStr">
        <is>
          <t>893819332</t>
        </is>
      </c>
    </row>
    <row r="1172">
      <c r="A1172" t="inlineStr">
        <is>
          <t>No</t>
        </is>
      </c>
      <c r="B1172" t="inlineStr">
        <is>
          <t>CUHSL</t>
        </is>
      </c>
      <c r="C1172" t="inlineStr">
        <is>
          <t>SHELVES</t>
        </is>
      </c>
      <c r="D1172" t="inlineStr">
        <is>
          <t>WY106 A546ca 2008</t>
        </is>
      </c>
      <c r="E1172" t="inlineStr">
        <is>
          <t>0                      WY 0106000A  546ca       2008</t>
        </is>
      </c>
      <c r="F1172" t="inlineStr">
        <is>
          <t>Community as partner : theory and practice in nursing / Elizabeth T. Anderson, Judith McFarlane.</t>
        </is>
      </c>
      <c r="H1172" t="inlineStr">
        <is>
          <t>No</t>
        </is>
      </c>
      <c r="I1172" t="inlineStr">
        <is>
          <t>1</t>
        </is>
      </c>
      <c r="J1172" t="inlineStr">
        <is>
          <t>No</t>
        </is>
      </c>
      <c r="K1172" t="inlineStr">
        <is>
          <t>Yes</t>
        </is>
      </c>
      <c r="L1172" t="inlineStr">
        <is>
          <t>0</t>
        </is>
      </c>
      <c r="M1172" t="inlineStr">
        <is>
          <t>Anderson, Elizabeth T.</t>
        </is>
      </c>
      <c r="N1172" t="inlineStr">
        <is>
          <t>Philadelphia : Lippincott Williams &amp; Wilkins, c2008.</t>
        </is>
      </c>
      <c r="O1172" t="inlineStr">
        <is>
          <t>2008</t>
        </is>
      </c>
      <c r="P1172" t="inlineStr">
        <is>
          <t>5th ed.</t>
        </is>
      </c>
      <c r="Q1172" t="inlineStr">
        <is>
          <t>eng</t>
        </is>
      </c>
      <c r="R1172" t="inlineStr">
        <is>
          <t>pau</t>
        </is>
      </c>
      <c r="T1172" t="inlineStr">
        <is>
          <t xml:space="preserve">WY </t>
        </is>
      </c>
      <c r="U1172" t="n">
        <v>1</v>
      </c>
      <c r="V1172" t="n">
        <v>1</v>
      </c>
      <c r="W1172" t="inlineStr">
        <is>
          <t>2007-02-19</t>
        </is>
      </c>
      <c r="X1172" t="inlineStr">
        <is>
          <t>2007-02-19</t>
        </is>
      </c>
      <c r="Y1172" t="inlineStr">
        <is>
          <t>2007-02-02</t>
        </is>
      </c>
      <c r="Z1172" t="inlineStr">
        <is>
          <t>2007-02-02</t>
        </is>
      </c>
      <c r="AA1172" t="n">
        <v>373</v>
      </c>
      <c r="AB1172" t="n">
        <v>282</v>
      </c>
      <c r="AC1172" t="n">
        <v>810</v>
      </c>
      <c r="AD1172" t="n">
        <v>2</v>
      </c>
      <c r="AE1172" t="n">
        <v>3</v>
      </c>
      <c r="AF1172" t="n">
        <v>7</v>
      </c>
      <c r="AG1172" t="n">
        <v>25</v>
      </c>
      <c r="AH1172" t="n">
        <v>4</v>
      </c>
      <c r="AI1172" t="n">
        <v>10</v>
      </c>
      <c r="AJ1172" t="n">
        <v>0</v>
      </c>
      <c r="AK1172" t="n">
        <v>5</v>
      </c>
      <c r="AL1172" t="n">
        <v>2</v>
      </c>
      <c r="AM1172" t="n">
        <v>14</v>
      </c>
      <c r="AN1172" t="n">
        <v>1</v>
      </c>
      <c r="AO1172" t="n">
        <v>2</v>
      </c>
      <c r="AP1172" t="n">
        <v>0</v>
      </c>
      <c r="AQ1172" t="n">
        <v>0</v>
      </c>
      <c r="AR1172" t="inlineStr">
        <is>
          <t>No</t>
        </is>
      </c>
      <c r="AS1172" t="inlineStr">
        <is>
          <t>No</t>
        </is>
      </c>
      <c r="AU1172">
        <f>HYPERLINK("https://creighton-primo.hosted.exlibrisgroup.com/primo-explore/search?tab=default_tab&amp;search_scope=EVERYTHING&amp;vid=01CRU&amp;lang=en_US&amp;offset=0&amp;query=any,contains,991001747349702656","Catalog Record")</f>
        <v/>
      </c>
      <c r="AV1172">
        <f>HYPERLINK("http://www.worldcat.org/oclc/71350537","WorldCat Record")</f>
        <v/>
      </c>
      <c r="AW1172" t="inlineStr">
        <is>
          <t>9946277:eng</t>
        </is>
      </c>
      <c r="AX1172" t="inlineStr">
        <is>
          <t>71350537</t>
        </is>
      </c>
      <c r="AY1172" t="inlineStr">
        <is>
          <t>991001747349702656</t>
        </is>
      </c>
      <c r="AZ1172" t="inlineStr">
        <is>
          <t>991001747349702656</t>
        </is>
      </c>
      <c r="BA1172" t="inlineStr">
        <is>
          <t>2271223810002656</t>
        </is>
      </c>
      <c r="BB1172" t="inlineStr">
        <is>
          <t>BOOK</t>
        </is>
      </c>
      <c r="BD1172" t="inlineStr">
        <is>
          <t>9780781786430</t>
        </is>
      </c>
      <c r="BE1172" t="inlineStr">
        <is>
          <t>30001005212230</t>
        </is>
      </c>
      <c r="BF1172" t="inlineStr">
        <is>
          <t>893821651</t>
        </is>
      </c>
    </row>
    <row r="1173">
      <c r="A1173" t="inlineStr">
        <is>
          <t>No</t>
        </is>
      </c>
      <c r="B1173" t="inlineStr">
        <is>
          <t>CUHSL</t>
        </is>
      </c>
      <c r="C1173" t="inlineStr">
        <is>
          <t>SHELVES</t>
        </is>
      </c>
      <c r="D1173" t="inlineStr">
        <is>
          <t>WY 106 C265c 1991</t>
        </is>
      </c>
      <c r="E1173" t="inlineStr">
        <is>
          <t>0                      WY 0106000C  265c        1991</t>
        </is>
      </c>
      <c r="F1173" t="inlineStr">
        <is>
          <t>Comprehensive family and community health nursing / Susan Clemen-Stone, Diane Gerber Eigsti, Sandra L. McGuire.</t>
        </is>
      </c>
      <c r="H1173" t="inlineStr">
        <is>
          <t>No</t>
        </is>
      </c>
      <c r="I1173" t="inlineStr">
        <is>
          <t>1</t>
        </is>
      </c>
      <c r="J1173" t="inlineStr">
        <is>
          <t>No</t>
        </is>
      </c>
      <c r="K1173" t="inlineStr">
        <is>
          <t>Yes</t>
        </is>
      </c>
      <c r="L1173" t="inlineStr">
        <is>
          <t>0</t>
        </is>
      </c>
      <c r="M1173" t="inlineStr">
        <is>
          <t>Clemen-Stone, Susan.</t>
        </is>
      </c>
      <c r="N1173" t="inlineStr">
        <is>
          <t>St. Louis : Mosby-Year Book, c1991.</t>
        </is>
      </c>
      <c r="O1173" t="inlineStr">
        <is>
          <t>1991</t>
        </is>
      </c>
      <c r="P1173" t="inlineStr">
        <is>
          <t>3rd ed.</t>
        </is>
      </c>
      <c r="Q1173" t="inlineStr">
        <is>
          <t>eng</t>
        </is>
      </c>
      <c r="R1173" t="inlineStr">
        <is>
          <t>xxu</t>
        </is>
      </c>
      <c r="T1173" t="inlineStr">
        <is>
          <t xml:space="preserve">WY </t>
        </is>
      </c>
      <c r="U1173" t="n">
        <v>9</v>
      </c>
      <c r="V1173" t="n">
        <v>9</v>
      </c>
      <c r="W1173" t="inlineStr">
        <is>
          <t>1996-02-11</t>
        </is>
      </c>
      <c r="X1173" t="inlineStr">
        <is>
          <t>1996-02-11</t>
        </is>
      </c>
      <c r="Y1173" t="inlineStr">
        <is>
          <t>1991-04-23</t>
        </is>
      </c>
      <c r="Z1173" t="inlineStr">
        <is>
          <t>1991-04-23</t>
        </is>
      </c>
      <c r="AA1173" t="n">
        <v>296</v>
      </c>
      <c r="AB1173" t="n">
        <v>232</v>
      </c>
      <c r="AC1173" t="n">
        <v>381</v>
      </c>
      <c r="AD1173" t="n">
        <v>2</v>
      </c>
      <c r="AE1173" t="n">
        <v>3</v>
      </c>
      <c r="AF1173" t="n">
        <v>7</v>
      </c>
      <c r="AG1173" t="n">
        <v>10</v>
      </c>
      <c r="AH1173" t="n">
        <v>2</v>
      </c>
      <c r="AI1173" t="n">
        <v>3</v>
      </c>
      <c r="AJ1173" t="n">
        <v>1</v>
      </c>
      <c r="AK1173" t="n">
        <v>2</v>
      </c>
      <c r="AL1173" t="n">
        <v>4</v>
      </c>
      <c r="AM1173" t="n">
        <v>5</v>
      </c>
      <c r="AN1173" t="n">
        <v>0</v>
      </c>
      <c r="AO1173" t="n">
        <v>1</v>
      </c>
      <c r="AP1173" t="n">
        <v>0</v>
      </c>
      <c r="AQ1173" t="n">
        <v>0</v>
      </c>
      <c r="AR1173" t="inlineStr">
        <is>
          <t>No</t>
        </is>
      </c>
      <c r="AS1173" t="inlineStr">
        <is>
          <t>Yes</t>
        </is>
      </c>
      <c r="AT1173">
        <f>HYPERLINK("http://catalog.hathitrust.org/Record/002473685","HathiTrust Record")</f>
        <v/>
      </c>
      <c r="AU1173">
        <f>HYPERLINK("https://creighton-primo.hosted.exlibrisgroup.com/primo-explore/search?tab=default_tab&amp;search_scope=EVERYTHING&amp;vid=01CRU&amp;lang=en_US&amp;offset=0&amp;query=any,contains,991000827979702656","Catalog Record")</f>
        <v/>
      </c>
      <c r="AV1173">
        <f>HYPERLINK("http://www.worldcat.org/oclc/22422677","WorldCat Record")</f>
        <v/>
      </c>
      <c r="AW1173" t="inlineStr">
        <is>
          <t>3855424266:eng</t>
        </is>
      </c>
      <c r="AX1173" t="inlineStr">
        <is>
          <t>22422677</t>
        </is>
      </c>
      <c r="AY1173" t="inlineStr">
        <is>
          <t>991000827979702656</t>
        </is>
      </c>
      <c r="AZ1173" t="inlineStr">
        <is>
          <t>991000827979702656</t>
        </is>
      </c>
      <c r="BA1173" t="inlineStr">
        <is>
          <t>2265222130002656</t>
        </is>
      </c>
      <c r="BB1173" t="inlineStr">
        <is>
          <t>BOOK</t>
        </is>
      </c>
      <c r="BD1173" t="inlineStr">
        <is>
          <t>9780801660689</t>
        </is>
      </c>
      <c r="BE1173" t="inlineStr">
        <is>
          <t>30001002089854</t>
        </is>
      </c>
      <c r="BF1173" t="inlineStr">
        <is>
          <t>893273292</t>
        </is>
      </c>
    </row>
    <row r="1174">
      <c r="A1174" t="inlineStr">
        <is>
          <t>No</t>
        </is>
      </c>
      <c r="B1174" t="inlineStr">
        <is>
          <t>CUHSL</t>
        </is>
      </c>
      <c r="C1174" t="inlineStr">
        <is>
          <t>SHELVES</t>
        </is>
      </c>
      <c r="D1174" t="inlineStr">
        <is>
          <t>WY106 C277 2005</t>
        </is>
      </c>
      <c r="E1174" t="inlineStr">
        <is>
          <t>0                      WY 0106000C  277         2005</t>
        </is>
      </c>
      <c r="F1174" t="inlineStr">
        <is>
          <t>Caring for the vulnerable : perspectives in nursing theory, practice, and research / editor, Mary de Chesnay.</t>
        </is>
      </c>
      <c r="H1174" t="inlineStr">
        <is>
          <t>No</t>
        </is>
      </c>
      <c r="I1174" t="inlineStr">
        <is>
          <t>1</t>
        </is>
      </c>
      <c r="J1174" t="inlineStr">
        <is>
          <t>No</t>
        </is>
      </c>
      <c r="K1174" t="inlineStr">
        <is>
          <t>Yes</t>
        </is>
      </c>
      <c r="L1174" t="inlineStr">
        <is>
          <t>0</t>
        </is>
      </c>
      <c r="N1174" t="inlineStr">
        <is>
          <t>Sudbury, Mass. : Jones and Bartlett, c2005.</t>
        </is>
      </c>
      <c r="O1174" t="inlineStr">
        <is>
          <t>2005</t>
        </is>
      </c>
      <c r="P1174" t="inlineStr">
        <is>
          <t>1st ed.</t>
        </is>
      </c>
      <c r="Q1174" t="inlineStr">
        <is>
          <t>eng</t>
        </is>
      </c>
      <c r="R1174" t="inlineStr">
        <is>
          <t>mau</t>
        </is>
      </c>
      <c r="T1174" t="inlineStr">
        <is>
          <t xml:space="preserve">WY </t>
        </is>
      </c>
      <c r="U1174" t="n">
        <v>3</v>
      </c>
      <c r="V1174" t="n">
        <v>3</v>
      </c>
      <c r="W1174" t="inlineStr">
        <is>
          <t>2009-10-12</t>
        </is>
      </c>
      <c r="X1174" t="inlineStr">
        <is>
          <t>2009-10-12</t>
        </is>
      </c>
      <c r="Y1174" t="inlineStr">
        <is>
          <t>2005-01-28</t>
        </is>
      </c>
      <c r="Z1174" t="inlineStr">
        <is>
          <t>2005-01-28</t>
        </is>
      </c>
      <c r="AA1174" t="n">
        <v>377</v>
      </c>
      <c r="AB1174" t="n">
        <v>306</v>
      </c>
      <c r="AC1174" t="n">
        <v>860</v>
      </c>
      <c r="AD1174" t="n">
        <v>3</v>
      </c>
      <c r="AE1174" t="n">
        <v>8</v>
      </c>
      <c r="AF1174" t="n">
        <v>15</v>
      </c>
      <c r="AG1174" t="n">
        <v>38</v>
      </c>
      <c r="AH1174" t="n">
        <v>8</v>
      </c>
      <c r="AI1174" t="n">
        <v>16</v>
      </c>
      <c r="AJ1174" t="n">
        <v>1</v>
      </c>
      <c r="AK1174" t="n">
        <v>7</v>
      </c>
      <c r="AL1174" t="n">
        <v>8</v>
      </c>
      <c r="AM1174" t="n">
        <v>16</v>
      </c>
      <c r="AN1174" t="n">
        <v>2</v>
      </c>
      <c r="AO1174" t="n">
        <v>7</v>
      </c>
      <c r="AP1174" t="n">
        <v>0</v>
      </c>
      <c r="AQ1174" t="n">
        <v>0</v>
      </c>
      <c r="AR1174" t="inlineStr">
        <is>
          <t>No</t>
        </is>
      </c>
      <c r="AS1174" t="inlineStr">
        <is>
          <t>Yes</t>
        </is>
      </c>
      <c r="AT1174">
        <f>HYPERLINK("http://catalog.hathitrust.org/Record/004929462","HathiTrust Record")</f>
        <v/>
      </c>
      <c r="AU1174">
        <f>HYPERLINK("https://creighton-primo.hosted.exlibrisgroup.com/primo-explore/search?tab=default_tab&amp;search_scope=EVERYTHING&amp;vid=01CRU&amp;lang=en_US&amp;offset=0&amp;query=any,contains,991000425279702656","Catalog Record")</f>
        <v/>
      </c>
      <c r="AV1174">
        <f>HYPERLINK("http://www.worldcat.org/oclc/54906892","WorldCat Record")</f>
        <v/>
      </c>
      <c r="AW1174" t="inlineStr">
        <is>
          <t>792437565:eng</t>
        </is>
      </c>
      <c r="AX1174" t="inlineStr">
        <is>
          <t>54906892</t>
        </is>
      </c>
      <c r="AY1174" t="inlineStr">
        <is>
          <t>991000425279702656</t>
        </is>
      </c>
      <c r="AZ1174" t="inlineStr">
        <is>
          <t>991000425279702656</t>
        </is>
      </c>
      <c r="BA1174" t="inlineStr">
        <is>
          <t>2257357450002656</t>
        </is>
      </c>
      <c r="BB1174" t="inlineStr">
        <is>
          <t>BOOK</t>
        </is>
      </c>
      <c r="BD1174" t="inlineStr">
        <is>
          <t>9780763747640</t>
        </is>
      </c>
      <c r="BE1174" t="inlineStr">
        <is>
          <t>30001004926491</t>
        </is>
      </c>
      <c r="BF1174" t="inlineStr">
        <is>
          <t>893456679</t>
        </is>
      </c>
    </row>
    <row r="1175">
      <c r="A1175" t="inlineStr">
        <is>
          <t>No</t>
        </is>
      </c>
      <c r="B1175" t="inlineStr">
        <is>
          <t>CUHSL</t>
        </is>
      </c>
      <c r="C1175" t="inlineStr">
        <is>
          <t>SHELVES</t>
        </is>
      </c>
      <c r="D1175" t="inlineStr">
        <is>
          <t>WY 106 C592m 1978</t>
        </is>
      </c>
      <c r="E1175" t="inlineStr">
        <is>
          <t>0                      WY 0106000C  592m        1978</t>
        </is>
      </c>
      <c r="F1175" t="inlineStr">
        <is>
          <t>Mental health aspects of community health nursing / Carolyn Chambers Clark.</t>
        </is>
      </c>
      <c r="H1175" t="inlineStr">
        <is>
          <t>No</t>
        </is>
      </c>
      <c r="I1175" t="inlineStr">
        <is>
          <t>1</t>
        </is>
      </c>
      <c r="J1175" t="inlineStr">
        <is>
          <t>No</t>
        </is>
      </c>
      <c r="K1175" t="inlineStr">
        <is>
          <t>No</t>
        </is>
      </c>
      <c r="L1175" t="inlineStr">
        <is>
          <t>0</t>
        </is>
      </c>
      <c r="M1175" t="inlineStr">
        <is>
          <t>Clark, Carolyn Chambers.</t>
        </is>
      </c>
      <c r="N1175" t="inlineStr">
        <is>
          <t>-- New York : McGraw-Hill, c1978.</t>
        </is>
      </c>
      <c r="O1175" t="inlineStr">
        <is>
          <t>1978</t>
        </is>
      </c>
      <c r="Q1175" t="inlineStr">
        <is>
          <t>eng</t>
        </is>
      </c>
      <c r="R1175" t="inlineStr">
        <is>
          <t>nyu</t>
        </is>
      </c>
      <c r="T1175" t="inlineStr">
        <is>
          <t xml:space="preserve">WY </t>
        </is>
      </c>
      <c r="U1175" t="n">
        <v>2</v>
      </c>
      <c r="V1175" t="n">
        <v>2</v>
      </c>
      <c r="W1175" t="inlineStr">
        <is>
          <t>1991-09-29</t>
        </is>
      </c>
      <c r="X1175" t="inlineStr">
        <is>
          <t>1991-09-29</t>
        </is>
      </c>
      <c r="Y1175" t="inlineStr">
        <is>
          <t>1989-09-19</t>
        </is>
      </c>
      <c r="Z1175" t="inlineStr">
        <is>
          <t>1989-09-19</t>
        </is>
      </c>
      <c r="AA1175" t="n">
        <v>189</v>
      </c>
      <c r="AB1175" t="n">
        <v>148</v>
      </c>
      <c r="AC1175" t="n">
        <v>151</v>
      </c>
      <c r="AD1175" t="n">
        <v>3</v>
      </c>
      <c r="AE1175" t="n">
        <v>3</v>
      </c>
      <c r="AF1175" t="n">
        <v>6</v>
      </c>
      <c r="AG1175" t="n">
        <v>6</v>
      </c>
      <c r="AH1175" t="n">
        <v>0</v>
      </c>
      <c r="AI1175" t="n">
        <v>0</v>
      </c>
      <c r="AJ1175" t="n">
        <v>2</v>
      </c>
      <c r="AK1175" t="n">
        <v>2</v>
      </c>
      <c r="AL1175" t="n">
        <v>3</v>
      </c>
      <c r="AM1175" t="n">
        <v>3</v>
      </c>
      <c r="AN1175" t="n">
        <v>2</v>
      </c>
      <c r="AO1175" t="n">
        <v>2</v>
      </c>
      <c r="AP1175" t="n">
        <v>0</v>
      </c>
      <c r="AQ1175" t="n">
        <v>0</v>
      </c>
      <c r="AR1175" t="inlineStr">
        <is>
          <t>No</t>
        </is>
      </c>
      <c r="AS1175" t="inlineStr">
        <is>
          <t>Yes</t>
        </is>
      </c>
      <c r="AT1175">
        <f>HYPERLINK("http://catalog.hathitrust.org/Record/006221675","HathiTrust Record")</f>
        <v/>
      </c>
      <c r="AU1175">
        <f>HYPERLINK("https://creighton-primo.hosted.exlibrisgroup.com/primo-explore/search?tab=default_tab&amp;search_scope=EVERYTHING&amp;vid=01CRU&amp;lang=en_US&amp;offset=0&amp;query=any,contains,991001324599702656","Catalog Record")</f>
        <v/>
      </c>
      <c r="AV1175">
        <f>HYPERLINK("http://www.worldcat.org/oclc/3845363","WorldCat Record")</f>
        <v/>
      </c>
      <c r="AW1175" t="inlineStr">
        <is>
          <t>13355743:eng</t>
        </is>
      </c>
      <c r="AX1175" t="inlineStr">
        <is>
          <t>3845363</t>
        </is>
      </c>
      <c r="AY1175" t="inlineStr">
        <is>
          <t>991001324599702656</t>
        </is>
      </c>
      <c r="AZ1175" t="inlineStr">
        <is>
          <t>991001324599702656</t>
        </is>
      </c>
      <c r="BA1175" t="inlineStr">
        <is>
          <t>2262789510002656</t>
        </is>
      </c>
      <c r="BB1175" t="inlineStr">
        <is>
          <t>BOOK</t>
        </is>
      </c>
      <c r="BD1175" t="inlineStr">
        <is>
          <t>9780070111509</t>
        </is>
      </c>
      <c r="BE1175" t="inlineStr">
        <is>
          <t>30001001754383</t>
        </is>
      </c>
      <c r="BF1175" t="inlineStr">
        <is>
          <t>893460472</t>
        </is>
      </c>
    </row>
    <row r="1176">
      <c r="A1176" t="inlineStr">
        <is>
          <t>No</t>
        </is>
      </c>
      <c r="B1176" t="inlineStr">
        <is>
          <t>CUHSL</t>
        </is>
      </c>
      <c r="C1176" t="inlineStr">
        <is>
          <t>SHELVES</t>
        </is>
      </c>
      <c r="D1176" t="inlineStr">
        <is>
          <t>WY 106 C594ca 2003</t>
        </is>
      </c>
      <c r="E1176" t="inlineStr">
        <is>
          <t>0                      WY 0106000C  594ca       2003</t>
        </is>
      </c>
      <c r="F1176" t="inlineStr">
        <is>
          <t>Community health nursing : caring for populations / Mary Jo Clark.</t>
        </is>
      </c>
      <c r="H1176" t="inlineStr">
        <is>
          <t>No</t>
        </is>
      </c>
      <c r="I1176" t="inlineStr">
        <is>
          <t>1</t>
        </is>
      </c>
      <c r="J1176" t="inlineStr">
        <is>
          <t>No</t>
        </is>
      </c>
      <c r="K1176" t="inlineStr">
        <is>
          <t>No</t>
        </is>
      </c>
      <c r="L1176" t="inlineStr">
        <is>
          <t>0</t>
        </is>
      </c>
      <c r="M1176" t="inlineStr">
        <is>
          <t>Clark, Mary Jo Dummer.</t>
        </is>
      </c>
      <c r="N1176" t="inlineStr">
        <is>
          <t>Upper Saddle River, N.J. : Prentice Hall, 2003.</t>
        </is>
      </c>
      <c r="O1176" t="inlineStr">
        <is>
          <t>2003</t>
        </is>
      </c>
      <c r="P1176" t="inlineStr">
        <is>
          <t>4th ed.</t>
        </is>
      </c>
      <c r="Q1176" t="inlineStr">
        <is>
          <t>eng</t>
        </is>
      </c>
      <c r="R1176" t="inlineStr">
        <is>
          <t>nju</t>
        </is>
      </c>
      <c r="T1176" t="inlineStr">
        <is>
          <t xml:space="preserve">WY </t>
        </is>
      </c>
      <c r="U1176" t="n">
        <v>0</v>
      </c>
      <c r="V1176" t="n">
        <v>0</v>
      </c>
      <c r="W1176" t="inlineStr">
        <is>
          <t>2004-09-20</t>
        </is>
      </c>
      <c r="X1176" t="inlineStr">
        <is>
          <t>2004-09-20</t>
        </is>
      </c>
      <c r="Y1176" t="inlineStr">
        <is>
          <t>2004-09-16</t>
        </is>
      </c>
      <c r="Z1176" t="inlineStr">
        <is>
          <t>2004-09-16</t>
        </is>
      </c>
      <c r="AA1176" t="n">
        <v>326</v>
      </c>
      <c r="AB1176" t="n">
        <v>229</v>
      </c>
      <c r="AC1176" t="n">
        <v>236</v>
      </c>
      <c r="AD1176" t="n">
        <v>1</v>
      </c>
      <c r="AE1176" t="n">
        <v>1</v>
      </c>
      <c r="AF1176" t="n">
        <v>9</v>
      </c>
      <c r="AG1176" t="n">
        <v>9</v>
      </c>
      <c r="AH1176" t="n">
        <v>5</v>
      </c>
      <c r="AI1176" t="n">
        <v>5</v>
      </c>
      <c r="AJ1176" t="n">
        <v>1</v>
      </c>
      <c r="AK1176" t="n">
        <v>1</v>
      </c>
      <c r="AL1176" t="n">
        <v>4</v>
      </c>
      <c r="AM1176" t="n">
        <v>4</v>
      </c>
      <c r="AN1176" t="n">
        <v>0</v>
      </c>
      <c r="AO1176" t="n">
        <v>0</v>
      </c>
      <c r="AP1176" t="n">
        <v>0</v>
      </c>
      <c r="AQ1176" t="n">
        <v>0</v>
      </c>
      <c r="AR1176" t="inlineStr">
        <is>
          <t>No</t>
        </is>
      </c>
      <c r="AS1176" t="inlineStr">
        <is>
          <t>Yes</t>
        </is>
      </c>
      <c r="AT1176">
        <f>HYPERLINK("http://catalog.hathitrust.org/Record/004241656","HathiTrust Record")</f>
        <v/>
      </c>
      <c r="AU1176">
        <f>HYPERLINK("https://creighton-primo.hosted.exlibrisgroup.com/primo-explore/search?tab=default_tab&amp;search_scope=EVERYTHING&amp;vid=01CRU&amp;lang=en_US&amp;offset=0&amp;query=any,contains,991001729869702656","Catalog Record")</f>
        <v/>
      </c>
      <c r="AV1176">
        <f>HYPERLINK("http://www.worldcat.org/oclc/48551123","WorldCat Record")</f>
        <v/>
      </c>
      <c r="AW1176" t="inlineStr">
        <is>
          <t>3944049389:eng</t>
        </is>
      </c>
      <c r="AX1176" t="inlineStr">
        <is>
          <t>48551123</t>
        </is>
      </c>
      <c r="AY1176" t="inlineStr">
        <is>
          <t>991001729869702656</t>
        </is>
      </c>
      <c r="AZ1176" t="inlineStr">
        <is>
          <t>991001729869702656</t>
        </is>
      </c>
      <c r="BA1176" t="inlineStr">
        <is>
          <t>2265610090002656</t>
        </is>
      </c>
      <c r="BB1176" t="inlineStr">
        <is>
          <t>BOOK</t>
        </is>
      </c>
      <c r="BD1176" t="inlineStr">
        <is>
          <t>9780130941497</t>
        </is>
      </c>
      <c r="BE1176" t="inlineStr">
        <is>
          <t>30001004840882</t>
        </is>
      </c>
      <c r="BF1176" t="inlineStr">
        <is>
          <t>893274430</t>
        </is>
      </c>
    </row>
    <row r="1177">
      <c r="A1177" t="inlineStr">
        <is>
          <t>No</t>
        </is>
      </c>
      <c r="B1177" t="inlineStr">
        <is>
          <t>CUHSL</t>
        </is>
      </c>
      <c r="C1177" t="inlineStr">
        <is>
          <t>SHELVES</t>
        </is>
      </c>
      <c r="D1177" t="inlineStr">
        <is>
          <t>WY 106 C625c 1995</t>
        </is>
      </c>
      <c r="E1177" t="inlineStr">
        <is>
          <t>0                      WY 0106000C  625c        1995</t>
        </is>
      </c>
      <c r="F1177" t="inlineStr">
        <is>
          <t>Comprehensive community health nursing : family, aggregate, &amp; community practice / Susan Clemen-Stone, Diane Gerber Eigsti, Sandra L. McGuire.</t>
        </is>
      </c>
      <c r="H1177" t="inlineStr">
        <is>
          <t>No</t>
        </is>
      </c>
      <c r="I1177" t="inlineStr">
        <is>
          <t>1</t>
        </is>
      </c>
      <c r="J1177" t="inlineStr">
        <is>
          <t>No</t>
        </is>
      </c>
      <c r="K1177" t="inlineStr">
        <is>
          <t>Yes</t>
        </is>
      </c>
      <c r="L1177" t="inlineStr">
        <is>
          <t>0</t>
        </is>
      </c>
      <c r="M1177" t="inlineStr">
        <is>
          <t>Clemen-Stone, Susan.</t>
        </is>
      </c>
      <c r="N1177" t="inlineStr">
        <is>
          <t>St. Louis : Mosby, c1995.</t>
        </is>
      </c>
      <c r="O1177" t="inlineStr">
        <is>
          <t>1995</t>
        </is>
      </c>
      <c r="P1177" t="inlineStr">
        <is>
          <t>4th ed.</t>
        </is>
      </c>
      <c r="Q1177" t="inlineStr">
        <is>
          <t>eng</t>
        </is>
      </c>
      <c r="R1177" t="inlineStr">
        <is>
          <t>mou</t>
        </is>
      </c>
      <c r="T1177" t="inlineStr">
        <is>
          <t xml:space="preserve">WY </t>
        </is>
      </c>
      <c r="U1177" t="n">
        <v>4</v>
      </c>
      <c r="V1177" t="n">
        <v>4</v>
      </c>
      <c r="W1177" t="inlineStr">
        <is>
          <t>1999-10-12</t>
        </is>
      </c>
      <c r="X1177" t="inlineStr">
        <is>
          <t>1999-10-12</t>
        </is>
      </c>
      <c r="Y1177" t="inlineStr">
        <is>
          <t>1996-06-25</t>
        </is>
      </c>
      <c r="Z1177" t="inlineStr">
        <is>
          <t>1996-06-25</t>
        </is>
      </c>
      <c r="AA1177" t="n">
        <v>261</v>
      </c>
      <c r="AB1177" t="n">
        <v>199</v>
      </c>
      <c r="AC1177" t="n">
        <v>525</v>
      </c>
      <c r="AD1177" t="n">
        <v>2</v>
      </c>
      <c r="AE1177" t="n">
        <v>4</v>
      </c>
      <c r="AF1177" t="n">
        <v>5</v>
      </c>
      <c r="AG1177" t="n">
        <v>21</v>
      </c>
      <c r="AH1177" t="n">
        <v>1</v>
      </c>
      <c r="AI1177" t="n">
        <v>7</v>
      </c>
      <c r="AJ1177" t="n">
        <v>1</v>
      </c>
      <c r="AK1177" t="n">
        <v>4</v>
      </c>
      <c r="AL1177" t="n">
        <v>3</v>
      </c>
      <c r="AM1177" t="n">
        <v>11</v>
      </c>
      <c r="AN1177" t="n">
        <v>0</v>
      </c>
      <c r="AO1177" t="n">
        <v>2</v>
      </c>
      <c r="AP1177" t="n">
        <v>0</v>
      </c>
      <c r="AQ1177" t="n">
        <v>0</v>
      </c>
      <c r="AR1177" t="inlineStr">
        <is>
          <t>No</t>
        </is>
      </c>
      <c r="AS1177" t="inlineStr">
        <is>
          <t>Yes</t>
        </is>
      </c>
      <c r="AT1177">
        <f>HYPERLINK("http://catalog.hathitrust.org/Record/002933173","HathiTrust Record")</f>
        <v/>
      </c>
      <c r="AU1177">
        <f>HYPERLINK("https://creighton-primo.hosted.exlibrisgroup.com/primo-explore/search?tab=default_tab&amp;search_scope=EVERYTHING&amp;vid=01CRU&amp;lang=en_US&amp;offset=0&amp;query=any,contains,991001507649702656","Catalog Record")</f>
        <v/>
      </c>
      <c r="AV1177">
        <f>HYPERLINK("http://www.worldcat.org/oclc/31909904","WorldCat Record")</f>
        <v/>
      </c>
      <c r="AW1177" t="inlineStr">
        <is>
          <t>2636814:eng</t>
        </is>
      </c>
      <c r="AX1177" t="inlineStr">
        <is>
          <t>31909904</t>
        </is>
      </c>
      <c r="AY1177" t="inlineStr">
        <is>
          <t>991001507649702656</t>
        </is>
      </c>
      <c r="AZ1177" t="inlineStr">
        <is>
          <t>991001507649702656</t>
        </is>
      </c>
      <c r="BA1177" t="inlineStr">
        <is>
          <t>2269229040002656</t>
        </is>
      </c>
      <c r="BB1177" t="inlineStr">
        <is>
          <t>BOOK</t>
        </is>
      </c>
      <c r="BD1177" t="inlineStr">
        <is>
          <t>9780801679407</t>
        </is>
      </c>
      <c r="BE1177" t="inlineStr">
        <is>
          <t>30001003264910</t>
        </is>
      </c>
      <c r="BF1177" t="inlineStr">
        <is>
          <t>893832247</t>
        </is>
      </c>
    </row>
    <row r="1178">
      <c r="A1178" t="inlineStr">
        <is>
          <t>No</t>
        </is>
      </c>
      <c r="B1178" t="inlineStr">
        <is>
          <t>CUHSL</t>
        </is>
      </c>
      <c r="C1178" t="inlineStr">
        <is>
          <t>SHELVES</t>
        </is>
      </c>
      <c r="D1178" t="inlineStr">
        <is>
          <t>WY 106 C625c 1998</t>
        </is>
      </c>
      <c r="E1178" t="inlineStr">
        <is>
          <t>0                      WY 0106000C  625c        1998</t>
        </is>
      </c>
      <c r="F1178" t="inlineStr">
        <is>
          <t>Comprehensive community health nursing : family, aggregate, &amp; community practice / Susan Clemen-Stone, Sandra L. McGuire, Diane Gerber Eigsti ; with contributions by Ella M. Brooks.</t>
        </is>
      </c>
      <c r="H1178" t="inlineStr">
        <is>
          <t>No</t>
        </is>
      </c>
      <c r="I1178" t="inlineStr">
        <is>
          <t>1</t>
        </is>
      </c>
      <c r="J1178" t="inlineStr">
        <is>
          <t>No</t>
        </is>
      </c>
      <c r="K1178" t="inlineStr">
        <is>
          <t>Yes</t>
        </is>
      </c>
      <c r="L1178" t="inlineStr">
        <is>
          <t>0</t>
        </is>
      </c>
      <c r="M1178" t="inlineStr">
        <is>
          <t>Clemen-Stone, Susan.</t>
        </is>
      </c>
      <c r="N1178" t="inlineStr">
        <is>
          <t>St. Louis : Mosby, c1998.</t>
        </is>
      </c>
      <c r="O1178" t="inlineStr">
        <is>
          <t>1998</t>
        </is>
      </c>
      <c r="Q1178" t="inlineStr">
        <is>
          <t>eng</t>
        </is>
      </c>
      <c r="R1178" t="inlineStr">
        <is>
          <t>mou</t>
        </is>
      </c>
      <c r="T1178" t="inlineStr">
        <is>
          <t xml:space="preserve">WY </t>
        </is>
      </c>
      <c r="U1178" t="n">
        <v>26</v>
      </c>
      <c r="V1178" t="n">
        <v>26</v>
      </c>
      <c r="W1178" t="inlineStr">
        <is>
          <t>2001-10-02</t>
        </is>
      </c>
      <c r="X1178" t="inlineStr">
        <is>
          <t>2001-10-02</t>
        </is>
      </c>
      <c r="Y1178" t="inlineStr">
        <is>
          <t>1998-01-26</t>
        </is>
      </c>
      <c r="Z1178" t="inlineStr">
        <is>
          <t>1998-01-26</t>
        </is>
      </c>
      <c r="AA1178" t="n">
        <v>275</v>
      </c>
      <c r="AB1178" t="n">
        <v>199</v>
      </c>
      <c r="AC1178" t="n">
        <v>525</v>
      </c>
      <c r="AD1178" t="n">
        <v>1</v>
      </c>
      <c r="AE1178" t="n">
        <v>4</v>
      </c>
      <c r="AF1178" t="n">
        <v>7</v>
      </c>
      <c r="AG1178" t="n">
        <v>21</v>
      </c>
      <c r="AH1178" t="n">
        <v>2</v>
      </c>
      <c r="AI1178" t="n">
        <v>7</v>
      </c>
      <c r="AJ1178" t="n">
        <v>3</v>
      </c>
      <c r="AK1178" t="n">
        <v>4</v>
      </c>
      <c r="AL1178" t="n">
        <v>4</v>
      </c>
      <c r="AM1178" t="n">
        <v>11</v>
      </c>
      <c r="AN1178" t="n">
        <v>0</v>
      </c>
      <c r="AO1178" t="n">
        <v>2</v>
      </c>
      <c r="AP1178" t="n">
        <v>0</v>
      </c>
      <c r="AQ1178" t="n">
        <v>0</v>
      </c>
      <c r="AR1178" t="inlineStr">
        <is>
          <t>No</t>
        </is>
      </c>
      <c r="AS1178" t="inlineStr">
        <is>
          <t>Yes</t>
        </is>
      </c>
      <c r="AT1178">
        <f>HYPERLINK("http://catalog.hathitrust.org/Record/003241180","HathiTrust Record")</f>
        <v/>
      </c>
      <c r="AU1178">
        <f>HYPERLINK("https://creighton-primo.hosted.exlibrisgroup.com/primo-explore/search?tab=default_tab&amp;search_scope=EVERYTHING&amp;vid=01CRU&amp;lang=en_US&amp;offset=0&amp;query=any,contains,991001295479702656","Catalog Record")</f>
        <v/>
      </c>
      <c r="AV1178">
        <f>HYPERLINK("http://www.worldcat.org/oclc/37640450","WorldCat Record")</f>
        <v/>
      </c>
      <c r="AW1178" t="inlineStr">
        <is>
          <t>2636814:eng</t>
        </is>
      </c>
      <c r="AX1178" t="inlineStr">
        <is>
          <t>37640450</t>
        </is>
      </c>
      <c r="AY1178" t="inlineStr">
        <is>
          <t>991001295479702656</t>
        </is>
      </c>
      <c r="AZ1178" t="inlineStr">
        <is>
          <t>991001295479702656</t>
        </is>
      </c>
      <c r="BA1178" t="inlineStr">
        <is>
          <t>2269106210002656</t>
        </is>
      </c>
      <c r="BB1178" t="inlineStr">
        <is>
          <t>BOOK</t>
        </is>
      </c>
      <c r="BD1178" t="inlineStr">
        <is>
          <t>9780815113249</t>
        </is>
      </c>
      <c r="BE1178" t="inlineStr">
        <is>
          <t>30001003741826</t>
        </is>
      </c>
      <c r="BF1178" t="inlineStr">
        <is>
          <t>893731853</t>
        </is>
      </c>
    </row>
    <row r="1179">
      <c r="A1179" t="inlineStr">
        <is>
          <t>No</t>
        </is>
      </c>
      <c r="B1179" t="inlineStr">
        <is>
          <t>CUHSL</t>
        </is>
      </c>
      <c r="C1179" t="inlineStr">
        <is>
          <t>SHELVES</t>
        </is>
      </c>
      <c r="D1179" t="inlineStr">
        <is>
          <t>WY106 C7332 2004</t>
        </is>
      </c>
      <c r="E1179" t="inlineStr">
        <is>
          <t>0                      WY 0106000C  7332        2004</t>
        </is>
      </c>
      <c r="F1179" t="inlineStr">
        <is>
          <t>Community &amp; public health nursing / [edited by] Marcia Stanhope, Jeanette Lancaster.</t>
        </is>
      </c>
      <c r="H1179" t="inlineStr">
        <is>
          <t>No</t>
        </is>
      </c>
      <c r="I1179" t="inlineStr">
        <is>
          <t>1</t>
        </is>
      </c>
      <c r="J1179" t="inlineStr">
        <is>
          <t>No</t>
        </is>
      </c>
      <c r="K1179" t="inlineStr">
        <is>
          <t>Yes</t>
        </is>
      </c>
      <c r="L1179" t="inlineStr">
        <is>
          <t>0</t>
        </is>
      </c>
      <c r="N1179" t="inlineStr">
        <is>
          <t>St. Louis, Mo. : Mosby, c2004.</t>
        </is>
      </c>
      <c r="O1179" t="inlineStr">
        <is>
          <t>2004</t>
        </is>
      </c>
      <c r="P1179" t="inlineStr">
        <is>
          <t>6th ed.</t>
        </is>
      </c>
      <c r="Q1179" t="inlineStr">
        <is>
          <t>eng</t>
        </is>
      </c>
      <c r="R1179" t="inlineStr">
        <is>
          <t>mou</t>
        </is>
      </c>
      <c r="T1179" t="inlineStr">
        <is>
          <t xml:space="preserve">WY </t>
        </is>
      </c>
      <c r="U1179" t="n">
        <v>62</v>
      </c>
      <c r="V1179" t="n">
        <v>62</v>
      </c>
      <c r="W1179" t="inlineStr">
        <is>
          <t>2007-02-13</t>
        </is>
      </c>
      <c r="X1179" t="inlineStr">
        <is>
          <t>2007-02-13</t>
        </is>
      </c>
      <c r="Y1179" t="inlineStr">
        <is>
          <t>2004-01-08</t>
        </is>
      </c>
      <c r="Z1179" t="inlineStr">
        <is>
          <t>2004-01-08</t>
        </is>
      </c>
      <c r="AA1179" t="n">
        <v>490</v>
      </c>
      <c r="AB1179" t="n">
        <v>349</v>
      </c>
      <c r="AC1179" t="n">
        <v>485</v>
      </c>
      <c r="AD1179" t="n">
        <v>5</v>
      </c>
      <c r="AE1179" t="n">
        <v>5</v>
      </c>
      <c r="AF1179" t="n">
        <v>19</v>
      </c>
      <c r="AG1179" t="n">
        <v>23</v>
      </c>
      <c r="AH1179" t="n">
        <v>9</v>
      </c>
      <c r="AI1179" t="n">
        <v>10</v>
      </c>
      <c r="AJ1179" t="n">
        <v>2</v>
      </c>
      <c r="AK1179" t="n">
        <v>3</v>
      </c>
      <c r="AL1179" t="n">
        <v>6</v>
      </c>
      <c r="AM1179" t="n">
        <v>9</v>
      </c>
      <c r="AN1179" t="n">
        <v>4</v>
      </c>
      <c r="AO1179" t="n">
        <v>4</v>
      </c>
      <c r="AP1179" t="n">
        <v>0</v>
      </c>
      <c r="AQ1179" t="n">
        <v>0</v>
      </c>
      <c r="AR1179" t="inlineStr">
        <is>
          <t>No</t>
        </is>
      </c>
      <c r="AS1179" t="inlineStr">
        <is>
          <t>No</t>
        </is>
      </c>
      <c r="AU1179">
        <f>HYPERLINK("https://creighton-primo.hosted.exlibrisgroup.com/primo-explore/search?tab=default_tab&amp;search_scope=EVERYTHING&amp;vid=01CRU&amp;lang=en_US&amp;offset=0&amp;query=any,contains,991001725169702656","Catalog Record")</f>
        <v/>
      </c>
      <c r="AV1179">
        <f>HYPERLINK("http://www.worldcat.org/oclc/52738702","WorldCat Record")</f>
        <v/>
      </c>
      <c r="AW1179" t="inlineStr">
        <is>
          <t>374497759:eng</t>
        </is>
      </c>
      <c r="AX1179" t="inlineStr">
        <is>
          <t>52738702</t>
        </is>
      </c>
      <c r="AY1179" t="inlineStr">
        <is>
          <t>991001725169702656</t>
        </is>
      </c>
      <c r="AZ1179" t="inlineStr">
        <is>
          <t>991001725169702656</t>
        </is>
      </c>
      <c r="BA1179" t="inlineStr">
        <is>
          <t>2272784970002656</t>
        </is>
      </c>
      <c r="BB1179" t="inlineStr">
        <is>
          <t>BOOK</t>
        </is>
      </c>
      <c r="BD1179" t="inlineStr">
        <is>
          <t>9780323022408</t>
        </is>
      </c>
      <c r="BE1179" t="inlineStr">
        <is>
          <t>30001004508182</t>
        </is>
      </c>
      <c r="BF1179" t="inlineStr">
        <is>
          <t>893285022</t>
        </is>
      </c>
    </row>
    <row r="1180">
      <c r="A1180" t="inlineStr">
        <is>
          <t>No</t>
        </is>
      </c>
      <c r="B1180" t="inlineStr">
        <is>
          <t>CUHSL</t>
        </is>
      </c>
      <c r="C1180" t="inlineStr">
        <is>
          <t>SHELVES</t>
        </is>
      </c>
      <c r="D1180" t="inlineStr">
        <is>
          <t>WY 106 C7334 1988</t>
        </is>
      </c>
      <c r="E1180" t="inlineStr">
        <is>
          <t>0                      WY 0106000C  7334        1988</t>
        </is>
      </c>
      <c r="F1180" t="inlineStr">
        <is>
          <t>Community as client : application of the nursing process / [edited by] Elizabeth T. Anderson, Judith M. McFarlane ; with 11 contributors.</t>
        </is>
      </c>
      <c r="H1180" t="inlineStr">
        <is>
          <t>No</t>
        </is>
      </c>
      <c r="I1180" t="inlineStr">
        <is>
          <t>1</t>
        </is>
      </c>
      <c r="J1180" t="inlineStr">
        <is>
          <t>No</t>
        </is>
      </c>
      <c r="K1180" t="inlineStr">
        <is>
          <t>No</t>
        </is>
      </c>
      <c r="L1180" t="inlineStr">
        <is>
          <t>0</t>
        </is>
      </c>
      <c r="N1180" t="inlineStr">
        <is>
          <t>New York : Lippincott, c1988.</t>
        </is>
      </c>
      <c r="O1180" t="inlineStr">
        <is>
          <t>1988</t>
        </is>
      </c>
      <c r="Q1180" t="inlineStr">
        <is>
          <t>eng</t>
        </is>
      </c>
      <c r="R1180" t="inlineStr">
        <is>
          <t>xxu</t>
        </is>
      </c>
      <c r="T1180" t="inlineStr">
        <is>
          <t xml:space="preserve">WY </t>
        </is>
      </c>
      <c r="U1180" t="n">
        <v>8</v>
      </c>
      <c r="V1180" t="n">
        <v>8</v>
      </c>
      <c r="W1180" t="inlineStr">
        <is>
          <t>1992-01-31</t>
        </is>
      </c>
      <c r="X1180" t="inlineStr">
        <is>
          <t>1992-01-31</t>
        </is>
      </c>
      <c r="Y1180" t="inlineStr">
        <is>
          <t>1988-05-09</t>
        </is>
      </c>
      <c r="Z1180" t="inlineStr">
        <is>
          <t>1988-05-09</t>
        </is>
      </c>
      <c r="AA1180" t="n">
        <v>253</v>
      </c>
      <c r="AB1180" t="n">
        <v>179</v>
      </c>
      <c r="AC1180" t="n">
        <v>181</v>
      </c>
      <c r="AD1180" t="n">
        <v>3</v>
      </c>
      <c r="AE1180" t="n">
        <v>3</v>
      </c>
      <c r="AF1180" t="n">
        <v>6</v>
      </c>
      <c r="AG1180" t="n">
        <v>6</v>
      </c>
      <c r="AH1180" t="n">
        <v>1</v>
      </c>
      <c r="AI1180" t="n">
        <v>1</v>
      </c>
      <c r="AJ1180" t="n">
        <v>2</v>
      </c>
      <c r="AK1180" t="n">
        <v>2</v>
      </c>
      <c r="AL1180" t="n">
        <v>3</v>
      </c>
      <c r="AM1180" t="n">
        <v>3</v>
      </c>
      <c r="AN1180" t="n">
        <v>1</v>
      </c>
      <c r="AO1180" t="n">
        <v>1</v>
      </c>
      <c r="AP1180" t="n">
        <v>0</v>
      </c>
      <c r="AQ1180" t="n">
        <v>0</v>
      </c>
      <c r="AR1180" t="inlineStr">
        <is>
          <t>No</t>
        </is>
      </c>
      <c r="AS1180" t="inlineStr">
        <is>
          <t>Yes</t>
        </is>
      </c>
      <c r="AT1180">
        <f>HYPERLINK("http://catalog.hathitrust.org/Record/000874666","HathiTrust Record")</f>
        <v/>
      </c>
      <c r="AU1180">
        <f>HYPERLINK("https://creighton-primo.hosted.exlibrisgroup.com/primo-explore/search?tab=default_tab&amp;search_scope=EVERYTHING&amp;vid=01CRU&amp;lang=en_US&amp;offset=0&amp;query=any,contains,991001189179702656","Catalog Record")</f>
        <v/>
      </c>
      <c r="AV1180">
        <f>HYPERLINK("http://www.worldcat.org/oclc/16088427","WorldCat Record")</f>
        <v/>
      </c>
      <c r="AW1180" t="inlineStr">
        <is>
          <t>337634752:eng</t>
        </is>
      </c>
      <c r="AX1180" t="inlineStr">
        <is>
          <t>16088427</t>
        </is>
      </c>
      <c r="AY1180" t="inlineStr">
        <is>
          <t>991001189179702656</t>
        </is>
      </c>
      <c r="AZ1180" t="inlineStr">
        <is>
          <t>991001189179702656</t>
        </is>
      </c>
      <c r="BA1180" t="inlineStr">
        <is>
          <t>2263786560002656</t>
        </is>
      </c>
      <c r="BB1180" t="inlineStr">
        <is>
          <t>BOOK</t>
        </is>
      </c>
      <c r="BD1180" t="inlineStr">
        <is>
          <t>9780397545643</t>
        </is>
      </c>
      <c r="BE1180" t="inlineStr">
        <is>
          <t>30001000978884</t>
        </is>
      </c>
      <c r="BF1180" t="inlineStr">
        <is>
          <t>893632797</t>
        </is>
      </c>
    </row>
    <row r="1181">
      <c r="A1181" t="inlineStr">
        <is>
          <t>No</t>
        </is>
      </c>
      <c r="B1181" t="inlineStr">
        <is>
          <t>CUHSL</t>
        </is>
      </c>
      <c r="C1181" t="inlineStr">
        <is>
          <t>SHELVES</t>
        </is>
      </c>
      <c r="D1181" t="inlineStr">
        <is>
          <t>WY 106 C7335 1986</t>
        </is>
      </c>
      <c r="E1181" t="inlineStr">
        <is>
          <t>0                      WY 0106000C  7335        1986</t>
        </is>
      </c>
      <c r="F1181" t="inlineStr">
        <is>
          <t>Community-based nursing services : innovative models / American Nurses' Association, Council of Community Health Nurses.</t>
        </is>
      </c>
      <c r="H1181" t="inlineStr">
        <is>
          <t>No</t>
        </is>
      </c>
      <c r="I1181" t="inlineStr">
        <is>
          <t>1</t>
        </is>
      </c>
      <c r="J1181" t="inlineStr">
        <is>
          <t>No</t>
        </is>
      </c>
      <c r="K1181" t="inlineStr">
        <is>
          <t>No</t>
        </is>
      </c>
      <c r="L1181" t="inlineStr">
        <is>
          <t>0</t>
        </is>
      </c>
      <c r="N1181" t="inlineStr">
        <is>
          <t>Kansas City, Mo. (2420 Pershing Road, Kansas City 64108) : The Association, c1986.</t>
        </is>
      </c>
      <c r="O1181" t="inlineStr">
        <is>
          <t>1986</t>
        </is>
      </c>
      <c r="Q1181" t="inlineStr">
        <is>
          <t>eng</t>
        </is>
      </c>
      <c r="R1181" t="inlineStr">
        <is>
          <t>xxu</t>
        </is>
      </c>
      <c r="S1181" t="inlineStr">
        <is>
          <t>ANA pub ; no. CH-13</t>
        </is>
      </c>
      <c r="T1181" t="inlineStr">
        <is>
          <t xml:space="preserve">WY </t>
        </is>
      </c>
      <c r="U1181" t="n">
        <v>7</v>
      </c>
      <c r="V1181" t="n">
        <v>7</v>
      </c>
      <c r="W1181" t="inlineStr">
        <is>
          <t>1998-09-11</t>
        </is>
      </c>
      <c r="X1181" t="inlineStr">
        <is>
          <t>1998-09-11</t>
        </is>
      </c>
      <c r="Y1181" t="inlineStr">
        <is>
          <t>1987-12-02</t>
        </is>
      </c>
      <c r="Z1181" t="inlineStr">
        <is>
          <t>1987-12-02</t>
        </is>
      </c>
      <c r="AA1181" t="n">
        <v>150</v>
      </c>
      <c r="AB1181" t="n">
        <v>132</v>
      </c>
      <c r="AC1181" t="n">
        <v>143</v>
      </c>
      <c r="AD1181" t="n">
        <v>2</v>
      </c>
      <c r="AE1181" t="n">
        <v>2</v>
      </c>
      <c r="AF1181" t="n">
        <v>11</v>
      </c>
      <c r="AG1181" t="n">
        <v>11</v>
      </c>
      <c r="AH1181" t="n">
        <v>3</v>
      </c>
      <c r="AI1181" t="n">
        <v>3</v>
      </c>
      <c r="AJ1181" t="n">
        <v>3</v>
      </c>
      <c r="AK1181" t="n">
        <v>3</v>
      </c>
      <c r="AL1181" t="n">
        <v>8</v>
      </c>
      <c r="AM1181" t="n">
        <v>8</v>
      </c>
      <c r="AN1181" t="n">
        <v>0</v>
      </c>
      <c r="AO1181" t="n">
        <v>0</v>
      </c>
      <c r="AP1181" t="n">
        <v>0</v>
      </c>
      <c r="AQ1181" t="n">
        <v>0</v>
      </c>
      <c r="AR1181" t="inlineStr">
        <is>
          <t>No</t>
        </is>
      </c>
      <c r="AS1181" t="inlineStr">
        <is>
          <t>Yes</t>
        </is>
      </c>
      <c r="AT1181">
        <f>HYPERLINK("http://catalog.hathitrust.org/Record/000434242","HathiTrust Record")</f>
        <v/>
      </c>
      <c r="AU1181">
        <f>HYPERLINK("https://creighton-primo.hosted.exlibrisgroup.com/primo-explore/search?tab=default_tab&amp;search_scope=EVERYTHING&amp;vid=01CRU&amp;lang=en_US&amp;offset=0&amp;query=any,contains,991001521549702656","Catalog Record")</f>
        <v/>
      </c>
      <c r="AV1181">
        <f>HYPERLINK("http://www.worldcat.org/oclc/13126171","WorldCat Record")</f>
        <v/>
      </c>
      <c r="AW1181" t="inlineStr">
        <is>
          <t>927523505:eng</t>
        </is>
      </c>
      <c r="AX1181" t="inlineStr">
        <is>
          <t>13126171</t>
        </is>
      </c>
      <c r="AY1181" t="inlineStr">
        <is>
          <t>991001521549702656</t>
        </is>
      </c>
      <c r="AZ1181" t="inlineStr">
        <is>
          <t>991001521549702656</t>
        </is>
      </c>
      <c r="BA1181" t="inlineStr">
        <is>
          <t>2271422090002656</t>
        </is>
      </c>
      <c r="BB1181" t="inlineStr">
        <is>
          <t>BOOK</t>
        </is>
      </c>
      <c r="BE1181" t="inlineStr">
        <is>
          <t>30001000602971</t>
        </is>
      </c>
      <c r="BF1181" t="inlineStr">
        <is>
          <t>893121587</t>
        </is>
      </c>
    </row>
    <row r="1182">
      <c r="A1182" t="inlineStr">
        <is>
          <t>No</t>
        </is>
      </c>
      <c r="B1182" t="inlineStr">
        <is>
          <t>CUHSL</t>
        </is>
      </c>
      <c r="C1182" t="inlineStr">
        <is>
          <t>SHELVES</t>
        </is>
      </c>
      <c r="D1182" t="inlineStr">
        <is>
          <t>WY106 C734289 2003</t>
        </is>
      </c>
      <c r="E1182" t="inlineStr">
        <is>
          <t>0                      WY 0106000C  734289      2003</t>
        </is>
      </c>
      <c r="F1182" t="inlineStr">
        <is>
          <t>Community health nursing : caring in action / Janice E. Hitchcock, Phyllis E. Schubert, Sue A. Thomas.</t>
        </is>
      </c>
      <c r="H1182" t="inlineStr">
        <is>
          <t>No</t>
        </is>
      </c>
      <c r="I1182" t="inlineStr">
        <is>
          <t>1</t>
        </is>
      </c>
      <c r="J1182" t="inlineStr">
        <is>
          <t>No</t>
        </is>
      </c>
      <c r="K1182" t="inlineStr">
        <is>
          <t>No</t>
        </is>
      </c>
      <c r="L1182" t="inlineStr">
        <is>
          <t>0</t>
        </is>
      </c>
      <c r="M1182" t="inlineStr">
        <is>
          <t>Hitchcock, Janice E.</t>
        </is>
      </c>
      <c r="N1182" t="inlineStr">
        <is>
          <t>Clifton Park, NY : Thomson/Delmar Learning, c2003.</t>
        </is>
      </c>
      <c r="O1182" t="inlineStr">
        <is>
          <t>2003</t>
        </is>
      </c>
      <c r="P1182" t="inlineStr">
        <is>
          <t>2nd ed.</t>
        </is>
      </c>
      <c r="Q1182" t="inlineStr">
        <is>
          <t>eng</t>
        </is>
      </c>
      <c r="R1182" t="inlineStr">
        <is>
          <t>nyu</t>
        </is>
      </c>
      <c r="T1182" t="inlineStr">
        <is>
          <t xml:space="preserve">WY </t>
        </is>
      </c>
      <c r="U1182" t="n">
        <v>0</v>
      </c>
      <c r="V1182" t="n">
        <v>0</v>
      </c>
      <c r="W1182" t="inlineStr">
        <is>
          <t>2003-07-15</t>
        </is>
      </c>
      <c r="X1182" t="inlineStr">
        <is>
          <t>2003-07-15</t>
        </is>
      </c>
      <c r="Y1182" t="inlineStr">
        <is>
          <t>2003-07-15</t>
        </is>
      </c>
      <c r="Z1182" t="inlineStr">
        <is>
          <t>2003-07-15</t>
        </is>
      </c>
      <c r="AA1182" t="n">
        <v>306</v>
      </c>
      <c r="AB1182" t="n">
        <v>226</v>
      </c>
      <c r="AC1182" t="n">
        <v>337</v>
      </c>
      <c r="AD1182" t="n">
        <v>2</v>
      </c>
      <c r="AE1182" t="n">
        <v>2</v>
      </c>
      <c r="AF1182" t="n">
        <v>6</v>
      </c>
      <c r="AG1182" t="n">
        <v>9</v>
      </c>
      <c r="AH1182" t="n">
        <v>2</v>
      </c>
      <c r="AI1182" t="n">
        <v>2</v>
      </c>
      <c r="AJ1182" t="n">
        <v>1</v>
      </c>
      <c r="AK1182" t="n">
        <v>1</v>
      </c>
      <c r="AL1182" t="n">
        <v>2</v>
      </c>
      <c r="AM1182" t="n">
        <v>5</v>
      </c>
      <c r="AN1182" t="n">
        <v>1</v>
      </c>
      <c r="AO1182" t="n">
        <v>1</v>
      </c>
      <c r="AP1182" t="n">
        <v>0</v>
      </c>
      <c r="AQ1182" t="n">
        <v>0</v>
      </c>
      <c r="AR1182" t="inlineStr">
        <is>
          <t>No</t>
        </is>
      </c>
      <c r="AS1182" t="inlineStr">
        <is>
          <t>No</t>
        </is>
      </c>
      <c r="AU1182">
        <f>HYPERLINK("https://creighton-primo.hosted.exlibrisgroup.com/primo-explore/search?tab=default_tab&amp;search_scope=EVERYTHING&amp;vid=01CRU&amp;lang=en_US&amp;offset=0&amp;query=any,contains,991000352959702656","Catalog Record")</f>
        <v/>
      </c>
      <c r="AV1182">
        <f>HYPERLINK("http://www.worldcat.org/oclc/48176830","WorldCat Record")</f>
        <v/>
      </c>
      <c r="AW1182" t="inlineStr">
        <is>
          <t>894530043:eng</t>
        </is>
      </c>
      <c r="AX1182" t="inlineStr">
        <is>
          <t>48176830</t>
        </is>
      </c>
      <c r="AY1182" t="inlineStr">
        <is>
          <t>991000352959702656</t>
        </is>
      </c>
      <c r="AZ1182" t="inlineStr">
        <is>
          <t>991000352959702656</t>
        </is>
      </c>
      <c r="BA1182" t="inlineStr">
        <is>
          <t>2256214250002656</t>
        </is>
      </c>
      <c r="BB1182" t="inlineStr">
        <is>
          <t>BOOK</t>
        </is>
      </c>
      <c r="BD1182" t="inlineStr">
        <is>
          <t>9780766834972</t>
        </is>
      </c>
      <c r="BE1182" t="inlineStr">
        <is>
          <t>30001004505121</t>
        </is>
      </c>
      <c r="BF1182" t="inlineStr">
        <is>
          <t>893136755</t>
        </is>
      </c>
    </row>
    <row r="1183">
      <c r="A1183" t="inlineStr">
        <is>
          <t>No</t>
        </is>
      </c>
      <c r="B1183" t="inlineStr">
        <is>
          <t>CUHSL</t>
        </is>
      </c>
      <c r="C1183" t="inlineStr">
        <is>
          <t>SHELVES</t>
        </is>
      </c>
      <c r="D1183" t="inlineStr">
        <is>
          <t>WY 106 C7345 1978</t>
        </is>
      </c>
      <c r="E1183" t="inlineStr">
        <is>
          <t>0                      WY 0106000C  7345        1978</t>
        </is>
      </c>
      <c r="F1183" t="inlineStr">
        <is>
          <t>Community health : today and tomorrow.</t>
        </is>
      </c>
      <c r="H1183" t="inlineStr">
        <is>
          <t>No</t>
        </is>
      </c>
      <c r="I1183" t="inlineStr">
        <is>
          <t>1</t>
        </is>
      </c>
      <c r="J1183" t="inlineStr">
        <is>
          <t>No</t>
        </is>
      </c>
      <c r="K1183" t="inlineStr">
        <is>
          <t>No</t>
        </is>
      </c>
      <c r="L1183" t="inlineStr">
        <is>
          <t>0</t>
        </is>
      </c>
      <c r="N1183" t="inlineStr">
        <is>
          <t>New York : National League for Nursing, c1979.</t>
        </is>
      </c>
      <c r="O1183" t="inlineStr">
        <is>
          <t>1978</t>
        </is>
      </c>
      <c r="Q1183" t="inlineStr">
        <is>
          <t>eng</t>
        </is>
      </c>
      <c r="R1183" t="inlineStr">
        <is>
          <t>nyu</t>
        </is>
      </c>
      <c r="S1183" t="inlineStr">
        <is>
          <t>NLN pub. no. 52-1768</t>
        </is>
      </c>
      <c r="T1183" t="inlineStr">
        <is>
          <t xml:space="preserve">WY </t>
        </is>
      </c>
      <c r="U1183" t="n">
        <v>1</v>
      </c>
      <c r="V1183" t="n">
        <v>1</v>
      </c>
      <c r="W1183" t="inlineStr">
        <is>
          <t>1990-07-02</t>
        </is>
      </c>
      <c r="X1183" t="inlineStr">
        <is>
          <t>1990-07-02</t>
        </is>
      </c>
      <c r="Y1183" t="inlineStr">
        <is>
          <t>1987-11-18</t>
        </is>
      </c>
      <c r="Z1183" t="inlineStr">
        <is>
          <t>1987-11-18</t>
        </is>
      </c>
      <c r="AA1183" t="n">
        <v>67</v>
      </c>
      <c r="AB1183" t="n">
        <v>48</v>
      </c>
      <c r="AC1183" t="n">
        <v>49</v>
      </c>
      <c r="AD1183" t="n">
        <v>2</v>
      </c>
      <c r="AE1183" t="n">
        <v>2</v>
      </c>
      <c r="AF1183" t="n">
        <v>1</v>
      </c>
      <c r="AG1183" t="n">
        <v>1</v>
      </c>
      <c r="AH1183" t="n">
        <v>0</v>
      </c>
      <c r="AI1183" t="n">
        <v>0</v>
      </c>
      <c r="AJ1183" t="n">
        <v>0</v>
      </c>
      <c r="AK1183" t="n">
        <v>0</v>
      </c>
      <c r="AL1183" t="n">
        <v>1</v>
      </c>
      <c r="AM1183" t="n">
        <v>1</v>
      </c>
      <c r="AN1183" t="n">
        <v>0</v>
      </c>
      <c r="AO1183" t="n">
        <v>0</v>
      </c>
      <c r="AP1183" t="n">
        <v>0</v>
      </c>
      <c r="AQ1183" t="n">
        <v>0</v>
      </c>
      <c r="AR1183" t="inlineStr">
        <is>
          <t>No</t>
        </is>
      </c>
      <c r="AS1183" t="inlineStr">
        <is>
          <t>Yes</t>
        </is>
      </c>
      <c r="AT1183">
        <f>HYPERLINK("http://catalog.hathitrust.org/Record/006221684","HathiTrust Record")</f>
        <v/>
      </c>
      <c r="AU1183">
        <f>HYPERLINK("https://creighton-primo.hosted.exlibrisgroup.com/primo-explore/search?tab=default_tab&amp;search_scope=EVERYTHING&amp;vid=01CRU&amp;lang=en_US&amp;offset=0&amp;query=any,contains,991001517159702656","Catalog Record")</f>
        <v/>
      </c>
      <c r="AV1183">
        <f>HYPERLINK("http://www.worldcat.org/oclc/5673679","WorldCat Record")</f>
        <v/>
      </c>
      <c r="AW1183" t="inlineStr">
        <is>
          <t>15233909:eng</t>
        </is>
      </c>
      <c r="AX1183" t="inlineStr">
        <is>
          <t>5673679</t>
        </is>
      </c>
      <c r="AY1183" t="inlineStr">
        <is>
          <t>991001517159702656</t>
        </is>
      </c>
      <c r="AZ1183" t="inlineStr">
        <is>
          <t>991001517159702656</t>
        </is>
      </c>
      <c r="BA1183" t="inlineStr">
        <is>
          <t>2264433280002656</t>
        </is>
      </c>
      <c r="BB1183" t="inlineStr">
        <is>
          <t>BOOK</t>
        </is>
      </c>
      <c r="BE1183" t="inlineStr">
        <is>
          <t>30001000600124</t>
        </is>
      </c>
      <c r="BF1183" t="inlineStr">
        <is>
          <t>893652055</t>
        </is>
      </c>
    </row>
    <row r="1184">
      <c r="A1184" t="inlineStr">
        <is>
          <t>No</t>
        </is>
      </c>
      <c r="B1184" t="inlineStr">
        <is>
          <t>CUHSL</t>
        </is>
      </c>
      <c r="C1184" t="inlineStr">
        <is>
          <t>SHELVES</t>
        </is>
      </c>
      <c r="D1184" t="inlineStr">
        <is>
          <t>WY 106 C7347 1985</t>
        </is>
      </c>
      <c r="E1184" t="inlineStr">
        <is>
          <t>0                      WY 0106000C  7347        1985</t>
        </is>
      </c>
      <c r="F1184" t="inlineStr">
        <is>
          <t>Community health nursing : keeping the public healthy / [edited by] Linda L. Jarvis.</t>
        </is>
      </c>
      <c r="H1184" t="inlineStr">
        <is>
          <t>No</t>
        </is>
      </c>
      <c r="I1184" t="inlineStr">
        <is>
          <t>1</t>
        </is>
      </c>
      <c r="J1184" t="inlineStr">
        <is>
          <t>No</t>
        </is>
      </c>
      <c r="K1184" t="inlineStr">
        <is>
          <t>Yes</t>
        </is>
      </c>
      <c r="L1184" t="inlineStr">
        <is>
          <t>0</t>
        </is>
      </c>
      <c r="N1184" t="inlineStr">
        <is>
          <t>Philadelphia : Davis, c1985.</t>
        </is>
      </c>
      <c r="O1184" t="inlineStr">
        <is>
          <t>1985</t>
        </is>
      </c>
      <c r="P1184" t="inlineStr">
        <is>
          <t>Ed. 2.</t>
        </is>
      </c>
      <c r="Q1184" t="inlineStr">
        <is>
          <t>eng</t>
        </is>
      </c>
      <c r="R1184" t="inlineStr">
        <is>
          <t>xxu</t>
        </is>
      </c>
      <c r="T1184" t="inlineStr">
        <is>
          <t xml:space="preserve">WY </t>
        </is>
      </c>
      <c r="U1184" t="n">
        <v>8</v>
      </c>
      <c r="V1184" t="n">
        <v>8</v>
      </c>
      <c r="W1184" t="inlineStr">
        <is>
          <t>1998-04-28</t>
        </is>
      </c>
      <c r="X1184" t="inlineStr">
        <is>
          <t>1998-04-28</t>
        </is>
      </c>
      <c r="Y1184" t="inlineStr">
        <is>
          <t>1988-06-10</t>
        </is>
      </c>
      <c r="Z1184" t="inlineStr">
        <is>
          <t>1988-06-10</t>
        </is>
      </c>
      <c r="AA1184" t="n">
        <v>218</v>
      </c>
      <c r="AB1184" t="n">
        <v>172</v>
      </c>
      <c r="AC1184" t="n">
        <v>286</v>
      </c>
      <c r="AD1184" t="n">
        <v>2</v>
      </c>
      <c r="AE1184" t="n">
        <v>2</v>
      </c>
      <c r="AF1184" t="n">
        <v>5</v>
      </c>
      <c r="AG1184" t="n">
        <v>8</v>
      </c>
      <c r="AH1184" t="n">
        <v>3</v>
      </c>
      <c r="AI1184" t="n">
        <v>3</v>
      </c>
      <c r="AJ1184" t="n">
        <v>0</v>
      </c>
      <c r="AK1184" t="n">
        <v>1</v>
      </c>
      <c r="AL1184" t="n">
        <v>3</v>
      </c>
      <c r="AM1184" t="n">
        <v>6</v>
      </c>
      <c r="AN1184" t="n">
        <v>0</v>
      </c>
      <c r="AO1184" t="n">
        <v>0</v>
      </c>
      <c r="AP1184" t="n">
        <v>0</v>
      </c>
      <c r="AQ1184" t="n">
        <v>0</v>
      </c>
      <c r="AR1184" t="inlineStr">
        <is>
          <t>No</t>
        </is>
      </c>
      <c r="AS1184" t="inlineStr">
        <is>
          <t>No</t>
        </is>
      </c>
      <c r="AU1184">
        <f>HYPERLINK("https://creighton-primo.hosted.exlibrisgroup.com/primo-explore/search?tab=default_tab&amp;search_scope=EVERYTHING&amp;vid=01CRU&amp;lang=en_US&amp;offset=0&amp;query=any,contains,991001291349702656","Catalog Record")</f>
        <v/>
      </c>
      <c r="AV1184">
        <f>HYPERLINK("http://www.worldcat.org/oclc/11262213","WorldCat Record")</f>
        <v/>
      </c>
      <c r="AW1184" t="inlineStr">
        <is>
          <t>836681297:eng</t>
        </is>
      </c>
      <c r="AX1184" t="inlineStr">
        <is>
          <t>11262213</t>
        </is>
      </c>
      <c r="AY1184" t="inlineStr">
        <is>
          <t>991001291349702656</t>
        </is>
      </c>
      <c r="AZ1184" t="inlineStr">
        <is>
          <t>991001291349702656</t>
        </is>
      </c>
      <c r="BA1184" t="inlineStr">
        <is>
          <t>2255257580002656</t>
        </is>
      </c>
      <c r="BB1184" t="inlineStr">
        <is>
          <t>BOOK</t>
        </is>
      </c>
      <c r="BD1184" t="inlineStr">
        <is>
          <t>9780803649262</t>
        </is>
      </c>
      <c r="BE1184" t="inlineStr">
        <is>
          <t>30001000398257</t>
        </is>
      </c>
      <c r="BF1184" t="inlineStr">
        <is>
          <t>893740970</t>
        </is>
      </c>
    </row>
    <row r="1185">
      <c r="A1185" t="inlineStr">
        <is>
          <t>No</t>
        </is>
      </c>
      <c r="B1185" t="inlineStr">
        <is>
          <t>CUHSL</t>
        </is>
      </c>
      <c r="C1185" t="inlineStr">
        <is>
          <t>SHELVES</t>
        </is>
      </c>
      <c r="D1185" t="inlineStr">
        <is>
          <t>WY 106 C734n 1979</t>
        </is>
      </c>
      <c r="E1185" t="inlineStr">
        <is>
          <t>0                      WY 0106000C  734n        1979</t>
        </is>
      </c>
      <c r="F1185" t="inlineStr">
        <is>
          <t>Community health nursing : education and practice.</t>
        </is>
      </c>
      <c r="H1185" t="inlineStr">
        <is>
          <t>No</t>
        </is>
      </c>
      <c r="I1185" t="inlineStr">
        <is>
          <t>1</t>
        </is>
      </c>
      <c r="J1185" t="inlineStr">
        <is>
          <t>No</t>
        </is>
      </c>
      <c r="K1185" t="inlineStr">
        <is>
          <t>No</t>
        </is>
      </c>
      <c r="L1185" t="inlineStr">
        <is>
          <t>0</t>
        </is>
      </c>
      <c r="N1185" t="inlineStr">
        <is>
          <t>New York : National League for Nursing, c1980.</t>
        </is>
      </c>
      <c r="O1185" t="inlineStr">
        <is>
          <t>1980</t>
        </is>
      </c>
      <c r="Q1185" t="inlineStr">
        <is>
          <t>eng</t>
        </is>
      </c>
      <c r="R1185" t="inlineStr">
        <is>
          <t>nyu</t>
        </is>
      </c>
      <c r="S1185" t="inlineStr">
        <is>
          <t>NLN pub. no. 52-1834</t>
        </is>
      </c>
      <c r="T1185" t="inlineStr">
        <is>
          <t xml:space="preserve">WY </t>
        </is>
      </c>
      <c r="U1185" t="n">
        <v>1</v>
      </c>
      <c r="V1185" t="n">
        <v>1</v>
      </c>
      <c r="W1185" t="inlineStr">
        <is>
          <t>1990-07-08</t>
        </is>
      </c>
      <c r="X1185" t="inlineStr">
        <is>
          <t>1990-07-08</t>
        </is>
      </c>
      <c r="Y1185" t="inlineStr">
        <is>
          <t>1987-11-18</t>
        </is>
      </c>
      <c r="Z1185" t="inlineStr">
        <is>
          <t>1987-11-18</t>
        </is>
      </c>
      <c r="AA1185" t="n">
        <v>90</v>
      </c>
      <c r="AB1185" t="n">
        <v>77</v>
      </c>
      <c r="AC1185" t="n">
        <v>81</v>
      </c>
      <c r="AD1185" t="n">
        <v>2</v>
      </c>
      <c r="AE1185" t="n">
        <v>2</v>
      </c>
      <c r="AF1185" t="n">
        <v>3</v>
      </c>
      <c r="AG1185" t="n">
        <v>3</v>
      </c>
      <c r="AH1185" t="n">
        <v>0</v>
      </c>
      <c r="AI1185" t="n">
        <v>0</v>
      </c>
      <c r="AJ1185" t="n">
        <v>1</v>
      </c>
      <c r="AK1185" t="n">
        <v>1</v>
      </c>
      <c r="AL1185" t="n">
        <v>1</v>
      </c>
      <c r="AM1185" t="n">
        <v>1</v>
      </c>
      <c r="AN1185" t="n">
        <v>1</v>
      </c>
      <c r="AO1185" t="n">
        <v>1</v>
      </c>
      <c r="AP1185" t="n">
        <v>0</v>
      </c>
      <c r="AQ1185" t="n">
        <v>0</v>
      </c>
      <c r="AR1185" t="inlineStr">
        <is>
          <t>No</t>
        </is>
      </c>
      <c r="AS1185" t="inlineStr">
        <is>
          <t>Yes</t>
        </is>
      </c>
      <c r="AT1185">
        <f>HYPERLINK("http://catalog.hathitrust.org/Record/000102736","HathiTrust Record")</f>
        <v/>
      </c>
      <c r="AU1185">
        <f>HYPERLINK("https://creighton-primo.hosted.exlibrisgroup.com/primo-explore/search?tab=default_tab&amp;search_scope=EVERYTHING&amp;vid=01CRU&amp;lang=en_US&amp;offset=0&amp;query=any,contains,991001517579702656","Catalog Record")</f>
        <v/>
      </c>
      <c r="AV1185">
        <f>HYPERLINK("http://www.worldcat.org/oclc/7737636","WorldCat Record")</f>
        <v/>
      </c>
      <c r="AW1185" t="inlineStr">
        <is>
          <t>4160557368:eng</t>
        </is>
      </c>
      <c r="AX1185" t="inlineStr">
        <is>
          <t>7737636</t>
        </is>
      </c>
      <c r="AY1185" t="inlineStr">
        <is>
          <t>991001517579702656</t>
        </is>
      </c>
      <c r="AZ1185" t="inlineStr">
        <is>
          <t>991001517579702656</t>
        </is>
      </c>
      <c r="BA1185" t="inlineStr">
        <is>
          <t>2272383410002656</t>
        </is>
      </c>
      <c r="BB1185" t="inlineStr">
        <is>
          <t>BOOK</t>
        </is>
      </c>
      <c r="BE1185" t="inlineStr">
        <is>
          <t>30001000600249</t>
        </is>
      </c>
      <c r="BF1185" t="inlineStr">
        <is>
          <t>893727724</t>
        </is>
      </c>
    </row>
    <row r="1186">
      <c r="A1186" t="inlineStr">
        <is>
          <t>No</t>
        </is>
      </c>
      <c r="B1186" t="inlineStr">
        <is>
          <t>CUHSL</t>
        </is>
      </c>
      <c r="C1186" t="inlineStr">
        <is>
          <t>SHELVES</t>
        </is>
      </c>
      <c r="D1186" t="inlineStr">
        <is>
          <t>WY 106 C735 1985</t>
        </is>
      </c>
      <c r="E1186" t="inlineStr">
        <is>
          <t>0                      WY 0106000C  735         1985</t>
        </is>
      </c>
      <c r="F1186" t="inlineStr">
        <is>
          <t>Community health nursing / [edited by] Sarah Ellen Archer, Ruth P. Fleshman.</t>
        </is>
      </c>
      <c r="H1186" t="inlineStr">
        <is>
          <t>No</t>
        </is>
      </c>
      <c r="I1186" t="inlineStr">
        <is>
          <t>1</t>
        </is>
      </c>
      <c r="J1186" t="inlineStr">
        <is>
          <t>No</t>
        </is>
      </c>
      <c r="K1186" t="inlineStr">
        <is>
          <t>Yes</t>
        </is>
      </c>
      <c r="L1186" t="inlineStr">
        <is>
          <t>0</t>
        </is>
      </c>
      <c r="N1186" t="inlineStr">
        <is>
          <t>Monterey, Calif. : Wadsworth Health Sciences, c1985.</t>
        </is>
      </c>
      <c r="O1186" t="inlineStr">
        <is>
          <t>1985</t>
        </is>
      </c>
      <c r="P1186" t="inlineStr">
        <is>
          <t>3rd ed.</t>
        </is>
      </c>
      <c r="Q1186" t="inlineStr">
        <is>
          <t>eng</t>
        </is>
      </c>
      <c r="R1186" t="inlineStr">
        <is>
          <t>xxu</t>
        </is>
      </c>
      <c r="T1186" t="inlineStr">
        <is>
          <t xml:space="preserve">WY </t>
        </is>
      </c>
      <c r="U1186" t="n">
        <v>11</v>
      </c>
      <c r="V1186" t="n">
        <v>11</v>
      </c>
      <c r="W1186" t="inlineStr">
        <is>
          <t>1994-02-22</t>
        </is>
      </c>
      <c r="X1186" t="inlineStr">
        <is>
          <t>1994-02-22</t>
        </is>
      </c>
      <c r="Y1186" t="inlineStr">
        <is>
          <t>1987-10-22</t>
        </is>
      </c>
      <c r="Z1186" t="inlineStr">
        <is>
          <t>1987-10-22</t>
        </is>
      </c>
      <c r="AA1186" t="n">
        <v>213</v>
      </c>
      <c r="AB1186" t="n">
        <v>174</v>
      </c>
      <c r="AC1186" t="n">
        <v>291</v>
      </c>
      <c r="AD1186" t="n">
        <v>2</v>
      </c>
      <c r="AE1186" t="n">
        <v>4</v>
      </c>
      <c r="AF1186" t="n">
        <v>8</v>
      </c>
      <c r="AG1186" t="n">
        <v>13</v>
      </c>
      <c r="AH1186" t="n">
        <v>3</v>
      </c>
      <c r="AI1186" t="n">
        <v>4</v>
      </c>
      <c r="AJ1186" t="n">
        <v>1</v>
      </c>
      <c r="AK1186" t="n">
        <v>2</v>
      </c>
      <c r="AL1186" t="n">
        <v>6</v>
      </c>
      <c r="AM1186" t="n">
        <v>8</v>
      </c>
      <c r="AN1186" t="n">
        <v>0</v>
      </c>
      <c r="AO1186" t="n">
        <v>2</v>
      </c>
      <c r="AP1186" t="n">
        <v>0</v>
      </c>
      <c r="AQ1186" t="n">
        <v>0</v>
      </c>
      <c r="AR1186" t="inlineStr">
        <is>
          <t>No</t>
        </is>
      </c>
      <c r="AS1186" t="inlineStr">
        <is>
          <t>Yes</t>
        </is>
      </c>
      <c r="AT1186">
        <f>HYPERLINK("http://catalog.hathitrust.org/Record/000569252","HathiTrust Record")</f>
        <v/>
      </c>
      <c r="AU1186">
        <f>HYPERLINK("https://creighton-primo.hosted.exlibrisgroup.com/primo-explore/search?tab=default_tab&amp;search_scope=EVERYTHING&amp;vid=01CRU&amp;lang=en_US&amp;offset=0&amp;query=any,contains,991000736309702656","Catalog Record")</f>
        <v/>
      </c>
      <c r="AV1186">
        <f>HYPERLINK("http://www.worldcat.org/oclc/11550658","WorldCat Record")</f>
        <v/>
      </c>
      <c r="AW1186" t="inlineStr">
        <is>
          <t>8612034:eng</t>
        </is>
      </c>
      <c r="AX1186" t="inlineStr">
        <is>
          <t>11550658</t>
        </is>
      </c>
      <c r="AY1186" t="inlineStr">
        <is>
          <t>991000736309702656</t>
        </is>
      </c>
      <c r="AZ1186" t="inlineStr">
        <is>
          <t>991000736309702656</t>
        </is>
      </c>
      <c r="BA1186" t="inlineStr">
        <is>
          <t>2259009230002656</t>
        </is>
      </c>
      <c r="BB1186" t="inlineStr">
        <is>
          <t>BOOK</t>
        </is>
      </c>
      <c r="BD1186" t="inlineStr">
        <is>
          <t>9780534043445</t>
        </is>
      </c>
      <c r="BE1186" t="inlineStr">
        <is>
          <t>30001000041659</t>
        </is>
      </c>
      <c r="BF1186" t="inlineStr">
        <is>
          <t>893464598</t>
        </is>
      </c>
    </row>
    <row r="1187">
      <c r="A1187" t="inlineStr">
        <is>
          <t>No</t>
        </is>
      </c>
      <c r="B1187" t="inlineStr">
        <is>
          <t>CUHSL</t>
        </is>
      </c>
      <c r="C1187" t="inlineStr">
        <is>
          <t>SHELVES</t>
        </is>
      </c>
      <c r="D1187" t="inlineStr">
        <is>
          <t>WY106 C7353 2001</t>
        </is>
      </c>
      <c r="E1187" t="inlineStr">
        <is>
          <t>0                      WY 0106000C  7353        2001</t>
        </is>
      </c>
      <c r="F1187" t="inlineStr">
        <is>
          <t>Community health nursing : caring for the public's health / [edited by] Karen Saucier Lundy, Sharyn Janes.</t>
        </is>
      </c>
      <c r="H1187" t="inlineStr">
        <is>
          <t>No</t>
        </is>
      </c>
      <c r="I1187" t="inlineStr">
        <is>
          <t>1</t>
        </is>
      </c>
      <c r="J1187" t="inlineStr">
        <is>
          <t>No</t>
        </is>
      </c>
      <c r="K1187" t="inlineStr">
        <is>
          <t>No</t>
        </is>
      </c>
      <c r="L1187" t="inlineStr">
        <is>
          <t>0</t>
        </is>
      </c>
      <c r="N1187" t="inlineStr">
        <is>
          <t>Sudbury, MA : Jones and Bartlett, c2001.</t>
        </is>
      </c>
      <c r="O1187" t="inlineStr">
        <is>
          <t>2016</t>
        </is>
      </c>
      <c r="Q1187" t="inlineStr">
        <is>
          <t>eng</t>
        </is>
      </c>
      <c r="R1187" t="inlineStr">
        <is>
          <t xml:space="preserve">xx </t>
        </is>
      </c>
      <c r="T1187" t="inlineStr">
        <is>
          <t xml:space="preserve">WY </t>
        </is>
      </c>
      <c r="U1187" t="n">
        <v>3</v>
      </c>
      <c r="V1187" t="n">
        <v>3</v>
      </c>
      <c r="W1187" t="inlineStr">
        <is>
          <t>2009-11-13</t>
        </is>
      </c>
      <c r="X1187" t="inlineStr">
        <is>
          <t>2009-11-13</t>
        </is>
      </c>
      <c r="Y1187" t="inlineStr">
        <is>
          <t>2004-02-23</t>
        </is>
      </c>
      <c r="Z1187" t="inlineStr">
        <is>
          <t>2004-02-23</t>
        </is>
      </c>
      <c r="AA1187" t="n">
        <v>225</v>
      </c>
      <c r="AB1187" t="n">
        <v>177</v>
      </c>
      <c r="AC1187" t="n">
        <v>420</v>
      </c>
      <c r="AD1187" t="n">
        <v>1</v>
      </c>
      <c r="AE1187" t="n">
        <v>1</v>
      </c>
      <c r="AF1187" t="n">
        <v>8</v>
      </c>
      <c r="AG1187" t="n">
        <v>14</v>
      </c>
      <c r="AH1187" t="n">
        <v>6</v>
      </c>
      <c r="AI1187" t="n">
        <v>9</v>
      </c>
      <c r="AJ1187" t="n">
        <v>0</v>
      </c>
      <c r="AK1187" t="n">
        <v>1</v>
      </c>
      <c r="AL1187" t="n">
        <v>3</v>
      </c>
      <c r="AM1187" t="n">
        <v>6</v>
      </c>
      <c r="AN1187" t="n">
        <v>0</v>
      </c>
      <c r="AO1187" t="n">
        <v>0</v>
      </c>
      <c r="AP1187" t="n">
        <v>0</v>
      </c>
      <c r="AQ1187" t="n">
        <v>0</v>
      </c>
      <c r="AR1187" t="inlineStr">
        <is>
          <t>No</t>
        </is>
      </c>
      <c r="AS1187" t="inlineStr">
        <is>
          <t>Yes</t>
        </is>
      </c>
      <c r="AT1187">
        <f>HYPERLINK("http://catalog.hathitrust.org/Record/004582340","HathiTrust Record")</f>
        <v/>
      </c>
      <c r="AU1187">
        <f>HYPERLINK("https://creighton-primo.hosted.exlibrisgroup.com/primo-explore/search?tab=default_tab&amp;search_scope=EVERYTHING&amp;vid=01CRU&amp;lang=en_US&amp;offset=0&amp;query=any,contains,991000366399702656","Catalog Record")</f>
        <v/>
      </c>
      <c r="AV1187">
        <f>HYPERLINK("http://www.worldcat.org/oclc/46387561","WorldCat Record")</f>
        <v/>
      </c>
      <c r="AW1187" t="inlineStr">
        <is>
          <t>988301562:eng</t>
        </is>
      </c>
      <c r="AX1187" t="inlineStr">
        <is>
          <t>46387561</t>
        </is>
      </c>
      <c r="AY1187" t="inlineStr">
        <is>
          <t>991000366399702656</t>
        </is>
      </c>
      <c r="AZ1187" t="inlineStr">
        <is>
          <t>991000366399702656</t>
        </is>
      </c>
      <c r="BA1187" t="inlineStr">
        <is>
          <t>2271727560002656</t>
        </is>
      </c>
      <c r="BB1187" t="inlineStr">
        <is>
          <t>BOOK</t>
        </is>
      </c>
      <c r="BD1187" t="inlineStr">
        <is>
          <t>9780763707064</t>
        </is>
      </c>
      <c r="BE1187" t="inlineStr">
        <is>
          <t>30001004509388</t>
        </is>
      </c>
      <c r="BF1187" t="inlineStr">
        <is>
          <t>893461434</t>
        </is>
      </c>
    </row>
    <row r="1188">
      <c r="A1188" t="inlineStr">
        <is>
          <t>No</t>
        </is>
      </c>
      <c r="B1188" t="inlineStr">
        <is>
          <t>CUHSL</t>
        </is>
      </c>
      <c r="C1188" t="inlineStr">
        <is>
          <t>SHELVES</t>
        </is>
      </c>
      <c r="D1188" t="inlineStr">
        <is>
          <t>WY 106 C7356 1992</t>
        </is>
      </c>
      <c r="E1188" t="inlineStr">
        <is>
          <t>0                      WY 0106000C  7356        1992</t>
        </is>
      </c>
      <c r="F1188" t="inlineStr">
        <is>
          <t>Community health nursing : process and practice for promoting health / [edited by] Marcia Stanhope, Jeanett Lancaster.</t>
        </is>
      </c>
      <c r="H1188" t="inlineStr">
        <is>
          <t>No</t>
        </is>
      </c>
      <c r="I1188" t="inlineStr">
        <is>
          <t>1</t>
        </is>
      </c>
      <c r="J1188" t="inlineStr">
        <is>
          <t>No</t>
        </is>
      </c>
      <c r="K1188" t="inlineStr">
        <is>
          <t>No</t>
        </is>
      </c>
      <c r="L1188" t="inlineStr">
        <is>
          <t>0</t>
        </is>
      </c>
      <c r="N1188" t="inlineStr">
        <is>
          <t>St. Louis : Mosby-Year Book, c1992.</t>
        </is>
      </c>
      <c r="O1188" t="inlineStr">
        <is>
          <t>1992</t>
        </is>
      </c>
      <c r="P1188" t="inlineStr">
        <is>
          <t>3rd ed.</t>
        </is>
      </c>
      <c r="Q1188" t="inlineStr">
        <is>
          <t>eng</t>
        </is>
      </c>
      <c r="R1188" t="inlineStr">
        <is>
          <t>xxu</t>
        </is>
      </c>
      <c r="T1188" t="inlineStr">
        <is>
          <t xml:space="preserve">WY </t>
        </is>
      </c>
      <c r="U1188" t="n">
        <v>94</v>
      </c>
      <c r="V1188" t="n">
        <v>94</v>
      </c>
      <c r="W1188" t="inlineStr">
        <is>
          <t>1996-09-14</t>
        </is>
      </c>
      <c r="X1188" t="inlineStr">
        <is>
          <t>1996-09-14</t>
        </is>
      </c>
      <c r="Y1188" t="inlineStr">
        <is>
          <t>1992-01-13</t>
        </is>
      </c>
      <c r="Z1188" t="inlineStr">
        <is>
          <t>1992-01-13</t>
        </is>
      </c>
      <c r="AA1188" t="n">
        <v>372</v>
      </c>
      <c r="AB1188" t="n">
        <v>263</v>
      </c>
      <c r="AC1188" t="n">
        <v>484</v>
      </c>
      <c r="AD1188" t="n">
        <v>2</v>
      </c>
      <c r="AE1188" t="n">
        <v>2</v>
      </c>
      <c r="AF1188" t="n">
        <v>3</v>
      </c>
      <c r="AG1188" t="n">
        <v>9</v>
      </c>
      <c r="AH1188" t="n">
        <v>2</v>
      </c>
      <c r="AI1188" t="n">
        <v>4</v>
      </c>
      <c r="AJ1188" t="n">
        <v>0</v>
      </c>
      <c r="AK1188" t="n">
        <v>1</v>
      </c>
      <c r="AL1188" t="n">
        <v>1</v>
      </c>
      <c r="AM1188" t="n">
        <v>5</v>
      </c>
      <c r="AN1188" t="n">
        <v>0</v>
      </c>
      <c r="AO1188" t="n">
        <v>0</v>
      </c>
      <c r="AP1188" t="n">
        <v>0</v>
      </c>
      <c r="AQ1188" t="n">
        <v>0</v>
      </c>
      <c r="AR1188" t="inlineStr">
        <is>
          <t>No</t>
        </is>
      </c>
      <c r="AS1188" t="inlineStr">
        <is>
          <t>Yes</t>
        </is>
      </c>
      <c r="AT1188">
        <f>HYPERLINK("http://catalog.hathitrust.org/Record/002501398","HathiTrust Record")</f>
        <v/>
      </c>
      <c r="AU1188">
        <f>HYPERLINK("https://creighton-primo.hosted.exlibrisgroup.com/primo-explore/search?tab=default_tab&amp;search_scope=EVERYTHING&amp;vid=01CRU&amp;lang=en_US&amp;offset=0&amp;query=any,contains,991001026989702656","Catalog Record")</f>
        <v/>
      </c>
      <c r="AV1188">
        <f>HYPERLINK("http://www.worldcat.org/oclc/24246419","WorldCat Record")</f>
        <v/>
      </c>
      <c r="AW1188" t="inlineStr">
        <is>
          <t>3855573444:eng</t>
        </is>
      </c>
      <c r="AX1188" t="inlineStr">
        <is>
          <t>24246419</t>
        </is>
      </c>
      <c r="AY1188" t="inlineStr">
        <is>
          <t>991001026989702656</t>
        </is>
      </c>
      <c r="AZ1188" t="inlineStr">
        <is>
          <t>991001026989702656</t>
        </is>
      </c>
      <c r="BA1188" t="inlineStr">
        <is>
          <t>2271904280002656</t>
        </is>
      </c>
      <c r="BB1188" t="inlineStr">
        <is>
          <t>BOOK</t>
        </is>
      </c>
      <c r="BD1188" t="inlineStr">
        <is>
          <t>9780801647741</t>
        </is>
      </c>
      <c r="BE1188" t="inlineStr">
        <is>
          <t>30001002242917</t>
        </is>
      </c>
      <c r="BF1188" t="inlineStr">
        <is>
          <t>893358149</t>
        </is>
      </c>
    </row>
    <row r="1189">
      <c r="A1189" t="inlineStr">
        <is>
          <t>No</t>
        </is>
      </c>
      <c r="B1189" t="inlineStr">
        <is>
          <t>CUHSL</t>
        </is>
      </c>
      <c r="C1189" t="inlineStr">
        <is>
          <t>SHELVES</t>
        </is>
      </c>
      <c r="D1189" t="inlineStr">
        <is>
          <t>WY 106 C7356 1996</t>
        </is>
      </c>
      <c r="E1189" t="inlineStr">
        <is>
          <t>0                      WY 0106000C  7356        1996</t>
        </is>
      </c>
      <c r="F1189" t="inlineStr">
        <is>
          <t>Community health nursing : promoting health of aggregates, families, and individuals / [edited by] Marcia Stanhope, Jeanette Lancaster.</t>
        </is>
      </c>
      <c r="H1189" t="inlineStr">
        <is>
          <t>No</t>
        </is>
      </c>
      <c r="I1189" t="inlineStr">
        <is>
          <t>1</t>
        </is>
      </c>
      <c r="J1189" t="inlineStr">
        <is>
          <t>No</t>
        </is>
      </c>
      <c r="K1189" t="inlineStr">
        <is>
          <t>No</t>
        </is>
      </c>
      <c r="L1189" t="inlineStr">
        <is>
          <t>0</t>
        </is>
      </c>
      <c r="N1189" t="inlineStr">
        <is>
          <t>St. Louis : Mosby, c1996.</t>
        </is>
      </c>
      <c r="O1189" t="inlineStr">
        <is>
          <t>1996</t>
        </is>
      </c>
      <c r="P1189" t="inlineStr">
        <is>
          <t>4th ed.</t>
        </is>
      </c>
      <c r="Q1189" t="inlineStr">
        <is>
          <t>eng</t>
        </is>
      </c>
      <c r="R1189" t="inlineStr">
        <is>
          <t>mou</t>
        </is>
      </c>
      <c r="T1189" t="inlineStr">
        <is>
          <t xml:space="preserve">WY </t>
        </is>
      </c>
      <c r="U1189" t="n">
        <v>40</v>
      </c>
      <c r="V1189" t="n">
        <v>40</v>
      </c>
      <c r="W1189" t="inlineStr">
        <is>
          <t>2000-04-25</t>
        </is>
      </c>
      <c r="X1189" t="inlineStr">
        <is>
          <t>2000-04-25</t>
        </is>
      </c>
      <c r="Y1189" t="inlineStr">
        <is>
          <t>1996-09-10</t>
        </is>
      </c>
      <c r="Z1189" t="inlineStr">
        <is>
          <t>1996-09-10</t>
        </is>
      </c>
      <c r="AA1189" t="n">
        <v>338</v>
      </c>
      <c r="AB1189" t="n">
        <v>246</v>
      </c>
      <c r="AC1189" t="n">
        <v>263</v>
      </c>
      <c r="AD1189" t="n">
        <v>2</v>
      </c>
      <c r="AE1189" t="n">
        <v>2</v>
      </c>
      <c r="AF1189" t="n">
        <v>13</v>
      </c>
      <c r="AG1189" t="n">
        <v>15</v>
      </c>
      <c r="AH1189" t="n">
        <v>5</v>
      </c>
      <c r="AI1189" t="n">
        <v>6</v>
      </c>
      <c r="AJ1189" t="n">
        <v>4</v>
      </c>
      <c r="AK1189" t="n">
        <v>5</v>
      </c>
      <c r="AL1189" t="n">
        <v>7</v>
      </c>
      <c r="AM1189" t="n">
        <v>7</v>
      </c>
      <c r="AN1189" t="n">
        <v>0</v>
      </c>
      <c r="AO1189" t="n">
        <v>0</v>
      </c>
      <c r="AP1189" t="n">
        <v>0</v>
      </c>
      <c r="AQ1189" t="n">
        <v>0</v>
      </c>
      <c r="AR1189" t="inlineStr">
        <is>
          <t>No</t>
        </is>
      </c>
      <c r="AS1189" t="inlineStr">
        <is>
          <t>Yes</t>
        </is>
      </c>
      <c r="AT1189">
        <f>HYPERLINK("http://catalog.hathitrust.org/Record/003028127","HathiTrust Record")</f>
        <v/>
      </c>
      <c r="AU1189">
        <f>HYPERLINK("https://creighton-primo.hosted.exlibrisgroup.com/primo-explore/search?tab=default_tab&amp;search_scope=EVERYTHING&amp;vid=01CRU&amp;lang=en_US&amp;offset=0&amp;query=any,contains,991001551189702656","Catalog Record")</f>
        <v/>
      </c>
      <c r="AV1189">
        <f>HYPERLINK("http://www.worldcat.org/oclc/33440531","WorldCat Record")</f>
        <v/>
      </c>
      <c r="AW1189" t="inlineStr">
        <is>
          <t>889672481:eng</t>
        </is>
      </c>
      <c r="AX1189" t="inlineStr">
        <is>
          <t>33440531</t>
        </is>
      </c>
      <c r="AY1189" t="inlineStr">
        <is>
          <t>991001551189702656</t>
        </is>
      </c>
      <c r="AZ1189" t="inlineStr">
        <is>
          <t>991001551189702656</t>
        </is>
      </c>
      <c r="BA1189" t="inlineStr">
        <is>
          <t>2265949440002656</t>
        </is>
      </c>
      <c r="BB1189" t="inlineStr">
        <is>
          <t>BOOK</t>
        </is>
      </c>
      <c r="BD1189" t="inlineStr">
        <is>
          <t>9780815181422</t>
        </is>
      </c>
      <c r="BE1189" t="inlineStr">
        <is>
          <t>30001003441666</t>
        </is>
      </c>
      <c r="BF1189" t="inlineStr">
        <is>
          <t>893832303</t>
        </is>
      </c>
    </row>
    <row r="1190">
      <c r="A1190" t="inlineStr">
        <is>
          <t>No</t>
        </is>
      </c>
      <c r="B1190" t="inlineStr">
        <is>
          <t>CUHSL</t>
        </is>
      </c>
      <c r="C1190" t="inlineStr">
        <is>
          <t>SHELVES</t>
        </is>
      </c>
      <c r="D1190" t="inlineStr">
        <is>
          <t>WY 106 C73564 1995</t>
        </is>
      </c>
      <c r="E1190" t="inlineStr">
        <is>
          <t>0                      WY 0106000C  73564       1995</t>
        </is>
      </c>
      <c r="F1190" t="inlineStr">
        <is>
          <t>Community health nursing : theory and practice / [editors], Claudia M. Smith, Frances A. Maurer.</t>
        </is>
      </c>
      <c r="H1190" t="inlineStr">
        <is>
          <t>No</t>
        </is>
      </c>
      <c r="I1190" t="inlineStr">
        <is>
          <t>1</t>
        </is>
      </c>
      <c r="J1190" t="inlineStr">
        <is>
          <t>No</t>
        </is>
      </c>
      <c r="K1190" t="inlineStr">
        <is>
          <t>No</t>
        </is>
      </c>
      <c r="L1190" t="inlineStr">
        <is>
          <t>0</t>
        </is>
      </c>
      <c r="N1190" t="inlineStr">
        <is>
          <t>Philadelphia : W.B. Saunders, c1995.</t>
        </is>
      </c>
      <c r="O1190" t="inlineStr">
        <is>
          <t>1995</t>
        </is>
      </c>
      <c r="Q1190" t="inlineStr">
        <is>
          <t>eng</t>
        </is>
      </c>
      <c r="R1190" t="inlineStr">
        <is>
          <t>pau</t>
        </is>
      </c>
      <c r="T1190" t="inlineStr">
        <is>
          <t xml:space="preserve">WY </t>
        </is>
      </c>
      <c r="U1190" t="n">
        <v>5</v>
      </c>
      <c r="V1190" t="n">
        <v>5</v>
      </c>
      <c r="W1190" t="inlineStr">
        <is>
          <t>1997-09-18</t>
        </is>
      </c>
      <c r="X1190" t="inlineStr">
        <is>
          <t>1997-09-18</t>
        </is>
      </c>
      <c r="Y1190" t="inlineStr">
        <is>
          <t>1996-01-12</t>
        </is>
      </c>
      <c r="Z1190" t="inlineStr">
        <is>
          <t>1996-01-12</t>
        </is>
      </c>
      <c r="AA1190" t="n">
        <v>213</v>
      </c>
      <c r="AB1190" t="n">
        <v>159</v>
      </c>
      <c r="AC1190" t="n">
        <v>325</v>
      </c>
      <c r="AD1190" t="n">
        <v>1</v>
      </c>
      <c r="AE1190" t="n">
        <v>1</v>
      </c>
      <c r="AF1190" t="n">
        <v>5</v>
      </c>
      <c r="AG1190" t="n">
        <v>14</v>
      </c>
      <c r="AH1190" t="n">
        <v>1</v>
      </c>
      <c r="AI1190" t="n">
        <v>6</v>
      </c>
      <c r="AJ1190" t="n">
        <v>1</v>
      </c>
      <c r="AK1190" t="n">
        <v>2</v>
      </c>
      <c r="AL1190" t="n">
        <v>4</v>
      </c>
      <c r="AM1190" t="n">
        <v>8</v>
      </c>
      <c r="AN1190" t="n">
        <v>0</v>
      </c>
      <c r="AO1190" t="n">
        <v>0</v>
      </c>
      <c r="AP1190" t="n">
        <v>0</v>
      </c>
      <c r="AQ1190" t="n">
        <v>0</v>
      </c>
      <c r="AR1190" t="inlineStr">
        <is>
          <t>No</t>
        </is>
      </c>
      <c r="AS1190" t="inlineStr">
        <is>
          <t>Yes</t>
        </is>
      </c>
      <c r="AT1190">
        <f>HYPERLINK("http://catalog.hathitrust.org/Record/002960362","HathiTrust Record")</f>
        <v/>
      </c>
      <c r="AU1190">
        <f>HYPERLINK("https://creighton-primo.hosted.exlibrisgroup.com/primo-explore/search?tab=default_tab&amp;search_scope=EVERYTHING&amp;vid=01CRU&amp;lang=en_US&amp;offset=0&amp;query=any,contains,991001501379702656","Catalog Record")</f>
        <v/>
      </c>
      <c r="AV1190">
        <f>HYPERLINK("http://www.worldcat.org/oclc/30669915","WorldCat Record")</f>
        <v/>
      </c>
      <c r="AW1190" t="inlineStr">
        <is>
          <t>836886647:eng</t>
        </is>
      </c>
      <c r="AX1190" t="inlineStr">
        <is>
          <t>30669915</t>
        </is>
      </c>
      <c r="AY1190" t="inlineStr">
        <is>
          <t>991001501379702656</t>
        </is>
      </c>
      <c r="AZ1190" t="inlineStr">
        <is>
          <t>991001501379702656</t>
        </is>
      </c>
      <c r="BA1190" t="inlineStr">
        <is>
          <t>2269178720002656</t>
        </is>
      </c>
      <c r="BB1190" t="inlineStr">
        <is>
          <t>BOOK</t>
        </is>
      </c>
      <c r="BD1190" t="inlineStr">
        <is>
          <t>9780721627427</t>
        </is>
      </c>
      <c r="BE1190" t="inlineStr">
        <is>
          <t>30001003262633</t>
        </is>
      </c>
      <c r="BF1190" t="inlineStr">
        <is>
          <t>893821258</t>
        </is>
      </c>
    </row>
    <row r="1191">
      <c r="A1191" t="inlineStr">
        <is>
          <t>No</t>
        </is>
      </c>
      <c r="B1191" t="inlineStr">
        <is>
          <t>CUHSL</t>
        </is>
      </c>
      <c r="C1191" t="inlineStr">
        <is>
          <t>SHELVES</t>
        </is>
      </c>
      <c r="D1191" t="inlineStr">
        <is>
          <t>WY 106 C855s 1986</t>
        </is>
      </c>
      <c r="E1191" t="inlineStr">
        <is>
          <t>0                      WY 0106000C  855s        1986</t>
        </is>
      </c>
      <c r="F1191" t="inlineStr">
        <is>
          <t>Standards of community health nursing practice.</t>
        </is>
      </c>
      <c r="H1191" t="inlineStr">
        <is>
          <t>No</t>
        </is>
      </c>
      <c r="I1191" t="inlineStr">
        <is>
          <t>1</t>
        </is>
      </c>
      <c r="J1191" t="inlineStr">
        <is>
          <t>No</t>
        </is>
      </c>
      <c r="K1191" t="inlineStr">
        <is>
          <t>No</t>
        </is>
      </c>
      <c r="L1191" t="inlineStr">
        <is>
          <t>0</t>
        </is>
      </c>
      <c r="M1191" t="inlineStr">
        <is>
          <t>Council of Community Health Nurses (American Nurses Association)</t>
        </is>
      </c>
      <c r="N1191" t="inlineStr">
        <is>
          <t>Kansas City, Mo. (2420 Pershing Rd., Kansas City 64108) : American Nurses' Association, Council of Community Health Nurses, c1986.</t>
        </is>
      </c>
      <c r="O1191" t="inlineStr">
        <is>
          <t>1986</t>
        </is>
      </c>
      <c r="Q1191" t="inlineStr">
        <is>
          <t>eng</t>
        </is>
      </c>
      <c r="R1191" t="inlineStr">
        <is>
          <t>mou</t>
        </is>
      </c>
      <c r="S1191" t="inlineStr">
        <is>
          <t>ANA pub ; no. CH-2</t>
        </is>
      </c>
      <c r="T1191" t="inlineStr">
        <is>
          <t xml:space="preserve">WY </t>
        </is>
      </c>
      <c r="U1191" t="n">
        <v>4</v>
      </c>
      <c r="V1191" t="n">
        <v>4</v>
      </c>
      <c r="W1191" t="inlineStr">
        <is>
          <t>1990-11-09</t>
        </is>
      </c>
      <c r="X1191" t="inlineStr">
        <is>
          <t>1990-11-09</t>
        </is>
      </c>
      <c r="Y1191" t="inlineStr">
        <is>
          <t>1987-12-10</t>
        </is>
      </c>
      <c r="Z1191" t="inlineStr">
        <is>
          <t>1987-12-10</t>
        </is>
      </c>
      <c r="AA1191" t="n">
        <v>227</v>
      </c>
      <c r="AB1191" t="n">
        <v>207</v>
      </c>
      <c r="AC1191" t="n">
        <v>215</v>
      </c>
      <c r="AD1191" t="n">
        <v>1</v>
      </c>
      <c r="AE1191" t="n">
        <v>1</v>
      </c>
      <c r="AF1191" t="n">
        <v>8</v>
      </c>
      <c r="AG1191" t="n">
        <v>9</v>
      </c>
      <c r="AH1191" t="n">
        <v>3</v>
      </c>
      <c r="AI1191" t="n">
        <v>4</v>
      </c>
      <c r="AJ1191" t="n">
        <v>2</v>
      </c>
      <c r="AK1191" t="n">
        <v>2</v>
      </c>
      <c r="AL1191" t="n">
        <v>4</v>
      </c>
      <c r="AM1191" t="n">
        <v>4</v>
      </c>
      <c r="AN1191" t="n">
        <v>0</v>
      </c>
      <c r="AO1191" t="n">
        <v>0</v>
      </c>
      <c r="AP1191" t="n">
        <v>0</v>
      </c>
      <c r="AQ1191" t="n">
        <v>0</v>
      </c>
      <c r="AR1191" t="inlineStr">
        <is>
          <t>No</t>
        </is>
      </c>
      <c r="AS1191" t="inlineStr">
        <is>
          <t>Yes</t>
        </is>
      </c>
      <c r="AT1191">
        <f>HYPERLINK("http://catalog.hathitrust.org/Record/000389531","HathiTrust Record")</f>
        <v/>
      </c>
      <c r="AU1191">
        <f>HYPERLINK("https://creighton-primo.hosted.exlibrisgroup.com/primo-explore/search?tab=default_tab&amp;search_scope=EVERYTHING&amp;vid=01CRU&amp;lang=en_US&amp;offset=0&amp;query=any,contains,991001519239702656","Catalog Record")</f>
        <v/>
      </c>
      <c r="AV1191">
        <f>HYPERLINK("http://www.worldcat.org/oclc/13269370","WorldCat Record")</f>
        <v/>
      </c>
      <c r="AW1191" t="inlineStr">
        <is>
          <t>3855428781:eng</t>
        </is>
      </c>
      <c r="AX1191" t="inlineStr">
        <is>
          <t>13269370</t>
        </is>
      </c>
      <c r="AY1191" t="inlineStr">
        <is>
          <t>991001519239702656</t>
        </is>
      </c>
      <c r="AZ1191" t="inlineStr">
        <is>
          <t>991001519239702656</t>
        </is>
      </c>
      <c r="BA1191" t="inlineStr">
        <is>
          <t>2261859620002656</t>
        </is>
      </c>
      <c r="BB1191" t="inlineStr">
        <is>
          <t>BOOK</t>
        </is>
      </c>
      <c r="BE1191" t="inlineStr">
        <is>
          <t>30001000602062</t>
        </is>
      </c>
      <c r="BF1191" t="inlineStr">
        <is>
          <t>893638405</t>
        </is>
      </c>
    </row>
    <row r="1192">
      <c r="A1192" t="inlineStr">
        <is>
          <t>No</t>
        </is>
      </c>
      <c r="B1192" t="inlineStr">
        <is>
          <t>CUHSL</t>
        </is>
      </c>
      <c r="C1192" t="inlineStr">
        <is>
          <t>SHELVES</t>
        </is>
      </c>
      <c r="D1192" t="inlineStr">
        <is>
          <t>WY 106 D598 1984</t>
        </is>
      </c>
      <c r="E1192" t="inlineStr">
        <is>
          <t>0                      WY 0106000D  598         1984</t>
        </is>
      </c>
      <c r="F1192" t="inlineStr">
        <is>
          <t>Directions in community health nursing / Judith Ann Sullivan, editor.</t>
        </is>
      </c>
      <c r="H1192" t="inlineStr">
        <is>
          <t>No</t>
        </is>
      </c>
      <c r="I1192" t="inlineStr">
        <is>
          <t>1</t>
        </is>
      </c>
      <c r="J1192" t="inlineStr">
        <is>
          <t>No</t>
        </is>
      </c>
      <c r="K1192" t="inlineStr">
        <is>
          <t>No</t>
        </is>
      </c>
      <c r="L1192" t="inlineStr">
        <is>
          <t>0</t>
        </is>
      </c>
      <c r="N1192" t="inlineStr">
        <is>
          <t>Oxford : Boston : Blackwell Scientific Publications ; St. Louis, Mo. : Blackwell Mosby Book Distributors, c1984.</t>
        </is>
      </c>
      <c r="O1192" t="inlineStr">
        <is>
          <t>1984</t>
        </is>
      </c>
      <c r="P1192" t="inlineStr">
        <is>
          <t>1st ed.</t>
        </is>
      </c>
      <c r="Q1192" t="inlineStr">
        <is>
          <t>eng</t>
        </is>
      </c>
      <c r="R1192" t="inlineStr">
        <is>
          <t>enk</t>
        </is>
      </c>
      <c r="T1192" t="inlineStr">
        <is>
          <t xml:space="preserve">WY </t>
        </is>
      </c>
      <c r="U1192" t="n">
        <v>3</v>
      </c>
      <c r="V1192" t="n">
        <v>3</v>
      </c>
      <c r="W1192" t="inlineStr">
        <is>
          <t>1989-09-26</t>
        </is>
      </c>
      <c r="X1192" t="inlineStr">
        <is>
          <t>1989-09-26</t>
        </is>
      </c>
      <c r="Y1192" t="inlineStr">
        <is>
          <t>1987-12-30</t>
        </is>
      </c>
      <c r="Z1192" t="inlineStr">
        <is>
          <t>1987-12-30</t>
        </is>
      </c>
      <c r="AA1192" t="n">
        <v>155</v>
      </c>
      <c r="AB1192" t="n">
        <v>113</v>
      </c>
      <c r="AC1192" t="n">
        <v>115</v>
      </c>
      <c r="AD1192" t="n">
        <v>1</v>
      </c>
      <c r="AE1192" t="n">
        <v>1</v>
      </c>
      <c r="AF1192" t="n">
        <v>2</v>
      </c>
      <c r="AG1192" t="n">
        <v>2</v>
      </c>
      <c r="AH1192" t="n">
        <v>0</v>
      </c>
      <c r="AI1192" t="n">
        <v>0</v>
      </c>
      <c r="AJ1192" t="n">
        <v>1</v>
      </c>
      <c r="AK1192" t="n">
        <v>1</v>
      </c>
      <c r="AL1192" t="n">
        <v>2</v>
      </c>
      <c r="AM1192" t="n">
        <v>2</v>
      </c>
      <c r="AN1192" t="n">
        <v>0</v>
      </c>
      <c r="AO1192" t="n">
        <v>0</v>
      </c>
      <c r="AP1192" t="n">
        <v>0</v>
      </c>
      <c r="AQ1192" t="n">
        <v>0</v>
      </c>
      <c r="AR1192" t="inlineStr">
        <is>
          <t>No</t>
        </is>
      </c>
      <c r="AS1192" t="inlineStr">
        <is>
          <t>Yes</t>
        </is>
      </c>
      <c r="AT1192">
        <f>HYPERLINK("http://catalog.hathitrust.org/Record/000371641","HathiTrust Record")</f>
        <v/>
      </c>
      <c r="AU1192">
        <f>HYPERLINK("https://creighton-primo.hosted.exlibrisgroup.com/primo-explore/search?tab=default_tab&amp;search_scope=EVERYTHING&amp;vid=01CRU&amp;lang=en_US&amp;offset=0&amp;query=any,contains,991001083769702656","Catalog Record")</f>
        <v/>
      </c>
      <c r="AV1192">
        <f>HYPERLINK("http://www.worldcat.org/oclc/10017994","WorldCat Record")</f>
        <v/>
      </c>
      <c r="AW1192" t="inlineStr">
        <is>
          <t>3027088:eng</t>
        </is>
      </c>
      <c r="AX1192" t="inlineStr">
        <is>
          <t>10017994</t>
        </is>
      </c>
      <c r="AY1192" t="inlineStr">
        <is>
          <t>991001083769702656</t>
        </is>
      </c>
      <c r="AZ1192" t="inlineStr">
        <is>
          <t>991001083769702656</t>
        </is>
      </c>
      <c r="BA1192" t="inlineStr">
        <is>
          <t>2269606840002656</t>
        </is>
      </c>
      <c r="BB1192" t="inlineStr">
        <is>
          <t>BOOK</t>
        </is>
      </c>
      <c r="BD1192" t="inlineStr">
        <is>
          <t>9780865420045</t>
        </is>
      </c>
      <c r="BE1192" t="inlineStr">
        <is>
          <t>30001000258196</t>
        </is>
      </c>
      <c r="BF1192" t="inlineStr">
        <is>
          <t>893287211</t>
        </is>
      </c>
    </row>
    <row r="1193">
      <c r="A1193" t="inlineStr">
        <is>
          <t>No</t>
        </is>
      </c>
      <c r="B1193" t="inlineStr">
        <is>
          <t>CUHSL</t>
        </is>
      </c>
      <c r="C1193" t="inlineStr">
        <is>
          <t>SHELVES</t>
        </is>
      </c>
      <c r="D1193" t="inlineStr">
        <is>
          <t>WY 106 F1977 1986</t>
        </is>
      </c>
      <c r="E1193" t="inlineStr">
        <is>
          <t>0                      WY 0106000F  1977        1986</t>
        </is>
      </c>
      <c r="F1193" t="inlineStr">
        <is>
          <t>Family-centered nursing in the community / [edited by] Barbara Bryan Logan, Cecilia E. Dawkins.</t>
        </is>
      </c>
      <c r="H1193" t="inlineStr">
        <is>
          <t>No</t>
        </is>
      </c>
      <c r="I1193" t="inlineStr">
        <is>
          <t>1</t>
        </is>
      </c>
      <c r="J1193" t="inlineStr">
        <is>
          <t>No</t>
        </is>
      </c>
      <c r="K1193" t="inlineStr">
        <is>
          <t>No</t>
        </is>
      </c>
      <c r="L1193" t="inlineStr">
        <is>
          <t>0</t>
        </is>
      </c>
      <c r="N1193" t="inlineStr">
        <is>
          <t>Menlo Park, Calif. : Addison-Wesley, Health Sciences Division, c1986.</t>
        </is>
      </c>
      <c r="O1193" t="inlineStr">
        <is>
          <t>1986</t>
        </is>
      </c>
      <c r="Q1193" t="inlineStr">
        <is>
          <t>eng</t>
        </is>
      </c>
      <c r="R1193" t="inlineStr">
        <is>
          <t>xxu</t>
        </is>
      </c>
      <c r="T1193" t="inlineStr">
        <is>
          <t xml:space="preserve">WY </t>
        </is>
      </c>
      <c r="U1193" t="n">
        <v>8</v>
      </c>
      <c r="V1193" t="n">
        <v>8</v>
      </c>
      <c r="W1193" t="inlineStr">
        <is>
          <t>1994-12-01</t>
        </is>
      </c>
      <c r="X1193" t="inlineStr">
        <is>
          <t>1994-12-01</t>
        </is>
      </c>
      <c r="Y1193" t="inlineStr">
        <is>
          <t>1987-12-30</t>
        </is>
      </c>
      <c r="Z1193" t="inlineStr">
        <is>
          <t>1987-12-30</t>
        </is>
      </c>
      <c r="AA1193" t="n">
        <v>300</v>
      </c>
      <c r="AB1193" t="n">
        <v>223</v>
      </c>
      <c r="AC1193" t="n">
        <v>225</v>
      </c>
      <c r="AD1193" t="n">
        <v>3</v>
      </c>
      <c r="AE1193" t="n">
        <v>3</v>
      </c>
      <c r="AF1193" t="n">
        <v>9</v>
      </c>
      <c r="AG1193" t="n">
        <v>9</v>
      </c>
      <c r="AH1193" t="n">
        <v>4</v>
      </c>
      <c r="AI1193" t="n">
        <v>4</v>
      </c>
      <c r="AJ1193" t="n">
        <v>2</v>
      </c>
      <c r="AK1193" t="n">
        <v>2</v>
      </c>
      <c r="AL1193" t="n">
        <v>5</v>
      </c>
      <c r="AM1193" t="n">
        <v>5</v>
      </c>
      <c r="AN1193" t="n">
        <v>1</v>
      </c>
      <c r="AO1193" t="n">
        <v>1</v>
      </c>
      <c r="AP1193" t="n">
        <v>0</v>
      </c>
      <c r="AQ1193" t="n">
        <v>0</v>
      </c>
      <c r="AR1193" t="inlineStr">
        <is>
          <t>No</t>
        </is>
      </c>
      <c r="AS1193" t="inlineStr">
        <is>
          <t>Yes</t>
        </is>
      </c>
      <c r="AT1193">
        <f>HYPERLINK("http://catalog.hathitrust.org/Record/000624617","HathiTrust Record")</f>
        <v/>
      </c>
      <c r="AU1193">
        <f>HYPERLINK("https://creighton-primo.hosted.exlibrisgroup.com/primo-explore/search?tab=default_tab&amp;search_scope=EVERYTHING&amp;vid=01CRU&amp;lang=en_US&amp;offset=0&amp;query=any,contains,991001083799702656","Catalog Record")</f>
        <v/>
      </c>
      <c r="AV1193">
        <f>HYPERLINK("http://www.worldcat.org/oclc/12972928","WorldCat Record")</f>
        <v/>
      </c>
      <c r="AW1193" t="inlineStr">
        <is>
          <t>355446556:eng</t>
        </is>
      </c>
      <c r="AX1193" t="inlineStr">
        <is>
          <t>12972928</t>
        </is>
      </c>
      <c r="AY1193" t="inlineStr">
        <is>
          <t>991001083799702656</t>
        </is>
      </c>
      <c r="AZ1193" t="inlineStr">
        <is>
          <t>991001083799702656</t>
        </is>
      </c>
      <c r="BA1193" t="inlineStr">
        <is>
          <t>2270437680002656</t>
        </is>
      </c>
      <c r="BB1193" t="inlineStr">
        <is>
          <t>BOOK</t>
        </is>
      </c>
      <c r="BD1193" t="inlineStr">
        <is>
          <t>9780201126846</t>
        </is>
      </c>
      <c r="BE1193" t="inlineStr">
        <is>
          <t>30001000258246</t>
        </is>
      </c>
      <c r="BF1193" t="inlineStr">
        <is>
          <t>893121149</t>
        </is>
      </c>
    </row>
    <row r="1194">
      <c r="A1194" t="inlineStr">
        <is>
          <t>No</t>
        </is>
      </c>
      <c r="B1194" t="inlineStr">
        <is>
          <t>CUHSL</t>
        </is>
      </c>
      <c r="C1194" t="inlineStr">
        <is>
          <t>SHELVES</t>
        </is>
      </c>
      <c r="D1194" t="inlineStr">
        <is>
          <t>WY 106 F855c 1981</t>
        </is>
      </c>
      <c r="E1194" t="inlineStr">
        <is>
          <t>0                      WY 0106000F  855c        1981</t>
        </is>
      </c>
      <c r="F1194" t="inlineStr">
        <is>
          <t>Community health nursing practice / Ruth B. Freeman, Janet Heinrich.</t>
        </is>
      </c>
      <c r="H1194" t="inlineStr">
        <is>
          <t>No</t>
        </is>
      </c>
      <c r="I1194" t="inlineStr">
        <is>
          <t>1</t>
        </is>
      </c>
      <c r="J1194" t="inlineStr">
        <is>
          <t>No</t>
        </is>
      </c>
      <c r="K1194" t="inlineStr">
        <is>
          <t>No</t>
        </is>
      </c>
      <c r="L1194" t="inlineStr">
        <is>
          <t>0</t>
        </is>
      </c>
      <c r="M1194" t="inlineStr">
        <is>
          <t>Freeman, Ruth B.</t>
        </is>
      </c>
      <c r="N1194" t="inlineStr">
        <is>
          <t>Philadelphia : Saunders, c1981.</t>
        </is>
      </c>
      <c r="O1194" t="inlineStr">
        <is>
          <t>1981</t>
        </is>
      </c>
      <c r="P1194" t="inlineStr">
        <is>
          <t>2nd ed.</t>
        </is>
      </c>
      <c r="Q1194" t="inlineStr">
        <is>
          <t>eng</t>
        </is>
      </c>
      <c r="R1194" t="inlineStr">
        <is>
          <t>pau</t>
        </is>
      </c>
      <c r="T1194" t="inlineStr">
        <is>
          <t xml:space="preserve">WY </t>
        </is>
      </c>
      <c r="U1194" t="n">
        <v>95</v>
      </c>
      <c r="V1194" t="n">
        <v>95</v>
      </c>
      <c r="W1194" t="inlineStr">
        <is>
          <t>1993-10-19</t>
        </is>
      </c>
      <c r="X1194" t="inlineStr">
        <is>
          <t>1993-10-19</t>
        </is>
      </c>
      <c r="Y1194" t="inlineStr">
        <is>
          <t>1989-09-19</t>
        </is>
      </c>
      <c r="Z1194" t="inlineStr">
        <is>
          <t>1989-09-19</t>
        </is>
      </c>
      <c r="AA1194" t="n">
        <v>288</v>
      </c>
      <c r="AB1194" t="n">
        <v>215</v>
      </c>
      <c r="AC1194" t="n">
        <v>336</v>
      </c>
      <c r="AD1194" t="n">
        <v>2</v>
      </c>
      <c r="AE1194" t="n">
        <v>4</v>
      </c>
      <c r="AF1194" t="n">
        <v>9</v>
      </c>
      <c r="AG1194" t="n">
        <v>14</v>
      </c>
      <c r="AH1194" t="n">
        <v>3</v>
      </c>
      <c r="AI1194" t="n">
        <v>4</v>
      </c>
      <c r="AJ1194" t="n">
        <v>2</v>
      </c>
      <c r="AK1194" t="n">
        <v>3</v>
      </c>
      <c r="AL1194" t="n">
        <v>5</v>
      </c>
      <c r="AM1194" t="n">
        <v>6</v>
      </c>
      <c r="AN1194" t="n">
        <v>1</v>
      </c>
      <c r="AO1194" t="n">
        <v>3</v>
      </c>
      <c r="AP1194" t="n">
        <v>0</v>
      </c>
      <c r="AQ1194" t="n">
        <v>0</v>
      </c>
      <c r="AR1194" t="inlineStr">
        <is>
          <t>No</t>
        </is>
      </c>
      <c r="AS1194" t="inlineStr">
        <is>
          <t>Yes</t>
        </is>
      </c>
      <c r="AT1194">
        <f>HYPERLINK("http://catalog.hathitrust.org/Record/000142768","HathiTrust Record")</f>
        <v/>
      </c>
      <c r="AU1194">
        <f>HYPERLINK("https://creighton-primo.hosted.exlibrisgroup.com/primo-explore/search?tab=default_tab&amp;search_scope=EVERYTHING&amp;vid=01CRU&amp;lang=en_US&amp;offset=0&amp;query=any,contains,991001325689702656","Catalog Record")</f>
        <v/>
      </c>
      <c r="AV1194">
        <f>HYPERLINK("http://www.worldcat.org/oclc/7173797","WorldCat Record")</f>
        <v/>
      </c>
      <c r="AW1194" t="inlineStr">
        <is>
          <t>448068:eng</t>
        </is>
      </c>
      <c r="AX1194" t="inlineStr">
        <is>
          <t>7173797</t>
        </is>
      </c>
      <c r="AY1194" t="inlineStr">
        <is>
          <t>991001325689702656</t>
        </is>
      </c>
      <c r="AZ1194" t="inlineStr">
        <is>
          <t>991001325689702656</t>
        </is>
      </c>
      <c r="BA1194" t="inlineStr">
        <is>
          <t>2255463980002656</t>
        </is>
      </c>
      <c r="BB1194" t="inlineStr">
        <is>
          <t>BOOK</t>
        </is>
      </c>
      <c r="BD1194" t="inlineStr">
        <is>
          <t>9780721638775</t>
        </is>
      </c>
      <c r="BE1194" t="inlineStr">
        <is>
          <t>30001001754417</t>
        </is>
      </c>
      <c r="BF1194" t="inlineStr">
        <is>
          <t>893541259</t>
        </is>
      </c>
    </row>
    <row r="1195">
      <c r="A1195" t="inlineStr">
        <is>
          <t>No</t>
        </is>
      </c>
      <c r="B1195" t="inlineStr">
        <is>
          <t>CUHSL</t>
        </is>
      </c>
      <c r="C1195" t="inlineStr">
        <is>
          <t>SHELVES</t>
        </is>
      </c>
      <c r="D1195" t="inlineStr">
        <is>
          <t>WY 106 H234c 1979</t>
        </is>
      </c>
      <c r="E1195" t="inlineStr">
        <is>
          <t>0                      WY 0106000H  234c        1979</t>
        </is>
      </c>
      <c r="F1195" t="inlineStr">
        <is>
          <t>Community health assessment : a conceptual tool kit / Effie S. Hanchett.</t>
        </is>
      </c>
      <c r="H1195" t="inlineStr">
        <is>
          <t>No</t>
        </is>
      </c>
      <c r="I1195" t="inlineStr">
        <is>
          <t>1</t>
        </is>
      </c>
      <c r="J1195" t="inlineStr">
        <is>
          <t>No</t>
        </is>
      </c>
      <c r="K1195" t="inlineStr">
        <is>
          <t>No</t>
        </is>
      </c>
      <c r="L1195" t="inlineStr">
        <is>
          <t>0</t>
        </is>
      </c>
      <c r="M1195" t="inlineStr">
        <is>
          <t>Hanchett, Effie S.</t>
        </is>
      </c>
      <c r="N1195" t="inlineStr">
        <is>
          <t>New York : Wiley, c1979.</t>
        </is>
      </c>
      <c r="O1195" t="inlineStr">
        <is>
          <t>1979</t>
        </is>
      </c>
      <c r="Q1195" t="inlineStr">
        <is>
          <t>eng</t>
        </is>
      </c>
      <c r="R1195" t="inlineStr">
        <is>
          <t>nyu</t>
        </is>
      </c>
      <c r="S1195" t="inlineStr">
        <is>
          <t>A Wiley medical publication</t>
        </is>
      </c>
      <c r="T1195" t="inlineStr">
        <is>
          <t xml:space="preserve">WY </t>
        </is>
      </c>
      <c r="U1195" t="n">
        <v>8</v>
      </c>
      <c r="V1195" t="n">
        <v>8</v>
      </c>
      <c r="W1195" t="inlineStr">
        <is>
          <t>2003-08-05</t>
        </is>
      </c>
      <c r="X1195" t="inlineStr">
        <is>
          <t>2003-08-05</t>
        </is>
      </c>
      <c r="Y1195" t="inlineStr">
        <is>
          <t>1987-12-30</t>
        </is>
      </c>
      <c r="Z1195" t="inlineStr">
        <is>
          <t>1987-12-30</t>
        </is>
      </c>
      <c r="AA1195" t="n">
        <v>254</v>
      </c>
      <c r="AB1195" t="n">
        <v>187</v>
      </c>
      <c r="AC1195" t="n">
        <v>189</v>
      </c>
      <c r="AD1195" t="n">
        <v>2</v>
      </c>
      <c r="AE1195" t="n">
        <v>2</v>
      </c>
      <c r="AF1195" t="n">
        <v>13</v>
      </c>
      <c r="AG1195" t="n">
        <v>13</v>
      </c>
      <c r="AH1195" t="n">
        <v>4</v>
      </c>
      <c r="AI1195" t="n">
        <v>4</v>
      </c>
      <c r="AJ1195" t="n">
        <v>3</v>
      </c>
      <c r="AK1195" t="n">
        <v>3</v>
      </c>
      <c r="AL1195" t="n">
        <v>7</v>
      </c>
      <c r="AM1195" t="n">
        <v>7</v>
      </c>
      <c r="AN1195" t="n">
        <v>1</v>
      </c>
      <c r="AO1195" t="n">
        <v>1</v>
      </c>
      <c r="AP1195" t="n">
        <v>0</v>
      </c>
      <c r="AQ1195" t="n">
        <v>0</v>
      </c>
      <c r="AR1195" t="inlineStr">
        <is>
          <t>No</t>
        </is>
      </c>
      <c r="AS1195" t="inlineStr">
        <is>
          <t>Yes</t>
        </is>
      </c>
      <c r="AT1195">
        <f>HYPERLINK("http://catalog.hathitrust.org/Record/000180455","HathiTrust Record")</f>
        <v/>
      </c>
      <c r="AU1195">
        <f>HYPERLINK("https://creighton-primo.hosted.exlibrisgroup.com/primo-explore/search?tab=default_tab&amp;search_scope=EVERYTHING&amp;vid=01CRU&amp;lang=en_US&amp;offset=0&amp;query=any,contains,991001083849702656","Catalog Record")</f>
        <v/>
      </c>
      <c r="AV1195">
        <f>HYPERLINK("http://www.worldcat.org/oclc/4136112","WorldCat Record")</f>
        <v/>
      </c>
      <c r="AW1195" t="inlineStr">
        <is>
          <t>32555043:eng</t>
        </is>
      </c>
      <c r="AX1195" t="inlineStr">
        <is>
          <t>4136112</t>
        </is>
      </c>
      <c r="AY1195" t="inlineStr">
        <is>
          <t>991001083849702656</t>
        </is>
      </c>
      <c r="AZ1195" t="inlineStr">
        <is>
          <t>991001083849702656</t>
        </is>
      </c>
      <c r="BA1195" t="inlineStr">
        <is>
          <t>2258095510002656</t>
        </is>
      </c>
      <c r="BB1195" t="inlineStr">
        <is>
          <t>BOOK</t>
        </is>
      </c>
      <c r="BD1195" t="inlineStr">
        <is>
          <t>9780471347767</t>
        </is>
      </c>
      <c r="BE1195" t="inlineStr">
        <is>
          <t>30001000258261</t>
        </is>
      </c>
      <c r="BF1195" t="inlineStr">
        <is>
          <t>893278674</t>
        </is>
      </c>
    </row>
    <row r="1196">
      <c r="A1196" t="inlineStr">
        <is>
          <t>No</t>
        </is>
      </c>
      <c r="B1196" t="inlineStr">
        <is>
          <t>CUHSL</t>
        </is>
      </c>
      <c r="C1196" t="inlineStr">
        <is>
          <t>SHELVES</t>
        </is>
      </c>
      <c r="D1196" t="inlineStr">
        <is>
          <t>WY 106 H234n 1988</t>
        </is>
      </c>
      <c r="E1196" t="inlineStr">
        <is>
          <t>0                      WY 0106000H  234n        1988</t>
        </is>
      </c>
      <c r="F1196" t="inlineStr">
        <is>
          <t>Nursing frameworks &amp; community as client : bridging the gap / Effie S. Hanchett.</t>
        </is>
      </c>
      <c r="H1196" t="inlineStr">
        <is>
          <t>No</t>
        </is>
      </c>
      <c r="I1196" t="inlineStr">
        <is>
          <t>1</t>
        </is>
      </c>
      <c r="J1196" t="inlineStr">
        <is>
          <t>No</t>
        </is>
      </c>
      <c r="K1196" t="inlineStr">
        <is>
          <t>No</t>
        </is>
      </c>
      <c r="L1196" t="inlineStr">
        <is>
          <t>0</t>
        </is>
      </c>
      <c r="M1196" t="inlineStr">
        <is>
          <t>Hanchett, Effie S.</t>
        </is>
      </c>
      <c r="N1196" t="inlineStr">
        <is>
          <t>Norwalk, Conn. : Appleton &amp; Lange, c1988.</t>
        </is>
      </c>
      <c r="O1196" t="inlineStr">
        <is>
          <t>1988</t>
        </is>
      </c>
      <c r="Q1196" t="inlineStr">
        <is>
          <t>eng</t>
        </is>
      </c>
      <c r="R1196" t="inlineStr">
        <is>
          <t>xxu</t>
        </is>
      </c>
      <c r="T1196" t="inlineStr">
        <is>
          <t xml:space="preserve">WY </t>
        </is>
      </c>
      <c r="U1196" t="n">
        <v>11</v>
      </c>
      <c r="V1196" t="n">
        <v>11</v>
      </c>
      <c r="W1196" t="inlineStr">
        <is>
          <t>2000-12-02</t>
        </is>
      </c>
      <c r="X1196" t="inlineStr">
        <is>
          <t>2000-12-02</t>
        </is>
      </c>
      <c r="Y1196" t="inlineStr">
        <is>
          <t>1989-11-06</t>
        </is>
      </c>
      <c r="Z1196" t="inlineStr">
        <is>
          <t>1989-11-06</t>
        </is>
      </c>
      <c r="AA1196" t="n">
        <v>196</v>
      </c>
      <c r="AB1196" t="n">
        <v>162</v>
      </c>
      <c r="AC1196" t="n">
        <v>164</v>
      </c>
      <c r="AD1196" t="n">
        <v>1</v>
      </c>
      <c r="AE1196" t="n">
        <v>1</v>
      </c>
      <c r="AF1196" t="n">
        <v>10</v>
      </c>
      <c r="AG1196" t="n">
        <v>10</v>
      </c>
      <c r="AH1196" t="n">
        <v>3</v>
      </c>
      <c r="AI1196" t="n">
        <v>3</v>
      </c>
      <c r="AJ1196" t="n">
        <v>2</v>
      </c>
      <c r="AK1196" t="n">
        <v>2</v>
      </c>
      <c r="AL1196" t="n">
        <v>7</v>
      </c>
      <c r="AM1196" t="n">
        <v>7</v>
      </c>
      <c r="AN1196" t="n">
        <v>0</v>
      </c>
      <c r="AO1196" t="n">
        <v>0</v>
      </c>
      <c r="AP1196" t="n">
        <v>0</v>
      </c>
      <c r="AQ1196" t="n">
        <v>0</v>
      </c>
      <c r="AR1196" t="inlineStr">
        <is>
          <t>No</t>
        </is>
      </c>
      <c r="AS1196" t="inlineStr">
        <is>
          <t>Yes</t>
        </is>
      </c>
      <c r="AT1196">
        <f>HYPERLINK("http://catalog.hathitrust.org/Record/001837539","HathiTrust Record")</f>
        <v/>
      </c>
      <c r="AU1196">
        <f>HYPERLINK("https://creighton-primo.hosted.exlibrisgroup.com/primo-explore/search?tab=default_tab&amp;search_scope=EVERYTHING&amp;vid=01CRU&amp;lang=en_US&amp;offset=0&amp;query=any,contains,991001315519702656","Catalog Record")</f>
        <v/>
      </c>
      <c r="AV1196">
        <f>HYPERLINK("http://www.worldcat.org/oclc/17918549","WorldCat Record")</f>
        <v/>
      </c>
      <c r="AW1196" t="inlineStr">
        <is>
          <t>422926531:eng</t>
        </is>
      </c>
      <c r="AX1196" t="inlineStr">
        <is>
          <t>17918549</t>
        </is>
      </c>
      <c r="AY1196" t="inlineStr">
        <is>
          <t>991001315519702656</t>
        </is>
      </c>
      <c r="AZ1196" t="inlineStr">
        <is>
          <t>991001315519702656</t>
        </is>
      </c>
      <c r="BA1196" t="inlineStr">
        <is>
          <t>2257079690002656</t>
        </is>
      </c>
      <c r="BB1196" t="inlineStr">
        <is>
          <t>BOOK</t>
        </is>
      </c>
      <c r="BD1196" t="inlineStr">
        <is>
          <t>9780838570135</t>
        </is>
      </c>
      <c r="BE1196" t="inlineStr">
        <is>
          <t>30001001752668</t>
        </is>
      </c>
      <c r="BF1196" t="inlineStr">
        <is>
          <t>893740993</t>
        </is>
      </c>
    </row>
    <row r="1197">
      <c r="A1197" t="inlineStr">
        <is>
          <t>No</t>
        </is>
      </c>
      <c r="B1197" t="inlineStr">
        <is>
          <t>CUHSL</t>
        </is>
      </c>
      <c r="C1197" t="inlineStr">
        <is>
          <t>SHELVES</t>
        </is>
      </c>
      <c r="D1197" t="inlineStr">
        <is>
          <t>WY 106 H485c 1991</t>
        </is>
      </c>
      <c r="E1197" t="inlineStr">
        <is>
          <t>0                      WY 0106000H  485c        1991</t>
        </is>
      </c>
      <c r="F1197" t="inlineStr">
        <is>
          <t>Community health nursing : theory and practice / Carl O. Helvie.</t>
        </is>
      </c>
      <c r="H1197" t="inlineStr">
        <is>
          <t>No</t>
        </is>
      </c>
      <c r="I1197" t="inlineStr">
        <is>
          <t>1</t>
        </is>
      </c>
      <c r="J1197" t="inlineStr">
        <is>
          <t>No</t>
        </is>
      </c>
      <c r="K1197" t="inlineStr">
        <is>
          <t>No</t>
        </is>
      </c>
      <c r="L1197" t="inlineStr">
        <is>
          <t>0</t>
        </is>
      </c>
      <c r="M1197" t="inlineStr">
        <is>
          <t>Helvie, Carl O.</t>
        </is>
      </c>
      <c r="N1197" t="inlineStr">
        <is>
          <t>New York : Springer Pub. Co., c1991.</t>
        </is>
      </c>
      <c r="O1197" t="inlineStr">
        <is>
          <t>1991</t>
        </is>
      </c>
      <c r="Q1197" t="inlineStr">
        <is>
          <t>eng</t>
        </is>
      </c>
      <c r="R1197" t="inlineStr">
        <is>
          <t>xxu</t>
        </is>
      </c>
      <c r="T1197" t="inlineStr">
        <is>
          <t xml:space="preserve">WY </t>
        </is>
      </c>
      <c r="U1197" t="n">
        <v>4</v>
      </c>
      <c r="V1197" t="n">
        <v>4</v>
      </c>
      <c r="W1197" t="inlineStr">
        <is>
          <t>2000-02-15</t>
        </is>
      </c>
      <c r="X1197" t="inlineStr">
        <is>
          <t>2000-02-15</t>
        </is>
      </c>
      <c r="Y1197" t="inlineStr">
        <is>
          <t>1991-04-23</t>
        </is>
      </c>
      <c r="Z1197" t="inlineStr">
        <is>
          <t>1991-04-23</t>
        </is>
      </c>
      <c r="AA1197" t="n">
        <v>197</v>
      </c>
      <c r="AB1197" t="n">
        <v>149</v>
      </c>
      <c r="AC1197" t="n">
        <v>151</v>
      </c>
      <c r="AD1197" t="n">
        <v>2</v>
      </c>
      <c r="AE1197" t="n">
        <v>2</v>
      </c>
      <c r="AF1197" t="n">
        <v>7</v>
      </c>
      <c r="AG1197" t="n">
        <v>7</v>
      </c>
      <c r="AH1197" t="n">
        <v>3</v>
      </c>
      <c r="AI1197" t="n">
        <v>3</v>
      </c>
      <c r="AJ1197" t="n">
        <v>1</v>
      </c>
      <c r="AK1197" t="n">
        <v>1</v>
      </c>
      <c r="AL1197" t="n">
        <v>4</v>
      </c>
      <c r="AM1197" t="n">
        <v>4</v>
      </c>
      <c r="AN1197" t="n">
        <v>0</v>
      </c>
      <c r="AO1197" t="n">
        <v>0</v>
      </c>
      <c r="AP1197" t="n">
        <v>0</v>
      </c>
      <c r="AQ1197" t="n">
        <v>0</v>
      </c>
      <c r="AR1197" t="inlineStr">
        <is>
          <t>No</t>
        </is>
      </c>
      <c r="AS1197" t="inlineStr">
        <is>
          <t>Yes</t>
        </is>
      </c>
      <c r="AT1197">
        <f>HYPERLINK("http://catalog.hathitrust.org/Record/002446253","HathiTrust Record")</f>
        <v/>
      </c>
      <c r="AU1197">
        <f>HYPERLINK("https://creighton-primo.hosted.exlibrisgroup.com/primo-explore/search?tab=default_tab&amp;search_scope=EVERYTHING&amp;vid=01CRU&amp;lang=en_US&amp;offset=0&amp;query=any,contains,991000827939702656","Catalog Record")</f>
        <v/>
      </c>
      <c r="AV1197">
        <f>HYPERLINK("http://www.worldcat.org/oclc/20995284","WorldCat Record")</f>
        <v/>
      </c>
      <c r="AW1197" t="inlineStr">
        <is>
          <t>3863767327:eng</t>
        </is>
      </c>
      <c r="AX1197" t="inlineStr">
        <is>
          <t>20995284</t>
        </is>
      </c>
      <c r="AY1197" t="inlineStr">
        <is>
          <t>991000827939702656</t>
        </is>
      </c>
      <c r="AZ1197" t="inlineStr">
        <is>
          <t>991000827939702656</t>
        </is>
      </c>
      <c r="BA1197" t="inlineStr">
        <is>
          <t>2272527110002656</t>
        </is>
      </c>
      <c r="BB1197" t="inlineStr">
        <is>
          <t>BOOK</t>
        </is>
      </c>
      <c r="BD1197" t="inlineStr">
        <is>
          <t>9780826165503</t>
        </is>
      </c>
      <c r="BE1197" t="inlineStr">
        <is>
          <t>30001002089813</t>
        </is>
      </c>
      <c r="BF1197" t="inlineStr">
        <is>
          <t>893368672</t>
        </is>
      </c>
    </row>
    <row r="1198">
      <c r="A1198" t="inlineStr">
        <is>
          <t>No</t>
        </is>
      </c>
      <c r="B1198" t="inlineStr">
        <is>
          <t>CUHSL</t>
        </is>
      </c>
      <c r="C1198" t="inlineStr">
        <is>
          <t>SHELVES</t>
        </is>
      </c>
      <c r="D1198" t="inlineStr">
        <is>
          <t>WY 106 H637c 1985</t>
        </is>
      </c>
      <c r="E1198" t="inlineStr">
        <is>
          <t>0                      WY 0106000H  637c        1985</t>
        </is>
      </c>
      <c r="F1198" t="inlineStr">
        <is>
          <t>Community as a client : assessment and diagnosis / by Zana Rae Higgs, Dorothy Dell Gustafson.</t>
        </is>
      </c>
      <c r="H1198" t="inlineStr">
        <is>
          <t>No</t>
        </is>
      </c>
      <c r="I1198" t="inlineStr">
        <is>
          <t>1</t>
        </is>
      </c>
      <c r="J1198" t="inlineStr">
        <is>
          <t>No</t>
        </is>
      </c>
      <c r="K1198" t="inlineStr">
        <is>
          <t>No</t>
        </is>
      </c>
      <c r="L1198" t="inlineStr">
        <is>
          <t>0</t>
        </is>
      </c>
      <c r="M1198" t="inlineStr">
        <is>
          <t>Higgs, Zana Rae, 1940-</t>
        </is>
      </c>
      <c r="N1198" t="inlineStr">
        <is>
          <t>Philadelphia : F.A. Davis, c1985.</t>
        </is>
      </c>
      <c r="O1198" t="inlineStr">
        <is>
          <t>1985</t>
        </is>
      </c>
      <c r="Q1198" t="inlineStr">
        <is>
          <t>eng</t>
        </is>
      </c>
      <c r="R1198" t="inlineStr">
        <is>
          <t>pau</t>
        </is>
      </c>
      <c r="T1198" t="inlineStr">
        <is>
          <t xml:space="preserve">WY </t>
        </is>
      </c>
      <c r="U1198" t="n">
        <v>92</v>
      </c>
      <c r="V1198" t="n">
        <v>92</v>
      </c>
      <c r="W1198" t="inlineStr">
        <is>
          <t>2000-12-02</t>
        </is>
      </c>
      <c r="X1198" t="inlineStr">
        <is>
          <t>2000-12-02</t>
        </is>
      </c>
      <c r="Y1198" t="inlineStr">
        <is>
          <t>1987-10-22</t>
        </is>
      </c>
      <c r="Z1198" t="inlineStr">
        <is>
          <t>1987-10-22</t>
        </is>
      </c>
      <c r="AA1198" t="n">
        <v>243</v>
      </c>
      <c r="AB1198" t="n">
        <v>193</v>
      </c>
      <c r="AC1198" t="n">
        <v>200</v>
      </c>
      <c r="AD1198" t="n">
        <v>3</v>
      </c>
      <c r="AE1198" t="n">
        <v>3</v>
      </c>
      <c r="AF1198" t="n">
        <v>7</v>
      </c>
      <c r="AG1198" t="n">
        <v>7</v>
      </c>
      <c r="AH1198" t="n">
        <v>2</v>
      </c>
      <c r="AI1198" t="n">
        <v>2</v>
      </c>
      <c r="AJ1198" t="n">
        <v>0</v>
      </c>
      <c r="AK1198" t="n">
        <v>0</v>
      </c>
      <c r="AL1198" t="n">
        <v>3</v>
      </c>
      <c r="AM1198" t="n">
        <v>3</v>
      </c>
      <c r="AN1198" t="n">
        <v>2</v>
      </c>
      <c r="AO1198" t="n">
        <v>2</v>
      </c>
      <c r="AP1198" t="n">
        <v>0</v>
      </c>
      <c r="AQ1198" t="n">
        <v>0</v>
      </c>
      <c r="AR1198" t="inlineStr">
        <is>
          <t>No</t>
        </is>
      </c>
      <c r="AS1198" t="inlineStr">
        <is>
          <t>Yes</t>
        </is>
      </c>
      <c r="AT1198">
        <f>HYPERLINK("http://catalog.hathitrust.org/Record/000604028","HathiTrust Record")</f>
        <v/>
      </c>
      <c r="AU1198">
        <f>HYPERLINK("https://creighton-primo.hosted.exlibrisgroup.com/primo-explore/search?tab=default_tab&amp;search_scope=EVERYTHING&amp;vid=01CRU&amp;lang=en_US&amp;offset=0&amp;query=any,contains,991000736259702656","Catalog Record")</f>
        <v/>
      </c>
      <c r="AV1198">
        <f>HYPERLINK("http://www.worldcat.org/oclc/11262241","WorldCat Record")</f>
        <v/>
      </c>
      <c r="AW1198" t="inlineStr">
        <is>
          <t>3874148:eng</t>
        </is>
      </c>
      <c r="AX1198" t="inlineStr">
        <is>
          <t>11262241</t>
        </is>
      </c>
      <c r="AY1198" t="inlineStr">
        <is>
          <t>991000736259702656</t>
        </is>
      </c>
      <c r="AZ1198" t="inlineStr">
        <is>
          <t>991000736259702656</t>
        </is>
      </c>
      <c r="BA1198" t="inlineStr">
        <is>
          <t>2265872650002656</t>
        </is>
      </c>
      <c r="BB1198" t="inlineStr">
        <is>
          <t>BOOK</t>
        </is>
      </c>
      <c r="BD1198" t="inlineStr">
        <is>
          <t>9780803646285</t>
        </is>
      </c>
      <c r="BE1198" t="inlineStr">
        <is>
          <t>30001000041618</t>
        </is>
      </c>
      <c r="BF1198" t="inlineStr">
        <is>
          <t>893450170</t>
        </is>
      </c>
    </row>
    <row r="1199">
      <c r="A1199" t="inlineStr">
        <is>
          <t>No</t>
        </is>
      </c>
      <c r="B1199" t="inlineStr">
        <is>
          <t>CUHSL</t>
        </is>
      </c>
      <c r="C1199" t="inlineStr">
        <is>
          <t>SHELVES</t>
        </is>
      </c>
      <c r="D1199" t="inlineStr">
        <is>
          <t>WY106 H946i 2005</t>
        </is>
      </c>
      <c r="E1199" t="inlineStr">
        <is>
          <t>0                      WY 0106000H  946i        2005</t>
        </is>
      </c>
      <c r="F1199" t="inlineStr">
        <is>
          <t>Introduction to community-based nursing / Roberta Hunt.</t>
        </is>
      </c>
      <c r="H1199" t="inlineStr">
        <is>
          <t>No</t>
        </is>
      </c>
      <c r="I1199" t="inlineStr">
        <is>
          <t>1</t>
        </is>
      </c>
      <c r="J1199" t="inlineStr">
        <is>
          <t>No</t>
        </is>
      </c>
      <c r="K1199" t="inlineStr">
        <is>
          <t>Yes</t>
        </is>
      </c>
      <c r="L1199" t="inlineStr">
        <is>
          <t>0</t>
        </is>
      </c>
      <c r="M1199" t="inlineStr">
        <is>
          <t>Hunt, Roberta.</t>
        </is>
      </c>
      <c r="N1199" t="inlineStr">
        <is>
          <t>Philadelphia : Lippincott Williams &amp; Wilkins, c2005.</t>
        </is>
      </c>
      <c r="O1199" t="inlineStr">
        <is>
          <t>2005</t>
        </is>
      </c>
      <c r="P1199" t="inlineStr">
        <is>
          <t>3rd ed.</t>
        </is>
      </c>
      <c r="Q1199" t="inlineStr">
        <is>
          <t>eng</t>
        </is>
      </c>
      <c r="R1199" t="inlineStr">
        <is>
          <t>pau</t>
        </is>
      </c>
      <c r="T1199" t="inlineStr">
        <is>
          <t xml:space="preserve">WY </t>
        </is>
      </c>
      <c r="U1199" t="n">
        <v>2</v>
      </c>
      <c r="V1199" t="n">
        <v>2</v>
      </c>
      <c r="W1199" t="inlineStr">
        <is>
          <t>2007-02-05</t>
        </is>
      </c>
      <c r="X1199" t="inlineStr">
        <is>
          <t>2007-02-05</t>
        </is>
      </c>
      <c r="Y1199" t="inlineStr">
        <is>
          <t>2004-10-08</t>
        </is>
      </c>
      <c r="Z1199" t="inlineStr">
        <is>
          <t>2004-10-08</t>
        </is>
      </c>
      <c r="AA1199" t="n">
        <v>283</v>
      </c>
      <c r="AB1199" t="n">
        <v>197</v>
      </c>
      <c r="AC1199" t="n">
        <v>678</v>
      </c>
      <c r="AD1199" t="n">
        <v>1</v>
      </c>
      <c r="AE1199" t="n">
        <v>2</v>
      </c>
      <c r="AF1199" t="n">
        <v>4</v>
      </c>
      <c r="AG1199" t="n">
        <v>16</v>
      </c>
      <c r="AH1199" t="n">
        <v>2</v>
      </c>
      <c r="AI1199" t="n">
        <v>8</v>
      </c>
      <c r="AJ1199" t="n">
        <v>0</v>
      </c>
      <c r="AK1199" t="n">
        <v>2</v>
      </c>
      <c r="AL1199" t="n">
        <v>2</v>
      </c>
      <c r="AM1199" t="n">
        <v>9</v>
      </c>
      <c r="AN1199" t="n">
        <v>0</v>
      </c>
      <c r="AO1199" t="n">
        <v>0</v>
      </c>
      <c r="AP1199" t="n">
        <v>0</v>
      </c>
      <c r="AQ1199" t="n">
        <v>0</v>
      </c>
      <c r="AR1199" t="inlineStr">
        <is>
          <t>No</t>
        </is>
      </c>
      <c r="AS1199" t="inlineStr">
        <is>
          <t>No</t>
        </is>
      </c>
      <c r="AU1199">
        <f>HYPERLINK("https://creighton-primo.hosted.exlibrisgroup.com/primo-explore/search?tab=default_tab&amp;search_scope=EVERYTHING&amp;vid=01CRU&amp;lang=en_US&amp;offset=0&amp;query=any,contains,991000399829702656","Catalog Record")</f>
        <v/>
      </c>
      <c r="AV1199">
        <f>HYPERLINK("http://www.worldcat.org/oclc/55228216","WorldCat Record")</f>
        <v/>
      </c>
      <c r="AW1199" t="inlineStr">
        <is>
          <t>14263813:eng</t>
        </is>
      </c>
      <c r="AX1199" t="inlineStr">
        <is>
          <t>55228216</t>
        </is>
      </c>
      <c r="AY1199" t="inlineStr">
        <is>
          <t>991000399829702656</t>
        </is>
      </c>
      <c r="AZ1199" t="inlineStr">
        <is>
          <t>991000399829702656</t>
        </is>
      </c>
      <c r="BA1199" t="inlineStr">
        <is>
          <t>2270456790002656</t>
        </is>
      </c>
      <c r="BB1199" t="inlineStr">
        <is>
          <t>BOOK</t>
        </is>
      </c>
      <c r="BD1199" t="inlineStr">
        <is>
          <t>9780781745055</t>
        </is>
      </c>
      <c r="BE1199" t="inlineStr">
        <is>
          <t>30001004923845</t>
        </is>
      </c>
      <c r="BF1199" t="inlineStr">
        <is>
          <t>893279981</t>
        </is>
      </c>
    </row>
    <row r="1200">
      <c r="A1200" t="inlineStr">
        <is>
          <t>No</t>
        </is>
      </c>
      <c r="B1200" t="inlineStr">
        <is>
          <t>CUHSL</t>
        </is>
      </c>
      <c r="C1200" t="inlineStr">
        <is>
          <t>SHELVES</t>
        </is>
      </c>
      <c r="D1200" t="inlineStr">
        <is>
          <t>WY 106 J38k 1981</t>
        </is>
      </c>
      <c r="E1200" t="inlineStr">
        <is>
          <t>0                      WY 0106000J  38k         1981</t>
        </is>
      </c>
      <c r="F1200" t="inlineStr">
        <is>
          <t>Keeping the public healthy : community health nursing / Linda L. Jarvis.</t>
        </is>
      </c>
      <c r="H1200" t="inlineStr">
        <is>
          <t>No</t>
        </is>
      </c>
      <c r="I1200" t="inlineStr">
        <is>
          <t>1</t>
        </is>
      </c>
      <c r="J1200" t="inlineStr">
        <is>
          <t>No</t>
        </is>
      </c>
      <c r="K1200" t="inlineStr">
        <is>
          <t>Yes</t>
        </is>
      </c>
      <c r="L1200" t="inlineStr">
        <is>
          <t>0</t>
        </is>
      </c>
      <c r="M1200" t="inlineStr">
        <is>
          <t>Jarvis, Linda L.</t>
        </is>
      </c>
      <c r="N1200" t="inlineStr">
        <is>
          <t>Philadelphia : Davis, c1981.</t>
        </is>
      </c>
      <c r="O1200" t="inlineStr">
        <is>
          <t>1981</t>
        </is>
      </c>
      <c r="Q1200" t="inlineStr">
        <is>
          <t>eng</t>
        </is>
      </c>
      <c r="R1200" t="inlineStr">
        <is>
          <t>xxu</t>
        </is>
      </c>
      <c r="T1200" t="inlineStr">
        <is>
          <t xml:space="preserve">WY </t>
        </is>
      </c>
      <c r="U1200" t="n">
        <v>4</v>
      </c>
      <c r="V1200" t="n">
        <v>4</v>
      </c>
      <c r="W1200" t="inlineStr">
        <is>
          <t>1992-03-22</t>
        </is>
      </c>
      <c r="X1200" t="inlineStr">
        <is>
          <t>1992-03-22</t>
        </is>
      </c>
      <c r="Y1200" t="inlineStr">
        <is>
          <t>1987-12-30</t>
        </is>
      </c>
      <c r="Z1200" t="inlineStr">
        <is>
          <t>1987-12-30</t>
        </is>
      </c>
      <c r="AA1200" t="n">
        <v>225</v>
      </c>
      <c r="AB1200" t="n">
        <v>188</v>
      </c>
      <c r="AC1200" t="n">
        <v>286</v>
      </c>
      <c r="AD1200" t="n">
        <v>1</v>
      </c>
      <c r="AE1200" t="n">
        <v>2</v>
      </c>
      <c r="AF1200" t="n">
        <v>5</v>
      </c>
      <c r="AG1200" t="n">
        <v>8</v>
      </c>
      <c r="AH1200" t="n">
        <v>0</v>
      </c>
      <c r="AI1200" t="n">
        <v>3</v>
      </c>
      <c r="AJ1200" t="n">
        <v>1</v>
      </c>
      <c r="AK1200" t="n">
        <v>1</v>
      </c>
      <c r="AL1200" t="n">
        <v>5</v>
      </c>
      <c r="AM1200" t="n">
        <v>6</v>
      </c>
      <c r="AN1200" t="n">
        <v>0</v>
      </c>
      <c r="AO1200" t="n">
        <v>0</v>
      </c>
      <c r="AP1200" t="n">
        <v>0</v>
      </c>
      <c r="AQ1200" t="n">
        <v>0</v>
      </c>
      <c r="AR1200" t="inlineStr">
        <is>
          <t>No</t>
        </is>
      </c>
      <c r="AS1200" t="inlineStr">
        <is>
          <t>Yes</t>
        </is>
      </c>
      <c r="AT1200">
        <f>HYPERLINK("http://catalog.hathitrust.org/Record/000147079","HathiTrust Record")</f>
        <v/>
      </c>
      <c r="AU1200">
        <f>HYPERLINK("https://creighton-primo.hosted.exlibrisgroup.com/primo-explore/search?tab=default_tab&amp;search_scope=EVERYTHING&amp;vid=01CRU&amp;lang=en_US&amp;offset=0&amp;query=any,contains,991001083969702656","Catalog Record")</f>
        <v/>
      </c>
      <c r="AV1200">
        <f>HYPERLINK("http://www.worldcat.org/oclc/6421256","WorldCat Record")</f>
        <v/>
      </c>
      <c r="AW1200" t="inlineStr">
        <is>
          <t>836681297:eng</t>
        </is>
      </c>
      <c r="AX1200" t="inlineStr">
        <is>
          <t>6421256</t>
        </is>
      </c>
      <c r="AY1200" t="inlineStr">
        <is>
          <t>991001083969702656</t>
        </is>
      </c>
      <c r="AZ1200" t="inlineStr">
        <is>
          <t>991001083969702656</t>
        </is>
      </c>
      <c r="BA1200" t="inlineStr">
        <is>
          <t>2270548050002656</t>
        </is>
      </c>
      <c r="BB1200" t="inlineStr">
        <is>
          <t>BOOK</t>
        </is>
      </c>
      <c r="BD1200" t="inlineStr">
        <is>
          <t>9780803649255</t>
        </is>
      </c>
      <c r="BE1200" t="inlineStr">
        <is>
          <t>30001000258295</t>
        </is>
      </c>
      <c r="BF1200" t="inlineStr">
        <is>
          <t>893369088</t>
        </is>
      </c>
    </row>
    <row r="1201">
      <c r="A1201" t="inlineStr">
        <is>
          <t>No</t>
        </is>
      </c>
      <c r="B1201" t="inlineStr">
        <is>
          <t>CUHSL</t>
        </is>
      </c>
      <c r="C1201" t="inlineStr">
        <is>
          <t>SHELVES</t>
        </is>
      </c>
      <c r="D1201" t="inlineStr">
        <is>
          <t>WY106 M381o 1992</t>
        </is>
      </c>
      <c r="E1201" t="inlineStr">
        <is>
          <t>0                      WY 0106000M  381o        1992</t>
        </is>
      </c>
      <c r="F1201" t="inlineStr">
        <is>
          <t>The Omaha system : applications for community health nursing / Karen S. Martin, Nancy J. Scheet.</t>
        </is>
      </c>
      <c r="H1201" t="inlineStr">
        <is>
          <t>No</t>
        </is>
      </c>
      <c r="I1201" t="inlineStr">
        <is>
          <t>1</t>
        </is>
      </c>
      <c r="J1201" t="inlineStr">
        <is>
          <t>No</t>
        </is>
      </c>
      <c r="K1201" t="inlineStr">
        <is>
          <t>No</t>
        </is>
      </c>
      <c r="L1201" t="inlineStr">
        <is>
          <t>0</t>
        </is>
      </c>
      <c r="M1201" t="inlineStr">
        <is>
          <t>Martin, Karen S.</t>
        </is>
      </c>
      <c r="N1201" t="inlineStr">
        <is>
          <t>Philadelphia : Saunders, c1992.</t>
        </is>
      </c>
      <c r="O1201" t="inlineStr">
        <is>
          <t>1992</t>
        </is>
      </c>
      <c r="Q1201" t="inlineStr">
        <is>
          <t>eng</t>
        </is>
      </c>
      <c r="R1201" t="inlineStr">
        <is>
          <t>xxu</t>
        </is>
      </c>
      <c r="T1201" t="inlineStr">
        <is>
          <t xml:space="preserve">WY </t>
        </is>
      </c>
      <c r="U1201" t="n">
        <v>9</v>
      </c>
      <c r="V1201" t="n">
        <v>9</v>
      </c>
      <c r="W1201" t="inlineStr">
        <is>
          <t>2007-06-20</t>
        </is>
      </c>
      <c r="X1201" t="inlineStr">
        <is>
          <t>2007-06-20</t>
        </is>
      </c>
      <c r="Y1201" t="inlineStr">
        <is>
          <t>1992-01-17</t>
        </is>
      </c>
      <c r="Z1201" t="inlineStr">
        <is>
          <t>1992-01-17</t>
        </is>
      </c>
      <c r="AA1201" t="n">
        <v>218</v>
      </c>
      <c r="AB1201" t="n">
        <v>158</v>
      </c>
      <c r="AC1201" t="n">
        <v>165</v>
      </c>
      <c r="AD1201" t="n">
        <v>5</v>
      </c>
      <c r="AE1201" t="n">
        <v>5</v>
      </c>
      <c r="AF1201" t="n">
        <v>12</v>
      </c>
      <c r="AG1201" t="n">
        <v>12</v>
      </c>
      <c r="AH1201" t="n">
        <v>4</v>
      </c>
      <c r="AI1201" t="n">
        <v>4</v>
      </c>
      <c r="AJ1201" t="n">
        <v>1</v>
      </c>
      <c r="AK1201" t="n">
        <v>1</v>
      </c>
      <c r="AL1201" t="n">
        <v>7</v>
      </c>
      <c r="AM1201" t="n">
        <v>7</v>
      </c>
      <c r="AN1201" t="n">
        <v>3</v>
      </c>
      <c r="AO1201" t="n">
        <v>3</v>
      </c>
      <c r="AP1201" t="n">
        <v>0</v>
      </c>
      <c r="AQ1201" t="n">
        <v>0</v>
      </c>
      <c r="AR1201" t="inlineStr">
        <is>
          <t>No</t>
        </is>
      </c>
      <c r="AS1201" t="inlineStr">
        <is>
          <t>Yes</t>
        </is>
      </c>
      <c r="AT1201">
        <f>HYPERLINK("http://catalog.hathitrust.org/Record/002507129","HathiTrust Record")</f>
        <v/>
      </c>
      <c r="AU1201">
        <f>HYPERLINK("https://creighton-primo.hosted.exlibrisgroup.com/primo-explore/search?tab=default_tab&amp;search_scope=EVERYTHING&amp;vid=01CRU&amp;lang=en_US&amp;offset=0&amp;query=any,contains,991001027479702656","Catalog Record")</f>
        <v/>
      </c>
      <c r="AV1201">
        <f>HYPERLINK("http://www.worldcat.org/oclc/23732076","WorldCat Record")</f>
        <v/>
      </c>
      <c r="AW1201" t="inlineStr">
        <is>
          <t>836865045:eng</t>
        </is>
      </c>
      <c r="AX1201" t="inlineStr">
        <is>
          <t>23732076</t>
        </is>
      </c>
      <c r="AY1201" t="inlineStr">
        <is>
          <t>991001027479702656</t>
        </is>
      </c>
      <c r="AZ1201" t="inlineStr">
        <is>
          <t>991001027479702656</t>
        </is>
      </c>
      <c r="BA1201" t="inlineStr">
        <is>
          <t>2267850450002656</t>
        </is>
      </c>
      <c r="BB1201" t="inlineStr">
        <is>
          <t>BOOK</t>
        </is>
      </c>
      <c r="BD1201" t="inlineStr">
        <is>
          <t>9780721661261</t>
        </is>
      </c>
      <c r="BE1201" t="inlineStr">
        <is>
          <t>30001002242990</t>
        </is>
      </c>
      <c r="BF1201" t="inlineStr">
        <is>
          <t>893465127</t>
        </is>
      </c>
    </row>
    <row r="1202">
      <c r="A1202" t="inlineStr">
        <is>
          <t>No</t>
        </is>
      </c>
      <c r="B1202" t="inlineStr">
        <is>
          <t>CUHSL</t>
        </is>
      </c>
      <c r="C1202" t="inlineStr">
        <is>
          <t>SHELVES</t>
        </is>
      </c>
      <c r="D1202" t="inlineStr">
        <is>
          <t>WY 106 N974 1987</t>
        </is>
      </c>
      <c r="E1202" t="inlineStr">
        <is>
          <t>0                      WY 0106000N  974         1987</t>
        </is>
      </c>
      <c r="F1202" t="inlineStr">
        <is>
          <t>Nursing practice in the 21st century : papers presented at the forum "Nursing Practice in the 21st Century", September 20-23, 1988 [sic] / cosponsored by the American Nurses' Foundation, Inc. and the Annenberg Center for Health Sciences of the Eisenhower Medical Center.</t>
        </is>
      </c>
      <c r="H1202" t="inlineStr">
        <is>
          <t>No</t>
        </is>
      </c>
      <c r="I1202" t="inlineStr">
        <is>
          <t>1</t>
        </is>
      </c>
      <c r="J1202" t="inlineStr">
        <is>
          <t>No</t>
        </is>
      </c>
      <c r="K1202" t="inlineStr">
        <is>
          <t>No</t>
        </is>
      </c>
      <c r="L1202" t="inlineStr">
        <is>
          <t>0</t>
        </is>
      </c>
      <c r="N1202" t="inlineStr">
        <is>
          <t>Kansas City, Mo. : American Nurses' Foundation, c1988.</t>
        </is>
      </c>
      <c r="O1202" t="inlineStr">
        <is>
          <t>1988</t>
        </is>
      </c>
      <c r="Q1202" t="inlineStr">
        <is>
          <t>eng</t>
        </is>
      </c>
      <c r="R1202" t="inlineStr">
        <is>
          <t>mou</t>
        </is>
      </c>
      <c r="T1202" t="inlineStr">
        <is>
          <t xml:space="preserve">WY </t>
        </is>
      </c>
      <c r="U1202" t="n">
        <v>15</v>
      </c>
      <c r="V1202" t="n">
        <v>15</v>
      </c>
      <c r="W1202" t="inlineStr">
        <is>
          <t>1990-04-26</t>
        </is>
      </c>
      <c r="X1202" t="inlineStr">
        <is>
          <t>1990-04-26</t>
        </is>
      </c>
      <c r="Y1202" t="inlineStr">
        <is>
          <t>1988-09-17</t>
        </is>
      </c>
      <c r="Z1202" t="inlineStr">
        <is>
          <t>1988-09-17</t>
        </is>
      </c>
      <c r="AA1202" t="n">
        <v>74</v>
      </c>
      <c r="AB1202" t="n">
        <v>74</v>
      </c>
      <c r="AC1202" t="n">
        <v>124</v>
      </c>
      <c r="AD1202" t="n">
        <v>2</v>
      </c>
      <c r="AE1202" t="n">
        <v>2</v>
      </c>
      <c r="AF1202" t="n">
        <v>5</v>
      </c>
      <c r="AG1202" t="n">
        <v>6</v>
      </c>
      <c r="AH1202" t="n">
        <v>1</v>
      </c>
      <c r="AI1202" t="n">
        <v>1</v>
      </c>
      <c r="AJ1202" t="n">
        <v>0</v>
      </c>
      <c r="AK1202" t="n">
        <v>0</v>
      </c>
      <c r="AL1202" t="n">
        <v>4</v>
      </c>
      <c r="AM1202" t="n">
        <v>5</v>
      </c>
      <c r="AN1202" t="n">
        <v>0</v>
      </c>
      <c r="AO1202" t="n">
        <v>0</v>
      </c>
      <c r="AP1202" t="n">
        <v>0</v>
      </c>
      <c r="AQ1202" t="n">
        <v>0</v>
      </c>
      <c r="AR1202" t="inlineStr">
        <is>
          <t>No</t>
        </is>
      </c>
      <c r="AS1202" t="inlineStr">
        <is>
          <t>No</t>
        </is>
      </c>
      <c r="AU1202">
        <f>HYPERLINK("https://creighton-primo.hosted.exlibrisgroup.com/primo-explore/search?tab=default_tab&amp;search_scope=EVERYTHING&amp;vid=01CRU&amp;lang=en_US&amp;offset=0&amp;query=any,contains,991001423559702656","Catalog Record")</f>
        <v/>
      </c>
      <c r="AV1202">
        <f>HYPERLINK("http://www.worldcat.org/oclc/18343500","WorldCat Record")</f>
        <v/>
      </c>
      <c r="AW1202" t="inlineStr">
        <is>
          <t>475752651:eng</t>
        </is>
      </c>
      <c r="AX1202" t="inlineStr">
        <is>
          <t>18343500</t>
        </is>
      </c>
      <c r="AY1202" t="inlineStr">
        <is>
          <t>991001423559702656</t>
        </is>
      </c>
      <c r="AZ1202" t="inlineStr">
        <is>
          <t>991001423559702656</t>
        </is>
      </c>
      <c r="BA1202" t="inlineStr">
        <is>
          <t>2272175150002656</t>
        </is>
      </c>
      <c r="BB1202" t="inlineStr">
        <is>
          <t>BOOK</t>
        </is>
      </c>
      <c r="BE1202" t="inlineStr">
        <is>
          <t>30001001183302</t>
        </is>
      </c>
      <c r="BF1202" t="inlineStr">
        <is>
          <t>893268487</t>
        </is>
      </c>
    </row>
    <row r="1203">
      <c r="A1203" t="inlineStr">
        <is>
          <t>No</t>
        </is>
      </c>
      <c r="B1203" t="inlineStr">
        <is>
          <t>CUHSL</t>
        </is>
      </c>
      <c r="C1203" t="inlineStr">
        <is>
          <t>SHELVES</t>
        </is>
      </c>
      <c r="D1203" t="inlineStr">
        <is>
          <t>WY 106 N97552 1992</t>
        </is>
      </c>
      <c r="E1203" t="inlineStr">
        <is>
          <t>0                      WY 0106000N  97552       1992</t>
        </is>
      </c>
      <c r="F1203" t="inlineStr">
        <is>
          <t>Nursing in the community / [edited by] Mary Jo Clark.</t>
        </is>
      </c>
      <c r="H1203" t="inlineStr">
        <is>
          <t>No</t>
        </is>
      </c>
      <c r="I1203" t="inlineStr">
        <is>
          <t>1</t>
        </is>
      </c>
      <c r="J1203" t="inlineStr">
        <is>
          <t>No</t>
        </is>
      </c>
      <c r="K1203" t="inlineStr">
        <is>
          <t>No</t>
        </is>
      </c>
      <c r="L1203" t="inlineStr">
        <is>
          <t>0</t>
        </is>
      </c>
      <c r="N1203" t="inlineStr">
        <is>
          <t>Norwalk, Conn. : Appleton &amp; Lange, c1992.</t>
        </is>
      </c>
      <c r="O1203" t="inlineStr">
        <is>
          <t>1992</t>
        </is>
      </c>
      <c r="Q1203" t="inlineStr">
        <is>
          <t>eng</t>
        </is>
      </c>
      <c r="R1203" t="inlineStr">
        <is>
          <t>ctu</t>
        </is>
      </c>
      <c r="T1203" t="inlineStr">
        <is>
          <t xml:space="preserve">WY </t>
        </is>
      </c>
      <c r="U1203" t="n">
        <v>9</v>
      </c>
      <c r="V1203" t="n">
        <v>9</v>
      </c>
      <c r="W1203" t="inlineStr">
        <is>
          <t>1995-03-17</t>
        </is>
      </c>
      <c r="X1203" t="inlineStr">
        <is>
          <t>1995-03-17</t>
        </is>
      </c>
      <c r="Y1203" t="inlineStr">
        <is>
          <t>1992-02-19</t>
        </is>
      </c>
      <c r="Z1203" t="inlineStr">
        <is>
          <t>1992-02-19</t>
        </is>
      </c>
      <c r="AA1203" t="n">
        <v>208</v>
      </c>
      <c r="AB1203" t="n">
        <v>155</v>
      </c>
      <c r="AC1203" t="n">
        <v>155</v>
      </c>
      <c r="AD1203" t="n">
        <v>2</v>
      </c>
      <c r="AE1203" t="n">
        <v>2</v>
      </c>
      <c r="AF1203" t="n">
        <v>5</v>
      </c>
      <c r="AG1203" t="n">
        <v>5</v>
      </c>
      <c r="AH1203" t="n">
        <v>2</v>
      </c>
      <c r="AI1203" t="n">
        <v>2</v>
      </c>
      <c r="AJ1203" t="n">
        <v>1</v>
      </c>
      <c r="AK1203" t="n">
        <v>1</v>
      </c>
      <c r="AL1203" t="n">
        <v>2</v>
      </c>
      <c r="AM1203" t="n">
        <v>2</v>
      </c>
      <c r="AN1203" t="n">
        <v>1</v>
      </c>
      <c r="AO1203" t="n">
        <v>1</v>
      </c>
      <c r="AP1203" t="n">
        <v>0</v>
      </c>
      <c r="AQ1203" t="n">
        <v>0</v>
      </c>
      <c r="AR1203" t="inlineStr">
        <is>
          <t>No</t>
        </is>
      </c>
      <c r="AS1203" t="inlineStr">
        <is>
          <t>No</t>
        </is>
      </c>
      <c r="AU1203">
        <f>HYPERLINK("https://creighton-primo.hosted.exlibrisgroup.com/primo-explore/search?tab=default_tab&amp;search_scope=EVERYTHING&amp;vid=01CRU&amp;lang=en_US&amp;offset=0&amp;query=any,contains,991001032789702656","Catalog Record")</f>
        <v/>
      </c>
      <c r="AV1203">
        <f>HYPERLINK("http://www.worldcat.org/oclc/24667688","WorldCat Record")</f>
        <v/>
      </c>
      <c r="AW1203" t="inlineStr">
        <is>
          <t>4451767997:eng</t>
        </is>
      </c>
      <c r="AX1203" t="inlineStr">
        <is>
          <t>24667688</t>
        </is>
      </c>
      <c r="AY1203" t="inlineStr">
        <is>
          <t>991001032789702656</t>
        </is>
      </c>
      <c r="AZ1203" t="inlineStr">
        <is>
          <t>991001032789702656</t>
        </is>
      </c>
      <c r="BA1203" t="inlineStr">
        <is>
          <t>2255809960002656</t>
        </is>
      </c>
      <c r="BB1203" t="inlineStr">
        <is>
          <t>BOOK</t>
        </is>
      </c>
      <c r="BD1203" t="inlineStr">
        <is>
          <t>9780838513620</t>
        </is>
      </c>
      <c r="BE1203" t="inlineStr">
        <is>
          <t>30001002244145</t>
        </is>
      </c>
      <c r="BF1203" t="inlineStr">
        <is>
          <t>893632674</t>
        </is>
      </c>
    </row>
    <row r="1204">
      <c r="A1204" t="inlineStr">
        <is>
          <t>No</t>
        </is>
      </c>
      <c r="B1204" t="inlineStr">
        <is>
          <t>CUHSL</t>
        </is>
      </c>
      <c r="C1204" t="inlineStr">
        <is>
          <t>SHELVES</t>
        </is>
      </c>
      <c r="D1204" t="inlineStr">
        <is>
          <t>WY 106 N97553 1990</t>
        </is>
      </c>
      <c r="E1204" t="inlineStr">
        <is>
          <t>0                      WY 0106000N  97553       1990</t>
        </is>
      </c>
      <c r="F1204" t="inlineStr">
        <is>
          <t>Nursing in the community / [edited by] Bonnie Bullough, Vern Bullough.</t>
        </is>
      </c>
      <c r="H1204" t="inlineStr">
        <is>
          <t>No</t>
        </is>
      </c>
      <c r="I1204" t="inlineStr">
        <is>
          <t>1</t>
        </is>
      </c>
      <c r="J1204" t="inlineStr">
        <is>
          <t>No</t>
        </is>
      </c>
      <c r="K1204" t="inlineStr">
        <is>
          <t>No</t>
        </is>
      </c>
      <c r="L1204" t="inlineStr">
        <is>
          <t>0</t>
        </is>
      </c>
      <c r="N1204" t="inlineStr">
        <is>
          <t>St. Louis : Mosby, c1990.</t>
        </is>
      </c>
      <c r="O1204" t="inlineStr">
        <is>
          <t>1990</t>
        </is>
      </c>
      <c r="Q1204" t="inlineStr">
        <is>
          <t>eng</t>
        </is>
      </c>
      <c r="R1204" t="inlineStr">
        <is>
          <t>mou</t>
        </is>
      </c>
      <c r="T1204" t="inlineStr">
        <is>
          <t xml:space="preserve">WY </t>
        </is>
      </c>
      <c r="U1204" t="n">
        <v>5</v>
      </c>
      <c r="V1204" t="n">
        <v>5</v>
      </c>
      <c r="W1204" t="inlineStr">
        <is>
          <t>1993-04-02</t>
        </is>
      </c>
      <c r="X1204" t="inlineStr">
        <is>
          <t>1993-04-02</t>
        </is>
      </c>
      <c r="Y1204" t="inlineStr">
        <is>
          <t>1993-03-26</t>
        </is>
      </c>
      <c r="Z1204" t="inlineStr">
        <is>
          <t>1993-03-26</t>
        </is>
      </c>
      <c r="AA1204" t="n">
        <v>282</v>
      </c>
      <c r="AB1204" t="n">
        <v>209</v>
      </c>
      <c r="AC1204" t="n">
        <v>216</v>
      </c>
      <c r="AD1204" t="n">
        <v>2</v>
      </c>
      <c r="AE1204" t="n">
        <v>2</v>
      </c>
      <c r="AF1204" t="n">
        <v>3</v>
      </c>
      <c r="AG1204" t="n">
        <v>3</v>
      </c>
      <c r="AH1204" t="n">
        <v>1</v>
      </c>
      <c r="AI1204" t="n">
        <v>1</v>
      </c>
      <c r="AJ1204" t="n">
        <v>1</v>
      </c>
      <c r="AK1204" t="n">
        <v>1</v>
      </c>
      <c r="AL1204" t="n">
        <v>2</v>
      </c>
      <c r="AM1204" t="n">
        <v>2</v>
      </c>
      <c r="AN1204" t="n">
        <v>0</v>
      </c>
      <c r="AO1204" t="n">
        <v>0</v>
      </c>
      <c r="AP1204" t="n">
        <v>0</v>
      </c>
      <c r="AQ1204" t="n">
        <v>0</v>
      </c>
      <c r="AR1204" t="inlineStr">
        <is>
          <t>No</t>
        </is>
      </c>
      <c r="AS1204" t="inlineStr">
        <is>
          <t>Yes</t>
        </is>
      </c>
      <c r="AT1204">
        <f>HYPERLINK("http://catalog.hathitrust.org/Record/001942740","HathiTrust Record")</f>
        <v/>
      </c>
      <c r="AU1204">
        <f>HYPERLINK("https://creighton-primo.hosted.exlibrisgroup.com/primo-explore/search?tab=default_tab&amp;search_scope=EVERYTHING&amp;vid=01CRU&amp;lang=en_US&amp;offset=0&amp;query=any,contains,991001472159702656","Catalog Record")</f>
        <v/>
      </c>
      <c r="AV1204">
        <f>HYPERLINK("http://www.worldcat.org/oclc/20637594","WorldCat Record")</f>
        <v/>
      </c>
      <c r="AW1204" t="inlineStr">
        <is>
          <t>423070482:eng</t>
        </is>
      </c>
      <c r="AX1204" t="inlineStr">
        <is>
          <t>20637594</t>
        </is>
      </c>
      <c r="AY1204" t="inlineStr">
        <is>
          <t>991001472159702656</t>
        </is>
      </c>
      <c r="AZ1204" t="inlineStr">
        <is>
          <t>991001472159702656</t>
        </is>
      </c>
      <c r="BA1204" t="inlineStr">
        <is>
          <t>2266128570002656</t>
        </is>
      </c>
      <c r="BB1204" t="inlineStr">
        <is>
          <t>BOOK</t>
        </is>
      </c>
      <c r="BD1204" t="inlineStr">
        <is>
          <t>9780801660658</t>
        </is>
      </c>
      <c r="BE1204" t="inlineStr">
        <is>
          <t>30001002563171</t>
        </is>
      </c>
      <c r="BF1204" t="inlineStr">
        <is>
          <t>893465564</t>
        </is>
      </c>
    </row>
    <row r="1205">
      <c r="A1205" t="inlineStr">
        <is>
          <t>No</t>
        </is>
      </c>
      <c r="B1205" t="inlineStr">
        <is>
          <t>CUHSL</t>
        </is>
      </c>
      <c r="C1205" t="inlineStr">
        <is>
          <t>SHELVES</t>
        </is>
      </c>
      <c r="D1205" t="inlineStr">
        <is>
          <t>WY 106 N9756 1991</t>
        </is>
      </c>
      <c r="E1205" t="inlineStr">
        <is>
          <t>0                      WY 0106000N  9756        1991</t>
        </is>
      </c>
      <c r="F1205" t="inlineStr">
        <is>
          <t>Nursing process and practice in the community / [edited by] Joan M. Cookfair.</t>
        </is>
      </c>
      <c r="H1205" t="inlineStr">
        <is>
          <t>No</t>
        </is>
      </c>
      <c r="I1205" t="inlineStr">
        <is>
          <t>1</t>
        </is>
      </c>
      <c r="J1205" t="inlineStr">
        <is>
          <t>No</t>
        </is>
      </c>
      <c r="K1205" t="inlineStr">
        <is>
          <t>No</t>
        </is>
      </c>
      <c r="L1205" t="inlineStr">
        <is>
          <t>0</t>
        </is>
      </c>
      <c r="N1205" t="inlineStr">
        <is>
          <t>St. Louis : Mosby Year Book, c1991.</t>
        </is>
      </c>
      <c r="O1205" t="inlineStr">
        <is>
          <t>1991</t>
        </is>
      </c>
      <c r="Q1205" t="inlineStr">
        <is>
          <t>eng</t>
        </is>
      </c>
      <c r="R1205" t="inlineStr">
        <is>
          <t>mou</t>
        </is>
      </c>
      <c r="T1205" t="inlineStr">
        <is>
          <t xml:space="preserve">WY </t>
        </is>
      </c>
      <c r="U1205" t="n">
        <v>8</v>
      </c>
      <c r="V1205" t="n">
        <v>8</v>
      </c>
      <c r="W1205" t="inlineStr">
        <is>
          <t>1993-04-02</t>
        </is>
      </c>
      <c r="X1205" t="inlineStr">
        <is>
          <t>1993-04-02</t>
        </is>
      </c>
      <c r="Y1205" t="inlineStr">
        <is>
          <t>1993-03-26</t>
        </is>
      </c>
      <c r="Z1205" t="inlineStr">
        <is>
          <t>1993-03-26</t>
        </is>
      </c>
      <c r="AA1205" t="n">
        <v>253</v>
      </c>
      <c r="AB1205" t="n">
        <v>172</v>
      </c>
      <c r="AC1205" t="n">
        <v>174</v>
      </c>
      <c r="AD1205" t="n">
        <v>1</v>
      </c>
      <c r="AE1205" t="n">
        <v>1</v>
      </c>
      <c r="AF1205" t="n">
        <v>7</v>
      </c>
      <c r="AG1205" t="n">
        <v>7</v>
      </c>
      <c r="AH1205" t="n">
        <v>4</v>
      </c>
      <c r="AI1205" t="n">
        <v>4</v>
      </c>
      <c r="AJ1205" t="n">
        <v>1</v>
      </c>
      <c r="AK1205" t="n">
        <v>1</v>
      </c>
      <c r="AL1205" t="n">
        <v>5</v>
      </c>
      <c r="AM1205" t="n">
        <v>5</v>
      </c>
      <c r="AN1205" t="n">
        <v>0</v>
      </c>
      <c r="AO1205" t="n">
        <v>0</v>
      </c>
      <c r="AP1205" t="n">
        <v>0</v>
      </c>
      <c r="AQ1205" t="n">
        <v>0</v>
      </c>
      <c r="AR1205" t="inlineStr">
        <is>
          <t>No</t>
        </is>
      </c>
      <c r="AS1205" t="inlineStr">
        <is>
          <t>Yes</t>
        </is>
      </c>
      <c r="AT1205">
        <f>HYPERLINK("http://catalog.hathitrust.org/Record/002233673","HathiTrust Record")</f>
        <v/>
      </c>
      <c r="AU1205">
        <f>HYPERLINK("https://creighton-primo.hosted.exlibrisgroup.com/primo-explore/search?tab=default_tab&amp;search_scope=EVERYTHING&amp;vid=01CRU&amp;lang=en_US&amp;offset=0&amp;query=any,contains,991001472279702656","Catalog Record")</f>
        <v/>
      </c>
      <c r="AV1205">
        <f>HYPERLINK("http://www.worldcat.org/oclc/22491278","WorldCat Record")</f>
        <v/>
      </c>
      <c r="AW1205" t="inlineStr">
        <is>
          <t>24558466:eng</t>
        </is>
      </c>
      <c r="AX1205" t="inlineStr">
        <is>
          <t>22491278</t>
        </is>
      </c>
      <c r="AY1205" t="inlineStr">
        <is>
          <t>991001472279702656</t>
        </is>
      </c>
      <c r="AZ1205" t="inlineStr">
        <is>
          <t>991001472279702656</t>
        </is>
      </c>
      <c r="BA1205" t="inlineStr">
        <is>
          <t>2256711510002656</t>
        </is>
      </c>
      <c r="BB1205" t="inlineStr">
        <is>
          <t>BOOK</t>
        </is>
      </c>
      <c r="BD1205" t="inlineStr">
        <is>
          <t>9780801625817</t>
        </is>
      </c>
      <c r="BE1205" t="inlineStr">
        <is>
          <t>30001002563197</t>
        </is>
      </c>
      <c r="BF1205" t="inlineStr">
        <is>
          <t>893149246</t>
        </is>
      </c>
    </row>
    <row r="1206">
      <c r="A1206" t="inlineStr">
        <is>
          <t>No</t>
        </is>
      </c>
      <c r="B1206" t="inlineStr">
        <is>
          <t>CUHSL</t>
        </is>
      </c>
      <c r="C1206" t="inlineStr">
        <is>
          <t>SHELVES</t>
        </is>
      </c>
      <c r="D1206" t="inlineStr">
        <is>
          <t>WY 106 P246 1990</t>
        </is>
      </c>
      <c r="E1206" t="inlineStr">
        <is>
          <t>0                      WY 0106000P  246         1990</t>
        </is>
      </c>
      <c r="F1206" t="inlineStr">
        <is>
          <t>Parish nursing : the developing practice / edited by Phyllis Ann Solari-Twadell, Anne Marie Djupe, Mary Ann McDermott.</t>
        </is>
      </c>
      <c r="H1206" t="inlineStr">
        <is>
          <t>No</t>
        </is>
      </c>
      <c r="I1206" t="inlineStr">
        <is>
          <t>1</t>
        </is>
      </c>
      <c r="J1206" t="inlineStr">
        <is>
          <t>No</t>
        </is>
      </c>
      <c r="K1206" t="inlineStr">
        <is>
          <t>No</t>
        </is>
      </c>
      <c r="L1206" t="inlineStr">
        <is>
          <t>0</t>
        </is>
      </c>
      <c r="N1206" t="inlineStr">
        <is>
          <t>Park Ridge, Ill. : National Parish Nurse Resource Center, Lutheran General Health Care System, c1990.</t>
        </is>
      </c>
      <c r="O1206" t="inlineStr">
        <is>
          <t>1990</t>
        </is>
      </c>
      <c r="Q1206" t="inlineStr">
        <is>
          <t>eng</t>
        </is>
      </c>
      <c r="R1206" t="inlineStr">
        <is>
          <t>ilu</t>
        </is>
      </c>
      <c r="T1206" t="inlineStr">
        <is>
          <t xml:space="preserve">WY </t>
        </is>
      </c>
      <c r="U1206" t="n">
        <v>8</v>
      </c>
      <c r="V1206" t="n">
        <v>8</v>
      </c>
      <c r="W1206" t="inlineStr">
        <is>
          <t>2003-05-23</t>
        </is>
      </c>
      <c r="X1206" t="inlineStr">
        <is>
          <t>2003-05-23</t>
        </is>
      </c>
      <c r="Y1206" t="inlineStr">
        <is>
          <t>1992-10-23</t>
        </is>
      </c>
      <c r="Z1206" t="inlineStr">
        <is>
          <t>1992-10-23</t>
        </is>
      </c>
      <c r="AA1206" t="n">
        <v>70</v>
      </c>
      <c r="AB1206" t="n">
        <v>63</v>
      </c>
      <c r="AC1206" t="n">
        <v>64</v>
      </c>
      <c r="AD1206" t="n">
        <v>1</v>
      </c>
      <c r="AE1206" t="n">
        <v>1</v>
      </c>
      <c r="AF1206" t="n">
        <v>5</v>
      </c>
      <c r="AG1206" t="n">
        <v>5</v>
      </c>
      <c r="AH1206" t="n">
        <v>3</v>
      </c>
      <c r="AI1206" t="n">
        <v>3</v>
      </c>
      <c r="AJ1206" t="n">
        <v>1</v>
      </c>
      <c r="AK1206" t="n">
        <v>1</v>
      </c>
      <c r="AL1206" t="n">
        <v>1</v>
      </c>
      <c r="AM1206" t="n">
        <v>1</v>
      </c>
      <c r="AN1206" t="n">
        <v>0</v>
      </c>
      <c r="AO1206" t="n">
        <v>0</v>
      </c>
      <c r="AP1206" t="n">
        <v>0</v>
      </c>
      <c r="AQ1206" t="n">
        <v>0</v>
      </c>
      <c r="AR1206" t="inlineStr">
        <is>
          <t>No</t>
        </is>
      </c>
      <c r="AS1206" t="inlineStr">
        <is>
          <t>Yes</t>
        </is>
      </c>
      <c r="AT1206">
        <f>HYPERLINK("http://catalog.hathitrust.org/Record/004540738","HathiTrust Record")</f>
        <v/>
      </c>
      <c r="AU1206">
        <f>HYPERLINK("https://creighton-primo.hosted.exlibrisgroup.com/primo-explore/search?tab=default_tab&amp;search_scope=EVERYTHING&amp;vid=01CRU&amp;lang=en_US&amp;offset=0&amp;query=any,contains,991001346579702656","Catalog Record")</f>
        <v/>
      </c>
      <c r="AV1206">
        <f>HYPERLINK("http://www.worldcat.org/oclc/23142063","WorldCat Record")</f>
        <v/>
      </c>
      <c r="AW1206" t="inlineStr">
        <is>
          <t>24660830:eng</t>
        </is>
      </c>
      <c r="AX1206" t="inlineStr">
        <is>
          <t>23142063</t>
        </is>
      </c>
      <c r="AY1206" t="inlineStr">
        <is>
          <t>991001346579702656</t>
        </is>
      </c>
      <c r="AZ1206" t="inlineStr">
        <is>
          <t>991001346579702656</t>
        </is>
      </c>
      <c r="BA1206" t="inlineStr">
        <is>
          <t>2262562800002656</t>
        </is>
      </c>
      <c r="BB1206" t="inlineStr">
        <is>
          <t>BOOK</t>
        </is>
      </c>
      <c r="BD1206" t="inlineStr">
        <is>
          <t>9780962762505</t>
        </is>
      </c>
      <c r="BE1206" t="inlineStr">
        <is>
          <t>30001002457416</t>
        </is>
      </c>
      <c r="BF1206" t="inlineStr">
        <is>
          <t>893821135</t>
        </is>
      </c>
    </row>
    <row r="1207">
      <c r="A1207" t="inlineStr">
        <is>
          <t>No</t>
        </is>
      </c>
      <c r="B1207" t="inlineStr">
        <is>
          <t>CUHSL</t>
        </is>
      </c>
      <c r="C1207" t="inlineStr">
        <is>
          <t>SHELVES</t>
        </is>
      </c>
      <c r="D1207" t="inlineStr">
        <is>
          <t>WY 106 P467 1991</t>
        </is>
      </c>
      <c r="E1207" t="inlineStr">
        <is>
          <t>0                      WY 0106000P  467         1991</t>
        </is>
      </c>
      <c r="F1207" t="inlineStr">
        <is>
          <t>Perspectives in family and community health / [edited by] Karen A. Saucier.</t>
        </is>
      </c>
      <c r="H1207" t="inlineStr">
        <is>
          <t>No</t>
        </is>
      </c>
      <c r="I1207" t="inlineStr">
        <is>
          <t>1</t>
        </is>
      </c>
      <c r="J1207" t="inlineStr">
        <is>
          <t>No</t>
        </is>
      </c>
      <c r="K1207" t="inlineStr">
        <is>
          <t>No</t>
        </is>
      </c>
      <c r="L1207" t="inlineStr">
        <is>
          <t>0</t>
        </is>
      </c>
      <c r="N1207" t="inlineStr">
        <is>
          <t>Saint Louis : Mosby, c1991.</t>
        </is>
      </c>
      <c r="O1207" t="inlineStr">
        <is>
          <t>1991</t>
        </is>
      </c>
      <c r="Q1207" t="inlineStr">
        <is>
          <t>eng</t>
        </is>
      </c>
      <c r="R1207" t="inlineStr">
        <is>
          <t>mou</t>
        </is>
      </c>
      <c r="T1207" t="inlineStr">
        <is>
          <t xml:space="preserve">WY </t>
        </is>
      </c>
      <c r="U1207" t="n">
        <v>9</v>
      </c>
      <c r="V1207" t="n">
        <v>9</v>
      </c>
      <c r="W1207" t="inlineStr">
        <is>
          <t>2001-10-01</t>
        </is>
      </c>
      <c r="X1207" t="inlineStr">
        <is>
          <t>2001-10-01</t>
        </is>
      </c>
      <c r="Y1207" t="inlineStr">
        <is>
          <t>1991-04-23</t>
        </is>
      </c>
      <c r="Z1207" t="inlineStr">
        <is>
          <t>1991-04-23</t>
        </is>
      </c>
      <c r="AA1207" t="n">
        <v>201</v>
      </c>
      <c r="AB1207" t="n">
        <v>142</v>
      </c>
      <c r="AC1207" t="n">
        <v>144</v>
      </c>
      <c r="AD1207" t="n">
        <v>1</v>
      </c>
      <c r="AE1207" t="n">
        <v>1</v>
      </c>
      <c r="AF1207" t="n">
        <v>5</v>
      </c>
      <c r="AG1207" t="n">
        <v>5</v>
      </c>
      <c r="AH1207" t="n">
        <v>3</v>
      </c>
      <c r="AI1207" t="n">
        <v>3</v>
      </c>
      <c r="AJ1207" t="n">
        <v>2</v>
      </c>
      <c r="AK1207" t="n">
        <v>2</v>
      </c>
      <c r="AL1207" t="n">
        <v>3</v>
      </c>
      <c r="AM1207" t="n">
        <v>3</v>
      </c>
      <c r="AN1207" t="n">
        <v>0</v>
      </c>
      <c r="AO1207" t="n">
        <v>0</v>
      </c>
      <c r="AP1207" t="n">
        <v>0</v>
      </c>
      <c r="AQ1207" t="n">
        <v>0</v>
      </c>
      <c r="AR1207" t="inlineStr">
        <is>
          <t>No</t>
        </is>
      </c>
      <c r="AS1207" t="inlineStr">
        <is>
          <t>Yes</t>
        </is>
      </c>
      <c r="AT1207">
        <f>HYPERLINK("http://catalog.hathitrust.org/Record/002533543","HathiTrust Record")</f>
        <v/>
      </c>
      <c r="AU1207">
        <f>HYPERLINK("https://creighton-primo.hosted.exlibrisgroup.com/primo-explore/search?tab=default_tab&amp;search_scope=EVERYTHING&amp;vid=01CRU&amp;lang=en_US&amp;offset=0&amp;query=any,contains,991000828019702656","Catalog Record")</f>
        <v/>
      </c>
      <c r="AV1207">
        <f>HYPERLINK("http://www.worldcat.org/oclc/29594433","WorldCat Record")</f>
        <v/>
      </c>
      <c r="AW1207" t="inlineStr">
        <is>
          <t>24565563:eng</t>
        </is>
      </c>
      <c r="AX1207" t="inlineStr">
        <is>
          <t>29594433</t>
        </is>
      </c>
      <c r="AY1207" t="inlineStr">
        <is>
          <t>991000828019702656</t>
        </is>
      </c>
      <c r="AZ1207" t="inlineStr">
        <is>
          <t>991000828019702656</t>
        </is>
      </c>
      <c r="BA1207" t="inlineStr">
        <is>
          <t>2270694840002656</t>
        </is>
      </c>
      <c r="BB1207" t="inlineStr">
        <is>
          <t>BOOK</t>
        </is>
      </c>
      <c r="BD1207" t="inlineStr">
        <is>
          <t>9780801643385</t>
        </is>
      </c>
      <c r="BE1207" t="inlineStr">
        <is>
          <t>30001002089839</t>
        </is>
      </c>
      <c r="BF1207" t="inlineStr">
        <is>
          <t>893632248</t>
        </is>
      </c>
    </row>
    <row r="1208">
      <c r="A1208" t="inlineStr">
        <is>
          <t>No</t>
        </is>
      </c>
      <c r="B1208" t="inlineStr">
        <is>
          <t>CUHSL</t>
        </is>
      </c>
      <c r="C1208" t="inlineStr">
        <is>
          <t>SHELVES</t>
        </is>
      </c>
      <c r="D1208" t="inlineStr">
        <is>
          <t>WY 106 P976 1978</t>
        </is>
      </c>
      <c r="E1208" t="inlineStr">
        <is>
          <t>0                      WY 0106000P  976         1978</t>
        </is>
      </c>
      <c r="F1208" t="inlineStr">
        <is>
          <t>Publicity for your community health agency / Division of Home Health Agencies and Community Health Services.</t>
        </is>
      </c>
      <c r="H1208" t="inlineStr">
        <is>
          <t>No</t>
        </is>
      </c>
      <c r="I1208" t="inlineStr">
        <is>
          <t>1</t>
        </is>
      </c>
      <c r="J1208" t="inlineStr">
        <is>
          <t>No</t>
        </is>
      </c>
      <c r="K1208" t="inlineStr">
        <is>
          <t>No</t>
        </is>
      </c>
      <c r="L1208" t="inlineStr">
        <is>
          <t>0</t>
        </is>
      </c>
      <c r="N1208" t="inlineStr">
        <is>
          <t>New York : National League for Nursing, c1978.</t>
        </is>
      </c>
      <c r="O1208" t="inlineStr">
        <is>
          <t>1978</t>
        </is>
      </c>
      <c r="P1208" t="inlineStr">
        <is>
          <t>Rev. ed.</t>
        </is>
      </c>
      <c r="Q1208" t="inlineStr">
        <is>
          <t>eng</t>
        </is>
      </c>
      <c r="R1208" t="inlineStr">
        <is>
          <t>nyu</t>
        </is>
      </c>
      <c r="S1208" t="inlineStr">
        <is>
          <t>NLN pub. no. 21-1748</t>
        </is>
      </c>
      <c r="T1208" t="inlineStr">
        <is>
          <t xml:space="preserve">WY </t>
        </is>
      </c>
      <c r="U1208" t="n">
        <v>1</v>
      </c>
      <c r="V1208" t="n">
        <v>1</v>
      </c>
      <c r="W1208" t="inlineStr">
        <is>
          <t>1990-08-13</t>
        </is>
      </c>
      <c r="X1208" t="inlineStr">
        <is>
          <t>1990-08-13</t>
        </is>
      </c>
      <c r="Y1208" t="inlineStr">
        <is>
          <t>1987-11-04</t>
        </is>
      </c>
      <c r="Z1208" t="inlineStr">
        <is>
          <t>1987-11-04</t>
        </is>
      </c>
      <c r="AA1208" t="n">
        <v>80</v>
      </c>
      <c r="AB1208" t="n">
        <v>71</v>
      </c>
      <c r="AC1208" t="n">
        <v>71</v>
      </c>
      <c r="AD1208" t="n">
        <v>2</v>
      </c>
      <c r="AE1208" t="n">
        <v>2</v>
      </c>
      <c r="AF1208" t="n">
        <v>3</v>
      </c>
      <c r="AG1208" t="n">
        <v>3</v>
      </c>
      <c r="AH1208" t="n">
        <v>1</v>
      </c>
      <c r="AI1208" t="n">
        <v>1</v>
      </c>
      <c r="AJ1208" t="n">
        <v>0</v>
      </c>
      <c r="AK1208" t="n">
        <v>0</v>
      </c>
      <c r="AL1208" t="n">
        <v>2</v>
      </c>
      <c r="AM1208" t="n">
        <v>2</v>
      </c>
      <c r="AN1208" t="n">
        <v>0</v>
      </c>
      <c r="AO1208" t="n">
        <v>0</v>
      </c>
      <c r="AP1208" t="n">
        <v>0</v>
      </c>
      <c r="AQ1208" t="n">
        <v>0</v>
      </c>
      <c r="AR1208" t="inlineStr">
        <is>
          <t>No</t>
        </is>
      </c>
      <c r="AS1208" t="inlineStr">
        <is>
          <t>No</t>
        </is>
      </c>
      <c r="AU1208">
        <f>HYPERLINK("https://creighton-primo.hosted.exlibrisgroup.com/primo-explore/search?tab=default_tab&amp;search_scope=EVERYTHING&amp;vid=01CRU&amp;lang=en_US&amp;offset=0&amp;query=any,contains,991001387049702656","Catalog Record")</f>
        <v/>
      </c>
      <c r="AV1208">
        <f>HYPERLINK("http://www.worldcat.org/oclc/4369032","WorldCat Record")</f>
        <v/>
      </c>
      <c r="AW1208" t="inlineStr">
        <is>
          <t>3858033187:eng</t>
        </is>
      </c>
      <c r="AX1208" t="inlineStr">
        <is>
          <t>4369032</t>
        </is>
      </c>
      <c r="AY1208" t="inlineStr">
        <is>
          <t>991001387049702656</t>
        </is>
      </c>
      <c r="AZ1208" t="inlineStr">
        <is>
          <t>991001387049702656</t>
        </is>
      </c>
      <c r="BA1208" t="inlineStr">
        <is>
          <t>2266817580002656</t>
        </is>
      </c>
      <c r="BB1208" t="inlineStr">
        <is>
          <t>BOOK</t>
        </is>
      </c>
      <c r="BE1208" t="inlineStr">
        <is>
          <t>30001000463960</t>
        </is>
      </c>
      <c r="BF1208" t="inlineStr">
        <is>
          <t>893374494</t>
        </is>
      </c>
    </row>
    <row r="1209">
      <c r="A1209" t="inlineStr">
        <is>
          <t>No</t>
        </is>
      </c>
      <c r="B1209" t="inlineStr">
        <is>
          <t>CUHSL</t>
        </is>
      </c>
      <c r="C1209" t="inlineStr">
        <is>
          <t>SHELVES</t>
        </is>
      </c>
      <c r="D1209" t="inlineStr">
        <is>
          <t>WY 106 R582b 1988</t>
        </is>
      </c>
      <c r="E1209" t="inlineStr">
        <is>
          <t>0                      WY 0106000R  582b        1988</t>
        </is>
      </c>
      <c r="F1209" t="inlineStr">
        <is>
          <t>Basic community and home care nursing / Mary K. Ringsven, Barbara M. Jorenby.</t>
        </is>
      </c>
      <c r="H1209" t="inlineStr">
        <is>
          <t>No</t>
        </is>
      </c>
      <c r="I1209" t="inlineStr">
        <is>
          <t>1</t>
        </is>
      </c>
      <c r="J1209" t="inlineStr">
        <is>
          <t>No</t>
        </is>
      </c>
      <c r="K1209" t="inlineStr">
        <is>
          <t>No</t>
        </is>
      </c>
      <c r="L1209" t="inlineStr">
        <is>
          <t>0</t>
        </is>
      </c>
      <c r="M1209" t="inlineStr">
        <is>
          <t>Ringsven, Mary K., 1940-</t>
        </is>
      </c>
      <c r="N1209" t="inlineStr">
        <is>
          <t>Albany, N.Y. : Delmar Publishers, c1988.</t>
        </is>
      </c>
      <c r="O1209" t="inlineStr">
        <is>
          <t>1988</t>
        </is>
      </c>
      <c r="Q1209" t="inlineStr">
        <is>
          <t>eng</t>
        </is>
      </c>
      <c r="R1209" t="inlineStr">
        <is>
          <t>xxu</t>
        </is>
      </c>
      <c r="T1209" t="inlineStr">
        <is>
          <t xml:space="preserve">WY </t>
        </is>
      </c>
      <c r="U1209" t="n">
        <v>1</v>
      </c>
      <c r="V1209" t="n">
        <v>1</v>
      </c>
      <c r="W1209" t="inlineStr">
        <is>
          <t>1990-10-03</t>
        </is>
      </c>
      <c r="X1209" t="inlineStr">
        <is>
          <t>1990-10-03</t>
        </is>
      </c>
      <c r="Y1209" t="inlineStr">
        <is>
          <t>1990-10-03</t>
        </is>
      </c>
      <c r="Z1209" t="inlineStr">
        <is>
          <t>1990-10-03</t>
        </is>
      </c>
      <c r="AA1209" t="n">
        <v>107</v>
      </c>
      <c r="AB1209" t="n">
        <v>80</v>
      </c>
      <c r="AC1209" t="n">
        <v>87</v>
      </c>
      <c r="AD1209" t="n">
        <v>1</v>
      </c>
      <c r="AE1209" t="n">
        <v>1</v>
      </c>
      <c r="AF1209" t="n">
        <v>0</v>
      </c>
      <c r="AG1209" t="n">
        <v>0</v>
      </c>
      <c r="AH1209" t="n">
        <v>0</v>
      </c>
      <c r="AI1209" t="n">
        <v>0</v>
      </c>
      <c r="AJ1209" t="n">
        <v>0</v>
      </c>
      <c r="AK1209" t="n">
        <v>0</v>
      </c>
      <c r="AL1209" t="n">
        <v>0</v>
      </c>
      <c r="AM1209" t="n">
        <v>0</v>
      </c>
      <c r="AN1209" t="n">
        <v>0</v>
      </c>
      <c r="AO1209" t="n">
        <v>0</v>
      </c>
      <c r="AP1209" t="n">
        <v>0</v>
      </c>
      <c r="AQ1209" t="n">
        <v>0</v>
      </c>
      <c r="AR1209" t="inlineStr">
        <is>
          <t>No</t>
        </is>
      </c>
      <c r="AS1209" t="inlineStr">
        <is>
          <t>Yes</t>
        </is>
      </c>
      <c r="AT1209">
        <f>HYPERLINK("http://catalog.hathitrust.org/Record/004406894","HathiTrust Record")</f>
        <v/>
      </c>
      <c r="AU1209">
        <f>HYPERLINK("https://creighton-primo.hosted.exlibrisgroup.com/primo-explore/search?tab=default_tab&amp;search_scope=EVERYTHING&amp;vid=01CRU&amp;lang=en_US&amp;offset=0&amp;query=any,contains,991000766829702656","Catalog Record")</f>
        <v/>
      </c>
      <c r="AV1209">
        <f>HYPERLINK("http://www.worldcat.org/oclc/15550092","WorldCat Record")</f>
        <v/>
      </c>
      <c r="AW1209" t="inlineStr">
        <is>
          <t>9750220:eng</t>
        </is>
      </c>
      <c r="AX1209" t="inlineStr">
        <is>
          <t>15550092</t>
        </is>
      </c>
      <c r="AY1209" t="inlineStr">
        <is>
          <t>991000766829702656</t>
        </is>
      </c>
      <c r="AZ1209" t="inlineStr">
        <is>
          <t>991000766829702656</t>
        </is>
      </c>
      <c r="BA1209" t="inlineStr">
        <is>
          <t>2268866080002656</t>
        </is>
      </c>
      <c r="BB1209" t="inlineStr">
        <is>
          <t>BOOK</t>
        </is>
      </c>
      <c r="BD1209" t="inlineStr">
        <is>
          <t>9780827329690</t>
        </is>
      </c>
      <c r="BE1209" t="inlineStr">
        <is>
          <t>30001002061127</t>
        </is>
      </c>
      <c r="BF1209" t="inlineStr">
        <is>
          <t>893740172</t>
        </is>
      </c>
    </row>
    <row r="1210">
      <c r="A1210" t="inlineStr">
        <is>
          <t>No</t>
        </is>
      </c>
      <c r="B1210" t="inlineStr">
        <is>
          <t>CUHSL</t>
        </is>
      </c>
      <c r="C1210" t="inlineStr">
        <is>
          <t>SHELVES</t>
        </is>
      </c>
      <c r="D1210" t="inlineStr">
        <is>
          <t>WY 106 S766c 1990</t>
        </is>
      </c>
      <c r="E1210" t="inlineStr">
        <is>
          <t>0                      WY 0106000S  766c        1990</t>
        </is>
      </c>
      <c r="F1210" t="inlineStr">
        <is>
          <t>Community health nursing : concepts and practice / Barbara Walton Spradley.</t>
        </is>
      </c>
      <c r="H1210" t="inlineStr">
        <is>
          <t>No</t>
        </is>
      </c>
      <c r="I1210" t="inlineStr">
        <is>
          <t>1</t>
        </is>
      </c>
      <c r="J1210" t="inlineStr">
        <is>
          <t>No</t>
        </is>
      </c>
      <c r="K1210" t="inlineStr">
        <is>
          <t>No</t>
        </is>
      </c>
      <c r="L1210" t="inlineStr">
        <is>
          <t>0</t>
        </is>
      </c>
      <c r="M1210" t="inlineStr">
        <is>
          <t>Spradley, Barbara Walton.</t>
        </is>
      </c>
      <c r="N1210" t="inlineStr">
        <is>
          <t>Glenview, Ill. : Scott, Foresman/Little, Brown Higher Education, c1990.</t>
        </is>
      </c>
      <c r="O1210" t="inlineStr">
        <is>
          <t>1990</t>
        </is>
      </c>
      <c r="P1210" t="inlineStr">
        <is>
          <t>3rd ed.</t>
        </is>
      </c>
      <c r="Q1210" t="inlineStr">
        <is>
          <t>eng</t>
        </is>
      </c>
      <c r="R1210" t="inlineStr">
        <is>
          <t>xxu</t>
        </is>
      </c>
      <c r="T1210" t="inlineStr">
        <is>
          <t xml:space="preserve">WY </t>
        </is>
      </c>
      <c r="U1210" t="n">
        <v>17</v>
      </c>
      <c r="V1210" t="n">
        <v>17</v>
      </c>
      <c r="W1210" t="inlineStr">
        <is>
          <t>1997-01-14</t>
        </is>
      </c>
      <c r="X1210" t="inlineStr">
        <is>
          <t>1997-01-14</t>
        </is>
      </c>
      <c r="Y1210" t="inlineStr">
        <is>
          <t>1990-06-29</t>
        </is>
      </c>
      <c r="Z1210" t="inlineStr">
        <is>
          <t>1990-06-29</t>
        </is>
      </c>
      <c r="AA1210" t="n">
        <v>285</v>
      </c>
      <c r="AB1210" t="n">
        <v>220</v>
      </c>
      <c r="AC1210" t="n">
        <v>586</v>
      </c>
      <c r="AD1210" t="n">
        <v>2</v>
      </c>
      <c r="AE1210" t="n">
        <v>3</v>
      </c>
      <c r="AF1210" t="n">
        <v>4</v>
      </c>
      <c r="AG1210" t="n">
        <v>18</v>
      </c>
      <c r="AH1210" t="n">
        <v>3</v>
      </c>
      <c r="AI1210" t="n">
        <v>10</v>
      </c>
      <c r="AJ1210" t="n">
        <v>0</v>
      </c>
      <c r="AK1210" t="n">
        <v>2</v>
      </c>
      <c r="AL1210" t="n">
        <v>1</v>
      </c>
      <c r="AM1210" t="n">
        <v>8</v>
      </c>
      <c r="AN1210" t="n">
        <v>0</v>
      </c>
      <c r="AO1210" t="n">
        <v>1</v>
      </c>
      <c r="AP1210" t="n">
        <v>0</v>
      </c>
      <c r="AQ1210" t="n">
        <v>0</v>
      </c>
      <c r="AR1210" t="inlineStr">
        <is>
          <t>No</t>
        </is>
      </c>
      <c r="AS1210" t="inlineStr">
        <is>
          <t>Yes</t>
        </is>
      </c>
      <c r="AT1210">
        <f>HYPERLINK("http://catalog.hathitrust.org/Record/002168714","HathiTrust Record")</f>
        <v/>
      </c>
      <c r="AU1210">
        <f>HYPERLINK("https://creighton-primo.hosted.exlibrisgroup.com/primo-explore/search?tab=default_tab&amp;search_scope=EVERYTHING&amp;vid=01CRU&amp;lang=en_US&amp;offset=0&amp;query=any,contains,991001450599702656","Catalog Record")</f>
        <v/>
      </c>
      <c r="AV1210">
        <f>HYPERLINK("http://www.worldcat.org/oclc/20560221","WorldCat Record")</f>
        <v/>
      </c>
      <c r="AW1210" t="inlineStr">
        <is>
          <t>4223906:eng</t>
        </is>
      </c>
      <c r="AX1210" t="inlineStr">
        <is>
          <t>20560221</t>
        </is>
      </c>
      <c r="AY1210" t="inlineStr">
        <is>
          <t>991001450599702656</t>
        </is>
      </c>
      <c r="AZ1210" t="inlineStr">
        <is>
          <t>991001450599702656</t>
        </is>
      </c>
      <c r="BA1210" t="inlineStr">
        <is>
          <t>2267712700002656</t>
        </is>
      </c>
      <c r="BB1210" t="inlineStr">
        <is>
          <t>BOOK</t>
        </is>
      </c>
      <c r="BD1210" t="inlineStr">
        <is>
          <t>9780673398055</t>
        </is>
      </c>
      <c r="BE1210" t="inlineStr">
        <is>
          <t>30001001882804</t>
        </is>
      </c>
      <c r="BF1210" t="inlineStr">
        <is>
          <t>893134583</t>
        </is>
      </c>
    </row>
    <row r="1211">
      <c r="A1211" t="inlineStr">
        <is>
          <t>No</t>
        </is>
      </c>
      <c r="B1211" t="inlineStr">
        <is>
          <t>CUHSL</t>
        </is>
      </c>
      <c r="C1211" t="inlineStr">
        <is>
          <t>SHELVES</t>
        </is>
      </c>
      <c r="D1211" t="inlineStr">
        <is>
          <t>WY 106 S972c 1993</t>
        </is>
      </c>
      <c r="E1211" t="inlineStr">
        <is>
          <t>0                      WY 0106000S  972c        1993</t>
        </is>
      </c>
      <c r="F1211" t="inlineStr">
        <is>
          <t>Community health nursing : promoting the health of aggregates / Janice M. Swanson, Mary Albrecht.</t>
        </is>
      </c>
      <c r="H1211" t="inlineStr">
        <is>
          <t>No</t>
        </is>
      </c>
      <c r="I1211" t="inlineStr">
        <is>
          <t>1</t>
        </is>
      </c>
      <c r="J1211" t="inlineStr">
        <is>
          <t>No</t>
        </is>
      </c>
      <c r="K1211" t="inlineStr">
        <is>
          <t>Yes</t>
        </is>
      </c>
      <c r="L1211" t="inlineStr">
        <is>
          <t>0</t>
        </is>
      </c>
      <c r="M1211" t="inlineStr">
        <is>
          <t>Swanson, Janice M.</t>
        </is>
      </c>
      <c r="N1211" t="inlineStr">
        <is>
          <t>Philadelphia : Saunders, c1993.</t>
        </is>
      </c>
      <c r="O1211" t="inlineStr">
        <is>
          <t>1993</t>
        </is>
      </c>
      <c r="Q1211" t="inlineStr">
        <is>
          <t>eng</t>
        </is>
      </c>
      <c r="R1211" t="inlineStr">
        <is>
          <t>pau</t>
        </is>
      </c>
      <c r="T1211" t="inlineStr">
        <is>
          <t xml:space="preserve">WY </t>
        </is>
      </c>
      <c r="U1211" t="n">
        <v>2</v>
      </c>
      <c r="V1211" t="n">
        <v>2</v>
      </c>
      <c r="W1211" t="inlineStr">
        <is>
          <t>2002-11-26</t>
        </is>
      </c>
      <c r="X1211" t="inlineStr">
        <is>
          <t>2002-11-26</t>
        </is>
      </c>
      <c r="Y1211" t="inlineStr">
        <is>
          <t>1996-01-12</t>
        </is>
      </c>
      <c r="Z1211" t="inlineStr">
        <is>
          <t>1996-01-12</t>
        </is>
      </c>
      <c r="AA1211" t="n">
        <v>277</v>
      </c>
      <c r="AB1211" t="n">
        <v>209</v>
      </c>
      <c r="AC1211" t="n">
        <v>346</v>
      </c>
      <c r="AD1211" t="n">
        <v>1</v>
      </c>
      <c r="AE1211" t="n">
        <v>3</v>
      </c>
      <c r="AF1211" t="n">
        <v>6</v>
      </c>
      <c r="AG1211" t="n">
        <v>12</v>
      </c>
      <c r="AH1211" t="n">
        <v>3</v>
      </c>
      <c r="AI1211" t="n">
        <v>7</v>
      </c>
      <c r="AJ1211" t="n">
        <v>1</v>
      </c>
      <c r="AK1211" t="n">
        <v>1</v>
      </c>
      <c r="AL1211" t="n">
        <v>4</v>
      </c>
      <c r="AM1211" t="n">
        <v>7</v>
      </c>
      <c r="AN1211" t="n">
        <v>0</v>
      </c>
      <c r="AO1211" t="n">
        <v>1</v>
      </c>
      <c r="AP1211" t="n">
        <v>0</v>
      </c>
      <c r="AQ1211" t="n">
        <v>0</v>
      </c>
      <c r="AR1211" t="inlineStr">
        <is>
          <t>No</t>
        </is>
      </c>
      <c r="AS1211" t="inlineStr">
        <is>
          <t>Yes</t>
        </is>
      </c>
      <c r="AT1211">
        <f>HYPERLINK("http://catalog.hathitrust.org/Record/002618194","HathiTrust Record")</f>
        <v/>
      </c>
      <c r="AU1211">
        <f>HYPERLINK("https://creighton-primo.hosted.exlibrisgroup.com/primo-explore/search?tab=default_tab&amp;search_scope=EVERYTHING&amp;vid=01CRU&amp;lang=en_US&amp;offset=0&amp;query=any,contains,991001501149702656","Catalog Record")</f>
        <v/>
      </c>
      <c r="AV1211">
        <f>HYPERLINK("http://www.worldcat.org/oclc/27035765","WorldCat Record")</f>
        <v/>
      </c>
      <c r="AW1211" t="inlineStr">
        <is>
          <t>3857434556:eng</t>
        </is>
      </c>
      <c r="AX1211" t="inlineStr">
        <is>
          <t>27035765</t>
        </is>
      </c>
      <c r="AY1211" t="inlineStr">
        <is>
          <t>991001501149702656</t>
        </is>
      </c>
      <c r="AZ1211" t="inlineStr">
        <is>
          <t>991001501149702656</t>
        </is>
      </c>
      <c r="BA1211" t="inlineStr">
        <is>
          <t>2270323590002656</t>
        </is>
      </c>
      <c r="BB1211" t="inlineStr">
        <is>
          <t>BOOK</t>
        </is>
      </c>
      <c r="BD1211" t="inlineStr">
        <is>
          <t>9780721613123</t>
        </is>
      </c>
      <c r="BE1211" t="inlineStr">
        <is>
          <t>30001003262617</t>
        </is>
      </c>
      <c r="BF1211" t="inlineStr">
        <is>
          <t>893816472</t>
        </is>
      </c>
    </row>
    <row r="1212">
      <c r="A1212" t="inlineStr">
        <is>
          <t>No</t>
        </is>
      </c>
      <c r="B1212" t="inlineStr">
        <is>
          <t>CUHSL</t>
        </is>
      </c>
      <c r="C1212" t="inlineStr">
        <is>
          <t>SHELVES</t>
        </is>
      </c>
      <c r="D1212" t="inlineStr">
        <is>
          <t>WY 106 S972c 1997</t>
        </is>
      </c>
      <c r="E1212" t="inlineStr">
        <is>
          <t>0                      WY 0106000S  972c        1997</t>
        </is>
      </c>
      <c r="F1212" t="inlineStr">
        <is>
          <t>Community health nursing : promoting the health of aggregates / [edited by] Janice M. Swanson, Mary A. Nies.</t>
        </is>
      </c>
      <c r="H1212" t="inlineStr">
        <is>
          <t>No</t>
        </is>
      </c>
      <c r="I1212" t="inlineStr">
        <is>
          <t>1</t>
        </is>
      </c>
      <c r="J1212" t="inlineStr">
        <is>
          <t>No</t>
        </is>
      </c>
      <c r="K1212" t="inlineStr">
        <is>
          <t>Yes</t>
        </is>
      </c>
      <c r="L1212" t="inlineStr">
        <is>
          <t>0</t>
        </is>
      </c>
      <c r="N1212" t="inlineStr">
        <is>
          <t>Philadelphia : Saunders, c1997.</t>
        </is>
      </c>
      <c r="O1212" t="inlineStr">
        <is>
          <t>1997</t>
        </is>
      </c>
      <c r="P1212" t="inlineStr">
        <is>
          <t>2nd ed.</t>
        </is>
      </c>
      <c r="Q1212" t="inlineStr">
        <is>
          <t>eng</t>
        </is>
      </c>
      <c r="R1212" t="inlineStr">
        <is>
          <t>pau</t>
        </is>
      </c>
      <c r="T1212" t="inlineStr">
        <is>
          <t xml:space="preserve">WY </t>
        </is>
      </c>
      <c r="U1212" t="n">
        <v>7</v>
      </c>
      <c r="V1212" t="n">
        <v>7</v>
      </c>
      <c r="W1212" t="inlineStr">
        <is>
          <t>2002-07-19</t>
        </is>
      </c>
      <c r="X1212" t="inlineStr">
        <is>
          <t>2002-07-19</t>
        </is>
      </c>
      <c r="Y1212" t="inlineStr">
        <is>
          <t>1997-11-11</t>
        </is>
      </c>
      <c r="Z1212" t="inlineStr">
        <is>
          <t>1997-11-11</t>
        </is>
      </c>
      <c r="AA1212" t="n">
        <v>284</v>
      </c>
      <c r="AB1212" t="n">
        <v>220</v>
      </c>
      <c r="AC1212" t="n">
        <v>346</v>
      </c>
      <c r="AD1212" t="n">
        <v>3</v>
      </c>
      <c r="AE1212" t="n">
        <v>3</v>
      </c>
      <c r="AF1212" t="n">
        <v>9</v>
      </c>
      <c r="AG1212" t="n">
        <v>12</v>
      </c>
      <c r="AH1212" t="n">
        <v>6</v>
      </c>
      <c r="AI1212" t="n">
        <v>7</v>
      </c>
      <c r="AJ1212" t="n">
        <v>0</v>
      </c>
      <c r="AK1212" t="n">
        <v>1</v>
      </c>
      <c r="AL1212" t="n">
        <v>4</v>
      </c>
      <c r="AM1212" t="n">
        <v>7</v>
      </c>
      <c r="AN1212" t="n">
        <v>1</v>
      </c>
      <c r="AO1212" t="n">
        <v>1</v>
      </c>
      <c r="AP1212" t="n">
        <v>0</v>
      </c>
      <c r="AQ1212" t="n">
        <v>0</v>
      </c>
      <c r="AR1212" t="inlineStr">
        <is>
          <t>No</t>
        </is>
      </c>
      <c r="AS1212" t="inlineStr">
        <is>
          <t>Yes</t>
        </is>
      </c>
      <c r="AT1212">
        <f>HYPERLINK("http://catalog.hathitrust.org/Record/003176028","HathiTrust Record")</f>
        <v/>
      </c>
      <c r="AU1212">
        <f>HYPERLINK("https://creighton-primo.hosted.exlibrisgroup.com/primo-explore/search?tab=default_tab&amp;search_scope=EVERYTHING&amp;vid=01CRU&amp;lang=en_US&amp;offset=0&amp;query=any,contains,991001792469702656","Catalog Record")</f>
        <v/>
      </c>
      <c r="AV1212">
        <f>HYPERLINK("http://www.worldcat.org/oclc/35209380","WorldCat Record")</f>
        <v/>
      </c>
      <c r="AW1212" t="inlineStr">
        <is>
          <t>3857434556:eng</t>
        </is>
      </c>
      <c r="AX1212" t="inlineStr">
        <is>
          <t>35209380</t>
        </is>
      </c>
      <c r="AY1212" t="inlineStr">
        <is>
          <t>991001792469702656</t>
        </is>
      </c>
      <c r="AZ1212" t="inlineStr">
        <is>
          <t>991001792469702656</t>
        </is>
      </c>
      <c r="BA1212" t="inlineStr">
        <is>
          <t>2270783490002656</t>
        </is>
      </c>
      <c r="BB1212" t="inlineStr">
        <is>
          <t>BOOK</t>
        </is>
      </c>
      <c r="BD1212" t="inlineStr">
        <is>
          <t>9780721661674</t>
        </is>
      </c>
      <c r="BE1212" t="inlineStr">
        <is>
          <t>30001003691823</t>
        </is>
      </c>
      <c r="BF1212" t="inlineStr">
        <is>
          <t>893461157</t>
        </is>
      </c>
    </row>
    <row r="1213">
      <c r="A1213" t="inlineStr">
        <is>
          <t>No</t>
        </is>
      </c>
      <c r="B1213" t="inlineStr">
        <is>
          <t>CUHSL</t>
        </is>
      </c>
      <c r="C1213" t="inlineStr">
        <is>
          <t>SHELVES</t>
        </is>
      </c>
      <c r="D1213" t="inlineStr">
        <is>
          <t>WY 106 T948c 1988</t>
        </is>
      </c>
      <c r="E1213" t="inlineStr">
        <is>
          <t>0                      WY 0106000T  948c        1988</t>
        </is>
      </c>
      <c r="F1213" t="inlineStr">
        <is>
          <t>Community health nursing : an epidemiologic perspective through the nursing process / Joan G. Turner, Katherine H. Chavigny ; drawings by Stephen Kass.</t>
        </is>
      </c>
      <c r="H1213" t="inlineStr">
        <is>
          <t>No</t>
        </is>
      </c>
      <c r="I1213" t="inlineStr">
        <is>
          <t>1</t>
        </is>
      </c>
      <c r="J1213" t="inlineStr">
        <is>
          <t>No</t>
        </is>
      </c>
      <c r="K1213" t="inlineStr">
        <is>
          <t>No</t>
        </is>
      </c>
      <c r="L1213" t="inlineStr">
        <is>
          <t>0</t>
        </is>
      </c>
      <c r="M1213" t="inlineStr">
        <is>
          <t>Turner, Joan G.</t>
        </is>
      </c>
      <c r="N1213" t="inlineStr">
        <is>
          <t>Philadelphia : Lippincott, c1988.</t>
        </is>
      </c>
      <c r="O1213" t="inlineStr">
        <is>
          <t>1988</t>
        </is>
      </c>
      <c r="Q1213" t="inlineStr">
        <is>
          <t>eng</t>
        </is>
      </c>
      <c r="R1213" t="inlineStr">
        <is>
          <t>xxu</t>
        </is>
      </c>
      <c r="T1213" t="inlineStr">
        <is>
          <t xml:space="preserve">WY </t>
        </is>
      </c>
      <c r="U1213" t="n">
        <v>14</v>
      </c>
      <c r="V1213" t="n">
        <v>14</v>
      </c>
      <c r="W1213" t="inlineStr">
        <is>
          <t>1991-08-21</t>
        </is>
      </c>
      <c r="X1213" t="inlineStr">
        <is>
          <t>1991-08-21</t>
        </is>
      </c>
      <c r="Y1213" t="inlineStr">
        <is>
          <t>1988-07-06</t>
        </is>
      </c>
      <c r="Z1213" t="inlineStr">
        <is>
          <t>1988-07-06</t>
        </is>
      </c>
      <c r="AA1213" t="n">
        <v>263</v>
      </c>
      <c r="AB1213" t="n">
        <v>194</v>
      </c>
      <c r="AC1213" t="n">
        <v>196</v>
      </c>
      <c r="AD1213" t="n">
        <v>2</v>
      </c>
      <c r="AE1213" t="n">
        <v>2</v>
      </c>
      <c r="AF1213" t="n">
        <v>7</v>
      </c>
      <c r="AG1213" t="n">
        <v>7</v>
      </c>
      <c r="AH1213" t="n">
        <v>3</v>
      </c>
      <c r="AI1213" t="n">
        <v>3</v>
      </c>
      <c r="AJ1213" t="n">
        <v>1</v>
      </c>
      <c r="AK1213" t="n">
        <v>1</v>
      </c>
      <c r="AL1213" t="n">
        <v>5</v>
      </c>
      <c r="AM1213" t="n">
        <v>5</v>
      </c>
      <c r="AN1213" t="n">
        <v>0</v>
      </c>
      <c r="AO1213" t="n">
        <v>0</v>
      </c>
      <c r="AP1213" t="n">
        <v>0</v>
      </c>
      <c r="AQ1213" t="n">
        <v>0</v>
      </c>
      <c r="AR1213" t="inlineStr">
        <is>
          <t>No</t>
        </is>
      </c>
      <c r="AS1213" t="inlineStr">
        <is>
          <t>Yes</t>
        </is>
      </c>
      <c r="AT1213">
        <f>HYPERLINK("http://catalog.hathitrust.org/Record/000874483","HathiTrust Record")</f>
        <v/>
      </c>
      <c r="AU1213">
        <f>HYPERLINK("https://creighton-primo.hosted.exlibrisgroup.com/primo-explore/search?tab=default_tab&amp;search_scope=EVERYTHING&amp;vid=01CRU&amp;lang=en_US&amp;offset=0&amp;query=any,contains,991001416789702656","Catalog Record")</f>
        <v/>
      </c>
      <c r="AV1213">
        <f>HYPERLINK("http://www.worldcat.org/oclc/16471067","WorldCat Record")</f>
        <v/>
      </c>
      <c r="AW1213" t="inlineStr">
        <is>
          <t>233930974:eng</t>
        </is>
      </c>
      <c r="AX1213" t="inlineStr">
        <is>
          <t>16471067</t>
        </is>
      </c>
      <c r="AY1213" t="inlineStr">
        <is>
          <t>991001416789702656</t>
        </is>
      </c>
      <c r="AZ1213" t="inlineStr">
        <is>
          <t>991001416789702656</t>
        </is>
      </c>
      <c r="BA1213" t="inlineStr">
        <is>
          <t>2262443320002656</t>
        </is>
      </c>
      <c r="BB1213" t="inlineStr">
        <is>
          <t>BOOK</t>
        </is>
      </c>
      <c r="BD1213" t="inlineStr">
        <is>
          <t>9780397546589</t>
        </is>
      </c>
      <c r="BE1213" t="inlineStr">
        <is>
          <t>30001001181017</t>
        </is>
      </c>
      <c r="BF1213" t="inlineStr">
        <is>
          <t>893652014</t>
        </is>
      </c>
    </row>
    <row r="1214">
      <c r="A1214" t="inlineStr">
        <is>
          <t>No</t>
        </is>
      </c>
      <c r="B1214" t="inlineStr">
        <is>
          <t>CUHSL</t>
        </is>
      </c>
      <c r="C1214" t="inlineStr">
        <is>
          <t>SHELVES</t>
        </is>
      </c>
      <c r="D1214" t="inlineStr">
        <is>
          <t>WY107 A563t 2003</t>
        </is>
      </c>
      <c r="E1214" t="inlineStr">
        <is>
          <t>0                      WY 0107000A  563t        2003</t>
        </is>
      </c>
      <c r="F1214" t="inlineStr">
        <is>
          <t>Transcultural concepts in nursing care / Margaret M. Andrews, Joyceen S. Boyle ; Canadian editor, Tracy Jean Carr.</t>
        </is>
      </c>
      <c r="H1214" t="inlineStr">
        <is>
          <t>No</t>
        </is>
      </c>
      <c r="I1214" t="inlineStr">
        <is>
          <t>1</t>
        </is>
      </c>
      <c r="J1214" t="inlineStr">
        <is>
          <t>No</t>
        </is>
      </c>
      <c r="K1214" t="inlineStr">
        <is>
          <t>Yes</t>
        </is>
      </c>
      <c r="L1214" t="inlineStr">
        <is>
          <t>0</t>
        </is>
      </c>
      <c r="M1214" t="inlineStr">
        <is>
          <t>Andrews, Margaret M.</t>
        </is>
      </c>
      <c r="N1214" t="inlineStr">
        <is>
          <t>Philadelphia : Lippincott Williams &amp; Wilkins, c2003.</t>
        </is>
      </c>
      <c r="O1214" t="inlineStr">
        <is>
          <t>2003</t>
        </is>
      </c>
      <c r="P1214" t="inlineStr">
        <is>
          <t>4th ed.</t>
        </is>
      </c>
      <c r="Q1214" t="inlineStr">
        <is>
          <t>eng</t>
        </is>
      </c>
      <c r="R1214" t="inlineStr">
        <is>
          <t>pau</t>
        </is>
      </c>
      <c r="T1214" t="inlineStr">
        <is>
          <t xml:space="preserve">WY </t>
        </is>
      </c>
      <c r="U1214" t="n">
        <v>3</v>
      </c>
      <c r="V1214" t="n">
        <v>3</v>
      </c>
      <c r="W1214" t="inlineStr">
        <is>
          <t>2010-09-15</t>
        </is>
      </c>
      <c r="X1214" t="inlineStr">
        <is>
          <t>2010-09-15</t>
        </is>
      </c>
      <c r="Y1214" t="inlineStr">
        <is>
          <t>2003-05-29</t>
        </is>
      </c>
      <c r="Z1214" t="inlineStr">
        <is>
          <t>2003-05-29</t>
        </is>
      </c>
      <c r="AA1214" t="n">
        <v>434</v>
      </c>
      <c r="AB1214" t="n">
        <v>312</v>
      </c>
      <c r="AC1214" t="n">
        <v>1224</v>
      </c>
      <c r="AD1214" t="n">
        <v>2</v>
      </c>
      <c r="AE1214" t="n">
        <v>8</v>
      </c>
      <c r="AF1214" t="n">
        <v>11</v>
      </c>
      <c r="AG1214" t="n">
        <v>40</v>
      </c>
      <c r="AH1214" t="n">
        <v>6</v>
      </c>
      <c r="AI1214" t="n">
        <v>17</v>
      </c>
      <c r="AJ1214" t="n">
        <v>1</v>
      </c>
      <c r="AK1214" t="n">
        <v>7</v>
      </c>
      <c r="AL1214" t="n">
        <v>5</v>
      </c>
      <c r="AM1214" t="n">
        <v>17</v>
      </c>
      <c r="AN1214" t="n">
        <v>1</v>
      </c>
      <c r="AO1214" t="n">
        <v>7</v>
      </c>
      <c r="AP1214" t="n">
        <v>0</v>
      </c>
      <c r="AQ1214" t="n">
        <v>0</v>
      </c>
      <c r="AR1214" t="inlineStr">
        <is>
          <t>No</t>
        </is>
      </c>
      <c r="AS1214" t="inlineStr">
        <is>
          <t>No</t>
        </is>
      </c>
      <c r="AU1214">
        <f>HYPERLINK("https://creighton-primo.hosted.exlibrisgroup.com/primo-explore/search?tab=default_tab&amp;search_scope=EVERYTHING&amp;vid=01CRU&amp;lang=en_US&amp;offset=0&amp;query=any,contains,991000348059702656","Catalog Record")</f>
        <v/>
      </c>
      <c r="AV1214">
        <f>HYPERLINK("http://www.worldcat.org/oclc/49942650","WorldCat Record")</f>
        <v/>
      </c>
      <c r="AW1214" t="inlineStr">
        <is>
          <t>4929014947:eng</t>
        </is>
      </c>
      <c r="AX1214" t="inlineStr">
        <is>
          <t>49942650</t>
        </is>
      </c>
      <c r="AY1214" t="inlineStr">
        <is>
          <t>991000348059702656</t>
        </is>
      </c>
      <c r="AZ1214" t="inlineStr">
        <is>
          <t>991000348059702656</t>
        </is>
      </c>
      <c r="BA1214" t="inlineStr">
        <is>
          <t>2272353650002656</t>
        </is>
      </c>
      <c r="BB1214" t="inlineStr">
        <is>
          <t>BOOK</t>
        </is>
      </c>
      <c r="BD1214" t="inlineStr">
        <is>
          <t>9780781736800</t>
        </is>
      </c>
      <c r="BE1214" t="inlineStr">
        <is>
          <t>30001004504363</t>
        </is>
      </c>
      <c r="BF1214" t="inlineStr">
        <is>
          <t>893737251</t>
        </is>
      </c>
    </row>
    <row r="1215">
      <c r="A1215" t="inlineStr">
        <is>
          <t>No</t>
        </is>
      </c>
      <c r="B1215" t="inlineStr">
        <is>
          <t>CUHSL</t>
        </is>
      </c>
      <c r="C1215" t="inlineStr">
        <is>
          <t>SHELVES</t>
        </is>
      </c>
      <c r="D1215" t="inlineStr">
        <is>
          <t>WY 107 A568t 1995</t>
        </is>
      </c>
      <c r="E1215" t="inlineStr">
        <is>
          <t>0                      WY 0107000A  568t        1995</t>
        </is>
      </c>
      <c r="F1215" t="inlineStr">
        <is>
          <t>Transcultural concepts in nursing care / Margaret M. Andrews, Joyceen S. Boyle.</t>
        </is>
      </c>
      <c r="H1215" t="inlineStr">
        <is>
          <t>No</t>
        </is>
      </c>
      <c r="I1215" t="inlineStr">
        <is>
          <t>1</t>
        </is>
      </c>
      <c r="J1215" t="inlineStr">
        <is>
          <t>No</t>
        </is>
      </c>
      <c r="K1215" t="inlineStr">
        <is>
          <t>Yes</t>
        </is>
      </c>
      <c r="L1215" t="inlineStr">
        <is>
          <t>0</t>
        </is>
      </c>
      <c r="M1215" t="inlineStr">
        <is>
          <t>Andrews, Margaret M.</t>
        </is>
      </c>
      <c r="N1215" t="inlineStr">
        <is>
          <t>Philadelphia : Lippincott, c1995.</t>
        </is>
      </c>
      <c r="O1215" t="inlineStr">
        <is>
          <t>1995</t>
        </is>
      </c>
      <c r="P1215" t="inlineStr">
        <is>
          <t>2nd ed.</t>
        </is>
      </c>
      <c r="Q1215" t="inlineStr">
        <is>
          <t>eng</t>
        </is>
      </c>
      <c r="R1215" t="inlineStr">
        <is>
          <t>pau</t>
        </is>
      </c>
      <c r="T1215" t="inlineStr">
        <is>
          <t xml:space="preserve">WY </t>
        </is>
      </c>
      <c r="U1215" t="n">
        <v>23</v>
      </c>
      <c r="V1215" t="n">
        <v>23</v>
      </c>
      <c r="W1215" t="inlineStr">
        <is>
          <t>2003-02-17</t>
        </is>
      </c>
      <c r="X1215" t="inlineStr">
        <is>
          <t>2003-02-17</t>
        </is>
      </c>
      <c r="Y1215" t="inlineStr">
        <is>
          <t>1995-06-29</t>
        </is>
      </c>
      <c r="Z1215" t="inlineStr">
        <is>
          <t>1995-06-29</t>
        </is>
      </c>
      <c r="AA1215" t="n">
        <v>352</v>
      </c>
      <c r="AB1215" t="n">
        <v>264</v>
      </c>
      <c r="AC1215" t="n">
        <v>1224</v>
      </c>
      <c r="AD1215" t="n">
        <v>3</v>
      </c>
      <c r="AE1215" t="n">
        <v>8</v>
      </c>
      <c r="AF1215" t="n">
        <v>12</v>
      </c>
      <c r="AG1215" t="n">
        <v>40</v>
      </c>
      <c r="AH1215" t="n">
        <v>6</v>
      </c>
      <c r="AI1215" t="n">
        <v>17</v>
      </c>
      <c r="AJ1215" t="n">
        <v>1</v>
      </c>
      <c r="AK1215" t="n">
        <v>7</v>
      </c>
      <c r="AL1215" t="n">
        <v>7</v>
      </c>
      <c r="AM1215" t="n">
        <v>17</v>
      </c>
      <c r="AN1215" t="n">
        <v>2</v>
      </c>
      <c r="AO1215" t="n">
        <v>7</v>
      </c>
      <c r="AP1215" t="n">
        <v>0</v>
      </c>
      <c r="AQ1215" t="n">
        <v>0</v>
      </c>
      <c r="AR1215" t="inlineStr">
        <is>
          <t>No</t>
        </is>
      </c>
      <c r="AS1215" t="inlineStr">
        <is>
          <t>Yes</t>
        </is>
      </c>
      <c r="AT1215">
        <f>HYPERLINK("http://catalog.hathitrust.org/Record/002932742","HathiTrust Record")</f>
        <v/>
      </c>
      <c r="AU1215">
        <f>HYPERLINK("https://creighton-primo.hosted.exlibrisgroup.com/primo-explore/search?tab=default_tab&amp;search_scope=EVERYTHING&amp;vid=01CRU&amp;lang=en_US&amp;offset=0&amp;query=any,contains,991001402649702656","Catalog Record")</f>
        <v/>
      </c>
      <c r="AV1215">
        <f>HYPERLINK("http://www.worldcat.org/oclc/30778826","WorldCat Record")</f>
        <v/>
      </c>
      <c r="AW1215" t="inlineStr">
        <is>
          <t>4929014947:eng</t>
        </is>
      </c>
      <c r="AX1215" t="inlineStr">
        <is>
          <t>30778826</t>
        </is>
      </c>
      <c r="AY1215" t="inlineStr">
        <is>
          <t>991001402649702656</t>
        </is>
      </c>
      <c r="AZ1215" t="inlineStr">
        <is>
          <t>991001402649702656</t>
        </is>
      </c>
      <c r="BA1215" t="inlineStr">
        <is>
          <t>2271890480002656</t>
        </is>
      </c>
      <c r="BB1215" t="inlineStr">
        <is>
          <t>BOOK</t>
        </is>
      </c>
      <c r="BD1215" t="inlineStr">
        <is>
          <t>9780397551156</t>
        </is>
      </c>
      <c r="BE1215" t="inlineStr">
        <is>
          <t>30001003148881</t>
        </is>
      </c>
      <c r="BF1215" t="inlineStr">
        <is>
          <t>893377228</t>
        </is>
      </c>
    </row>
    <row r="1216">
      <c r="A1216" t="inlineStr">
        <is>
          <t>No</t>
        </is>
      </c>
      <c r="B1216" t="inlineStr">
        <is>
          <t>CUHSL</t>
        </is>
      </c>
      <c r="C1216" t="inlineStr">
        <is>
          <t>SHELVES</t>
        </is>
      </c>
      <c r="D1216" t="inlineStr">
        <is>
          <t>WY 107 A568t 1999</t>
        </is>
      </c>
      <c r="E1216" t="inlineStr">
        <is>
          <t>0                      WY 0107000A  568t        1999</t>
        </is>
      </c>
      <c r="F1216" t="inlineStr">
        <is>
          <t>Transcultural concepts in nursing care / Margaret M. Andrews, Joyceen S. Boyle.</t>
        </is>
      </c>
      <c r="H1216" t="inlineStr">
        <is>
          <t>No</t>
        </is>
      </c>
      <c r="I1216" t="inlineStr">
        <is>
          <t>1</t>
        </is>
      </c>
      <c r="J1216" t="inlineStr">
        <is>
          <t>No</t>
        </is>
      </c>
      <c r="K1216" t="inlineStr">
        <is>
          <t>Yes</t>
        </is>
      </c>
      <c r="L1216" t="inlineStr">
        <is>
          <t>0</t>
        </is>
      </c>
      <c r="M1216" t="inlineStr">
        <is>
          <t>Andrews, Margaret M.</t>
        </is>
      </c>
      <c r="N1216" t="inlineStr">
        <is>
          <t>Philadelphia : Lippincott, c1999.</t>
        </is>
      </c>
      <c r="O1216" t="inlineStr">
        <is>
          <t>1999</t>
        </is>
      </c>
      <c r="P1216" t="inlineStr">
        <is>
          <t>3rd ed.</t>
        </is>
      </c>
      <c r="Q1216" t="inlineStr">
        <is>
          <t>eng</t>
        </is>
      </c>
      <c r="R1216" t="inlineStr">
        <is>
          <t>pau</t>
        </is>
      </c>
      <c r="T1216" t="inlineStr">
        <is>
          <t xml:space="preserve">WY </t>
        </is>
      </c>
      <c r="U1216" t="n">
        <v>8</v>
      </c>
      <c r="V1216" t="n">
        <v>8</v>
      </c>
      <c r="W1216" t="inlineStr">
        <is>
          <t>2004-04-13</t>
        </is>
      </c>
      <c r="X1216" t="inlineStr">
        <is>
          <t>2004-04-13</t>
        </is>
      </c>
      <c r="Y1216" t="inlineStr">
        <is>
          <t>1999-09-02</t>
        </is>
      </c>
      <c r="Z1216" t="inlineStr">
        <is>
          <t>1999-09-02</t>
        </is>
      </c>
      <c r="AA1216" t="n">
        <v>353</v>
      </c>
      <c r="AB1216" t="n">
        <v>261</v>
      </c>
      <c r="AC1216" t="n">
        <v>1224</v>
      </c>
      <c r="AD1216" t="n">
        <v>2</v>
      </c>
      <c r="AE1216" t="n">
        <v>8</v>
      </c>
      <c r="AF1216" t="n">
        <v>9</v>
      </c>
      <c r="AG1216" t="n">
        <v>40</v>
      </c>
      <c r="AH1216" t="n">
        <v>4</v>
      </c>
      <c r="AI1216" t="n">
        <v>17</v>
      </c>
      <c r="AJ1216" t="n">
        <v>1</v>
      </c>
      <c r="AK1216" t="n">
        <v>7</v>
      </c>
      <c r="AL1216" t="n">
        <v>5</v>
      </c>
      <c r="AM1216" t="n">
        <v>17</v>
      </c>
      <c r="AN1216" t="n">
        <v>1</v>
      </c>
      <c r="AO1216" t="n">
        <v>7</v>
      </c>
      <c r="AP1216" t="n">
        <v>0</v>
      </c>
      <c r="AQ1216" t="n">
        <v>0</v>
      </c>
      <c r="AR1216" t="inlineStr">
        <is>
          <t>No</t>
        </is>
      </c>
      <c r="AS1216" t="inlineStr">
        <is>
          <t>Yes</t>
        </is>
      </c>
      <c r="AT1216">
        <f>HYPERLINK("http://catalog.hathitrust.org/Record/003998005","HathiTrust Record")</f>
        <v/>
      </c>
      <c r="AU1216">
        <f>HYPERLINK("https://creighton-primo.hosted.exlibrisgroup.com/primo-explore/search?tab=default_tab&amp;search_scope=EVERYTHING&amp;vid=01CRU&amp;lang=en_US&amp;offset=0&amp;query=any,contains,991001573299702656","Catalog Record")</f>
        <v/>
      </c>
      <c r="AV1216">
        <f>HYPERLINK("http://www.worldcat.org/oclc/38486309","WorldCat Record")</f>
        <v/>
      </c>
      <c r="AW1216" t="inlineStr">
        <is>
          <t>4929014947:eng</t>
        </is>
      </c>
      <c r="AX1216" t="inlineStr">
        <is>
          <t>38486309</t>
        </is>
      </c>
      <c r="AY1216" t="inlineStr">
        <is>
          <t>991001573299702656</t>
        </is>
      </c>
      <c r="AZ1216" t="inlineStr">
        <is>
          <t>991001573299702656</t>
        </is>
      </c>
      <c r="BA1216" t="inlineStr">
        <is>
          <t>2271804760002656</t>
        </is>
      </c>
      <c r="BB1216" t="inlineStr">
        <is>
          <t>BOOK</t>
        </is>
      </c>
      <c r="BD1216" t="inlineStr">
        <is>
          <t>9780781710381</t>
        </is>
      </c>
      <c r="BE1216" t="inlineStr">
        <is>
          <t>30001004080067</t>
        </is>
      </c>
      <c r="BF1216" t="inlineStr">
        <is>
          <t>893826883</t>
        </is>
      </c>
    </row>
    <row r="1217">
      <c r="A1217" t="inlineStr">
        <is>
          <t>No</t>
        </is>
      </c>
      <c r="B1217" t="inlineStr">
        <is>
          <t>CUHSL</t>
        </is>
      </c>
      <c r="C1217" t="inlineStr">
        <is>
          <t>SHELVES</t>
        </is>
      </c>
      <c r="D1217" t="inlineStr">
        <is>
          <t>WY107 C9678 2006</t>
        </is>
      </c>
      <c r="E1217" t="inlineStr">
        <is>
          <t>0                      WY 0107000C  9678        2006</t>
        </is>
      </c>
      <c r="F1217" t="inlineStr">
        <is>
          <t>Culture care diversity and universality : a worldwide nursing theory / [edited by] Madeleine M. Leininger, Marilyn R. McFarland.</t>
        </is>
      </c>
      <c r="H1217" t="inlineStr">
        <is>
          <t>No</t>
        </is>
      </c>
      <c r="I1217" t="inlineStr">
        <is>
          <t>1</t>
        </is>
      </c>
      <c r="J1217" t="inlineStr">
        <is>
          <t>No</t>
        </is>
      </c>
      <c r="K1217" t="inlineStr">
        <is>
          <t>Yes</t>
        </is>
      </c>
      <c r="L1217" t="inlineStr">
        <is>
          <t>0</t>
        </is>
      </c>
      <c r="N1217" t="inlineStr">
        <is>
          <t>Sudbury, MA : Jones and Bartlett, c2006.</t>
        </is>
      </c>
      <c r="O1217" t="inlineStr">
        <is>
          <t>2006</t>
        </is>
      </c>
      <c r="P1217" t="inlineStr">
        <is>
          <t>2nd ed.</t>
        </is>
      </c>
      <c r="Q1217" t="inlineStr">
        <is>
          <t>eng</t>
        </is>
      </c>
      <c r="R1217" t="inlineStr">
        <is>
          <t>mau</t>
        </is>
      </c>
      <c r="T1217" t="inlineStr">
        <is>
          <t xml:space="preserve">WY </t>
        </is>
      </c>
      <c r="U1217" t="n">
        <v>4</v>
      </c>
      <c r="V1217" t="n">
        <v>4</v>
      </c>
      <c r="W1217" t="inlineStr">
        <is>
          <t>2010-09-15</t>
        </is>
      </c>
      <c r="X1217" t="inlineStr">
        <is>
          <t>2010-09-15</t>
        </is>
      </c>
      <c r="Y1217" t="inlineStr">
        <is>
          <t>2006-04-24</t>
        </is>
      </c>
      <c r="Z1217" t="inlineStr">
        <is>
          <t>2006-04-24</t>
        </is>
      </c>
      <c r="AA1217" t="n">
        <v>661</v>
      </c>
      <c r="AB1217" t="n">
        <v>523</v>
      </c>
      <c r="AC1217" t="n">
        <v>803</v>
      </c>
      <c r="AD1217" t="n">
        <v>6</v>
      </c>
      <c r="AE1217" t="n">
        <v>9</v>
      </c>
      <c r="AF1217" t="n">
        <v>22</v>
      </c>
      <c r="AG1217" t="n">
        <v>37</v>
      </c>
      <c r="AH1217" t="n">
        <v>10</v>
      </c>
      <c r="AI1217" t="n">
        <v>16</v>
      </c>
      <c r="AJ1217" t="n">
        <v>5</v>
      </c>
      <c r="AK1217" t="n">
        <v>6</v>
      </c>
      <c r="AL1217" t="n">
        <v>6</v>
      </c>
      <c r="AM1217" t="n">
        <v>15</v>
      </c>
      <c r="AN1217" t="n">
        <v>5</v>
      </c>
      <c r="AO1217" t="n">
        <v>7</v>
      </c>
      <c r="AP1217" t="n">
        <v>0</v>
      </c>
      <c r="AQ1217" t="n">
        <v>0</v>
      </c>
      <c r="AR1217" t="inlineStr">
        <is>
          <t>No</t>
        </is>
      </c>
      <c r="AS1217" t="inlineStr">
        <is>
          <t>No</t>
        </is>
      </c>
      <c r="AU1217">
        <f>HYPERLINK("https://creighton-primo.hosted.exlibrisgroup.com/primo-explore/search?tab=default_tab&amp;search_scope=EVERYTHING&amp;vid=01CRU&amp;lang=en_US&amp;offset=0&amp;query=any,contains,991001738869702656","Catalog Record")</f>
        <v/>
      </c>
      <c r="AV1217">
        <f>HYPERLINK("http://www.worldcat.org/oclc/61309321","WorldCat Record")</f>
        <v/>
      </c>
      <c r="AW1217" t="inlineStr">
        <is>
          <t>891794548:eng</t>
        </is>
      </c>
      <c r="AX1217" t="inlineStr">
        <is>
          <t>61309321</t>
        </is>
      </c>
      <c r="AY1217" t="inlineStr">
        <is>
          <t>991001738869702656</t>
        </is>
      </c>
      <c r="AZ1217" t="inlineStr">
        <is>
          <t>991001738869702656</t>
        </is>
      </c>
      <c r="BA1217" t="inlineStr">
        <is>
          <t>2257581340002656</t>
        </is>
      </c>
      <c r="BB1217" t="inlineStr">
        <is>
          <t>BOOK</t>
        </is>
      </c>
      <c r="BD1217" t="inlineStr">
        <is>
          <t>9780763734374</t>
        </is>
      </c>
      <c r="BE1217" t="inlineStr">
        <is>
          <t>30001005127081</t>
        </is>
      </c>
      <c r="BF1217" t="inlineStr">
        <is>
          <t>893162267</t>
        </is>
      </c>
    </row>
    <row r="1218">
      <c r="A1218" t="inlineStr">
        <is>
          <t>No</t>
        </is>
      </c>
      <c r="B1218" t="inlineStr">
        <is>
          <t>CUHSL</t>
        </is>
      </c>
      <c r="C1218" t="inlineStr">
        <is>
          <t>SHELVES</t>
        </is>
      </c>
      <c r="D1218" t="inlineStr">
        <is>
          <t>WY107 C968 2005</t>
        </is>
      </c>
      <c r="E1218" t="inlineStr">
        <is>
          <t>0                      WY 0107000C  968         2005</t>
        </is>
      </c>
      <c r="F1218" t="inlineStr">
        <is>
          <t>Culture &amp; clinical care / edited by Juliene G. Lipson, Suzanne L. Dibble.</t>
        </is>
      </c>
      <c r="H1218" t="inlineStr">
        <is>
          <t>No</t>
        </is>
      </c>
      <c r="I1218" t="inlineStr">
        <is>
          <t>1</t>
        </is>
      </c>
      <c r="J1218" t="inlineStr">
        <is>
          <t>No</t>
        </is>
      </c>
      <c r="K1218" t="inlineStr">
        <is>
          <t>No</t>
        </is>
      </c>
      <c r="L1218" t="inlineStr">
        <is>
          <t>0</t>
        </is>
      </c>
      <c r="N1218" t="inlineStr">
        <is>
          <t>San Francisco, CA : UCSF Nursing Press, c2005.</t>
        </is>
      </c>
      <c r="O1218" t="inlineStr">
        <is>
          <t>2005</t>
        </is>
      </c>
      <c r="Q1218" t="inlineStr">
        <is>
          <t>eng</t>
        </is>
      </c>
      <c r="R1218" t="inlineStr">
        <is>
          <t>cau</t>
        </is>
      </c>
      <c r="T1218" t="inlineStr">
        <is>
          <t xml:space="preserve">WY </t>
        </is>
      </c>
      <c r="U1218" t="n">
        <v>0</v>
      </c>
      <c r="V1218" t="n">
        <v>0</v>
      </c>
      <c r="W1218" t="inlineStr">
        <is>
          <t>2008-01-28</t>
        </is>
      </c>
      <c r="X1218" t="inlineStr">
        <is>
          <t>2008-01-28</t>
        </is>
      </c>
      <c r="Y1218" t="inlineStr">
        <is>
          <t>2007-03-21</t>
        </is>
      </c>
      <c r="Z1218" t="inlineStr">
        <is>
          <t>2007-03-21</t>
        </is>
      </c>
      <c r="AA1218" t="n">
        <v>315</v>
      </c>
      <c r="AB1218" t="n">
        <v>297</v>
      </c>
      <c r="AC1218" t="n">
        <v>299</v>
      </c>
      <c r="AD1218" t="n">
        <v>5</v>
      </c>
      <c r="AE1218" t="n">
        <v>5</v>
      </c>
      <c r="AF1218" t="n">
        <v>12</v>
      </c>
      <c r="AG1218" t="n">
        <v>12</v>
      </c>
      <c r="AH1218" t="n">
        <v>2</v>
      </c>
      <c r="AI1218" t="n">
        <v>2</v>
      </c>
      <c r="AJ1218" t="n">
        <v>3</v>
      </c>
      <c r="AK1218" t="n">
        <v>3</v>
      </c>
      <c r="AL1218" t="n">
        <v>4</v>
      </c>
      <c r="AM1218" t="n">
        <v>4</v>
      </c>
      <c r="AN1218" t="n">
        <v>3</v>
      </c>
      <c r="AO1218" t="n">
        <v>3</v>
      </c>
      <c r="AP1218" t="n">
        <v>0</v>
      </c>
      <c r="AQ1218" t="n">
        <v>0</v>
      </c>
      <c r="AR1218" t="inlineStr">
        <is>
          <t>No</t>
        </is>
      </c>
      <c r="AS1218" t="inlineStr">
        <is>
          <t>Yes</t>
        </is>
      </c>
      <c r="AT1218">
        <f>HYPERLINK("http://catalog.hathitrust.org/Record/004993007","HathiTrust Record")</f>
        <v/>
      </c>
      <c r="AU1218">
        <f>HYPERLINK("https://creighton-primo.hosted.exlibrisgroup.com/primo-explore/search?tab=default_tab&amp;search_scope=EVERYTHING&amp;vid=01CRU&amp;lang=en_US&amp;offset=0&amp;query=any,contains,991001748859702656","Catalog Record")</f>
        <v/>
      </c>
      <c r="AV1218">
        <f>HYPERLINK("http://www.worldcat.org/oclc/60449008","WorldCat Record")</f>
        <v/>
      </c>
      <c r="AW1218" t="inlineStr">
        <is>
          <t>988480:eng</t>
        </is>
      </c>
      <c r="AX1218" t="inlineStr">
        <is>
          <t>60449008</t>
        </is>
      </c>
      <c r="AY1218" t="inlineStr">
        <is>
          <t>991001748859702656</t>
        </is>
      </c>
      <c r="AZ1218" t="inlineStr">
        <is>
          <t>991001748859702656</t>
        </is>
      </c>
      <c r="BA1218" t="inlineStr">
        <is>
          <t>2264489120002656</t>
        </is>
      </c>
      <c r="BB1218" t="inlineStr">
        <is>
          <t>BOOK</t>
        </is>
      </c>
      <c r="BD1218" t="inlineStr">
        <is>
          <t>9780943671222</t>
        </is>
      </c>
      <c r="BE1218" t="inlineStr">
        <is>
          <t>30001005169752</t>
        </is>
      </c>
      <c r="BF1218" t="inlineStr">
        <is>
          <t>893649440</t>
        </is>
      </c>
    </row>
    <row r="1219">
      <c r="A1219" t="inlineStr">
        <is>
          <t>No</t>
        </is>
      </c>
      <c r="B1219" t="inlineStr">
        <is>
          <t>CUHSL</t>
        </is>
      </c>
      <c r="C1219" t="inlineStr">
        <is>
          <t>SHELVES</t>
        </is>
      </c>
      <c r="D1219" t="inlineStr">
        <is>
          <t>WY107 D245 2003</t>
        </is>
      </c>
      <c r="E1219" t="inlineStr">
        <is>
          <t>0                      WY 0107000D  245         2003</t>
        </is>
      </c>
      <c r="F1219" t="inlineStr">
        <is>
          <t>Pocket guide to cultural health assessment / Carolyn Erickson D'Avanzo.</t>
        </is>
      </c>
      <c r="H1219" t="inlineStr">
        <is>
          <t>No</t>
        </is>
      </c>
      <c r="I1219" t="inlineStr">
        <is>
          <t>1</t>
        </is>
      </c>
      <c r="J1219" t="inlineStr">
        <is>
          <t>No</t>
        </is>
      </c>
      <c r="K1219" t="inlineStr">
        <is>
          <t>Yes</t>
        </is>
      </c>
      <c r="L1219" t="inlineStr">
        <is>
          <t>0</t>
        </is>
      </c>
      <c r="M1219" t="inlineStr">
        <is>
          <t>D'Avanzo, Carolyn Erickson.</t>
        </is>
      </c>
      <c r="N1219" t="inlineStr">
        <is>
          <t>St. Louis : Mosby, c2003.</t>
        </is>
      </c>
      <c r="O1219" t="inlineStr">
        <is>
          <t>2003</t>
        </is>
      </c>
      <c r="P1219" t="inlineStr">
        <is>
          <t>3rd ed.</t>
        </is>
      </c>
      <c r="Q1219" t="inlineStr">
        <is>
          <t>eng</t>
        </is>
      </c>
      <c r="R1219" t="inlineStr">
        <is>
          <t>mou</t>
        </is>
      </c>
      <c r="S1219" t="inlineStr">
        <is>
          <t>Mosby's pocket guide series</t>
        </is>
      </c>
      <c r="T1219" t="inlineStr">
        <is>
          <t xml:space="preserve">WY </t>
        </is>
      </c>
      <c r="U1219" t="n">
        <v>1</v>
      </c>
      <c r="V1219" t="n">
        <v>1</v>
      </c>
      <c r="W1219" t="inlineStr">
        <is>
          <t>2010-03-08</t>
        </is>
      </c>
      <c r="X1219" t="inlineStr">
        <is>
          <t>2010-03-08</t>
        </is>
      </c>
      <c r="Y1219" t="inlineStr">
        <is>
          <t>2003-04-25</t>
        </is>
      </c>
      <c r="Z1219" t="inlineStr">
        <is>
          <t>2003-04-25</t>
        </is>
      </c>
      <c r="AA1219" t="n">
        <v>215</v>
      </c>
      <c r="AB1219" t="n">
        <v>159</v>
      </c>
      <c r="AC1219" t="n">
        <v>406</v>
      </c>
      <c r="AD1219" t="n">
        <v>1</v>
      </c>
      <c r="AE1219" t="n">
        <v>2</v>
      </c>
      <c r="AF1219" t="n">
        <v>3</v>
      </c>
      <c r="AG1219" t="n">
        <v>10</v>
      </c>
      <c r="AH1219" t="n">
        <v>2</v>
      </c>
      <c r="AI1219" t="n">
        <v>4</v>
      </c>
      <c r="AJ1219" t="n">
        <v>0</v>
      </c>
      <c r="AK1219" t="n">
        <v>1</v>
      </c>
      <c r="AL1219" t="n">
        <v>2</v>
      </c>
      <c r="AM1219" t="n">
        <v>7</v>
      </c>
      <c r="AN1219" t="n">
        <v>0</v>
      </c>
      <c r="AO1219" t="n">
        <v>0</v>
      </c>
      <c r="AP1219" t="n">
        <v>0</v>
      </c>
      <c r="AQ1219" t="n">
        <v>0</v>
      </c>
      <c r="AR1219" t="inlineStr">
        <is>
          <t>No</t>
        </is>
      </c>
      <c r="AS1219" t="inlineStr">
        <is>
          <t>Yes</t>
        </is>
      </c>
      <c r="AT1219">
        <f>HYPERLINK("http://catalog.hathitrust.org/Record/004311377","HathiTrust Record")</f>
        <v/>
      </c>
      <c r="AU1219">
        <f>HYPERLINK("https://creighton-primo.hosted.exlibrisgroup.com/primo-explore/search?tab=default_tab&amp;search_scope=EVERYTHING&amp;vid=01CRU&amp;lang=en_US&amp;offset=0&amp;query=any,contains,991000345799702656","Catalog Record")</f>
        <v/>
      </c>
      <c r="AV1219">
        <f>HYPERLINK("http://www.worldcat.org/oclc/51671991","WorldCat Record")</f>
        <v/>
      </c>
      <c r="AW1219" t="inlineStr">
        <is>
          <t>1004871:eng</t>
        </is>
      </c>
      <c r="AX1219" t="inlineStr">
        <is>
          <t>51671991</t>
        </is>
      </c>
      <c r="AY1219" t="inlineStr">
        <is>
          <t>991000345799702656</t>
        </is>
      </c>
      <c r="AZ1219" t="inlineStr">
        <is>
          <t>991000345799702656</t>
        </is>
      </c>
      <c r="BA1219" t="inlineStr">
        <is>
          <t>2262064270002656</t>
        </is>
      </c>
      <c r="BB1219" t="inlineStr">
        <is>
          <t>BOOK</t>
        </is>
      </c>
      <c r="BD1219" t="inlineStr">
        <is>
          <t>9780323018586</t>
        </is>
      </c>
      <c r="BE1219" t="inlineStr">
        <is>
          <t>30001004504231</t>
        </is>
      </c>
      <c r="BF1219" t="inlineStr">
        <is>
          <t>893461407</t>
        </is>
      </c>
    </row>
    <row r="1220">
      <c r="A1220" t="inlineStr">
        <is>
          <t>No</t>
        </is>
      </c>
      <c r="B1220" t="inlineStr">
        <is>
          <t>CUHSL</t>
        </is>
      </c>
      <c r="C1220" t="inlineStr">
        <is>
          <t>SHELVES</t>
        </is>
      </c>
      <c r="D1220" t="inlineStr">
        <is>
          <t>WY 107 M967t 2005</t>
        </is>
      </c>
      <c r="E1220" t="inlineStr">
        <is>
          <t>0                      WY 0107000M  967t        2005</t>
        </is>
      </c>
      <c r="F1220" t="inlineStr">
        <is>
          <t>Transcultural communication in nursing / Cora C. Muñoz, Joan Luckmann.</t>
        </is>
      </c>
      <c r="H1220" t="inlineStr">
        <is>
          <t>No</t>
        </is>
      </c>
      <c r="I1220" t="inlineStr">
        <is>
          <t>1</t>
        </is>
      </c>
      <c r="J1220" t="inlineStr">
        <is>
          <t>No</t>
        </is>
      </c>
      <c r="K1220" t="inlineStr">
        <is>
          <t>No</t>
        </is>
      </c>
      <c r="L1220" t="inlineStr">
        <is>
          <t>0</t>
        </is>
      </c>
      <c r="M1220" t="inlineStr">
        <is>
          <t>Muñoz, Cora C.</t>
        </is>
      </c>
      <c r="N1220" t="inlineStr">
        <is>
          <t>Clifton Park, NY : Thomson/Delmar Learning, c2005.</t>
        </is>
      </c>
      <c r="O1220" t="inlineStr">
        <is>
          <t>2005</t>
        </is>
      </c>
      <c r="P1220" t="inlineStr">
        <is>
          <t>2nd ed.</t>
        </is>
      </c>
      <c r="Q1220" t="inlineStr">
        <is>
          <t>eng</t>
        </is>
      </c>
      <c r="R1220" t="inlineStr">
        <is>
          <t>nyu</t>
        </is>
      </c>
      <c r="T1220" t="inlineStr">
        <is>
          <t xml:space="preserve">WY </t>
        </is>
      </c>
      <c r="U1220" t="n">
        <v>1</v>
      </c>
      <c r="V1220" t="n">
        <v>1</v>
      </c>
      <c r="W1220" t="inlineStr">
        <is>
          <t>2010-09-15</t>
        </is>
      </c>
      <c r="X1220" t="inlineStr">
        <is>
          <t>2010-09-15</t>
        </is>
      </c>
      <c r="Y1220" t="inlineStr">
        <is>
          <t>2006-04-20</t>
        </is>
      </c>
      <c r="Z1220" t="inlineStr">
        <is>
          <t>2006-04-20</t>
        </is>
      </c>
      <c r="AA1220" t="n">
        <v>582</v>
      </c>
      <c r="AB1220" t="n">
        <v>474</v>
      </c>
      <c r="AC1220" t="n">
        <v>527</v>
      </c>
      <c r="AD1220" t="n">
        <v>3</v>
      </c>
      <c r="AE1220" t="n">
        <v>3</v>
      </c>
      <c r="AF1220" t="n">
        <v>15</v>
      </c>
      <c r="AG1220" t="n">
        <v>18</v>
      </c>
      <c r="AH1220" t="n">
        <v>5</v>
      </c>
      <c r="AI1220" t="n">
        <v>6</v>
      </c>
      <c r="AJ1220" t="n">
        <v>2</v>
      </c>
      <c r="AK1220" t="n">
        <v>4</v>
      </c>
      <c r="AL1220" t="n">
        <v>9</v>
      </c>
      <c r="AM1220" t="n">
        <v>10</v>
      </c>
      <c r="AN1220" t="n">
        <v>1</v>
      </c>
      <c r="AO1220" t="n">
        <v>1</v>
      </c>
      <c r="AP1220" t="n">
        <v>0</v>
      </c>
      <c r="AQ1220" t="n">
        <v>0</v>
      </c>
      <c r="AR1220" t="inlineStr">
        <is>
          <t>No</t>
        </is>
      </c>
      <c r="AS1220" t="inlineStr">
        <is>
          <t>Yes</t>
        </is>
      </c>
      <c r="AT1220">
        <f>HYPERLINK("http://catalog.hathitrust.org/Record/004917448","HathiTrust Record")</f>
        <v/>
      </c>
      <c r="AU1220">
        <f>HYPERLINK("https://creighton-primo.hosted.exlibrisgroup.com/primo-explore/search?tab=default_tab&amp;search_scope=EVERYTHING&amp;vid=01CRU&amp;lang=en_US&amp;offset=0&amp;query=any,contains,991001735749702656","Catalog Record")</f>
        <v/>
      </c>
      <c r="AV1220">
        <f>HYPERLINK("http://www.worldcat.org/oclc/55587645","WorldCat Record")</f>
        <v/>
      </c>
      <c r="AW1220" t="inlineStr">
        <is>
          <t>23510950:eng</t>
        </is>
      </c>
      <c r="AX1220" t="inlineStr">
        <is>
          <t>55587645</t>
        </is>
      </c>
      <c r="AY1220" t="inlineStr">
        <is>
          <t>991001735749702656</t>
        </is>
      </c>
      <c r="AZ1220" t="inlineStr">
        <is>
          <t>991001735749702656</t>
        </is>
      </c>
      <c r="BA1220" t="inlineStr">
        <is>
          <t>2260438970002656</t>
        </is>
      </c>
      <c r="BB1220" t="inlineStr">
        <is>
          <t>BOOK</t>
        </is>
      </c>
      <c r="BD1220" t="inlineStr">
        <is>
          <t>9780766848771</t>
        </is>
      </c>
      <c r="BE1220" t="inlineStr">
        <is>
          <t>30001004914414</t>
        </is>
      </c>
      <c r="BF1220" t="inlineStr">
        <is>
          <t>893649404</t>
        </is>
      </c>
    </row>
    <row r="1221">
      <c r="A1221" t="inlineStr">
        <is>
          <t>No</t>
        </is>
      </c>
      <c r="B1221" t="inlineStr">
        <is>
          <t>CUHSL</t>
        </is>
      </c>
      <c r="C1221" t="inlineStr">
        <is>
          <t>SHELVES</t>
        </is>
      </c>
      <c r="D1221" t="inlineStr">
        <is>
          <t>WY107 T7725 2004</t>
        </is>
      </c>
      <c r="E1221" t="inlineStr">
        <is>
          <t>0                      WY 0107000T  7725        2004</t>
        </is>
      </c>
      <c r="F1221" t="inlineStr">
        <is>
          <t>Transcultural nursing : assessment &amp; intervention / [edited by] Joyce Newman Giger, Ruth Elaine Davidhizar.</t>
        </is>
      </c>
      <c r="H1221" t="inlineStr">
        <is>
          <t>No</t>
        </is>
      </c>
      <c r="I1221" t="inlineStr">
        <is>
          <t>1</t>
        </is>
      </c>
      <c r="J1221" t="inlineStr">
        <is>
          <t>No</t>
        </is>
      </c>
      <c r="K1221" t="inlineStr">
        <is>
          <t>Yes</t>
        </is>
      </c>
      <c r="L1221" t="inlineStr">
        <is>
          <t>0</t>
        </is>
      </c>
      <c r="N1221" t="inlineStr">
        <is>
          <t>St. Louis, Mo. : Mosby, c2004.</t>
        </is>
      </c>
      <c r="O1221" t="inlineStr">
        <is>
          <t>2004</t>
        </is>
      </c>
      <c r="P1221" t="inlineStr">
        <is>
          <t>4th ed.</t>
        </is>
      </c>
      <c r="Q1221" t="inlineStr">
        <is>
          <t>eng</t>
        </is>
      </c>
      <c r="R1221" t="inlineStr">
        <is>
          <t>mou</t>
        </is>
      </c>
      <c r="T1221" t="inlineStr">
        <is>
          <t xml:space="preserve">WY </t>
        </is>
      </c>
      <c r="U1221" t="n">
        <v>3</v>
      </c>
      <c r="V1221" t="n">
        <v>3</v>
      </c>
      <c r="W1221" t="inlineStr">
        <is>
          <t>2010-09-16</t>
        </is>
      </c>
      <c r="X1221" t="inlineStr">
        <is>
          <t>2010-09-16</t>
        </is>
      </c>
      <c r="Y1221" t="inlineStr">
        <is>
          <t>2003-12-12</t>
        </is>
      </c>
      <c r="Z1221" t="inlineStr">
        <is>
          <t>2003-12-12</t>
        </is>
      </c>
      <c r="AA1221" t="n">
        <v>479</v>
      </c>
      <c r="AB1221" t="n">
        <v>371</v>
      </c>
      <c r="AC1221" t="n">
        <v>1146</v>
      </c>
      <c r="AD1221" t="n">
        <v>3</v>
      </c>
      <c r="AE1221" t="n">
        <v>7</v>
      </c>
      <c r="AF1221" t="n">
        <v>16</v>
      </c>
      <c r="AG1221" t="n">
        <v>31</v>
      </c>
      <c r="AH1221" t="n">
        <v>7</v>
      </c>
      <c r="AI1221" t="n">
        <v>11</v>
      </c>
      <c r="AJ1221" t="n">
        <v>2</v>
      </c>
      <c r="AK1221" t="n">
        <v>6</v>
      </c>
      <c r="AL1221" t="n">
        <v>9</v>
      </c>
      <c r="AM1221" t="n">
        <v>16</v>
      </c>
      <c r="AN1221" t="n">
        <v>2</v>
      </c>
      <c r="AO1221" t="n">
        <v>5</v>
      </c>
      <c r="AP1221" t="n">
        <v>0</v>
      </c>
      <c r="AQ1221" t="n">
        <v>0</v>
      </c>
      <c r="AR1221" t="inlineStr">
        <is>
          <t>No</t>
        </is>
      </c>
      <c r="AS1221" t="inlineStr">
        <is>
          <t>Yes</t>
        </is>
      </c>
      <c r="AT1221">
        <f>HYPERLINK("http://catalog.hathitrust.org/Record/004352420","HathiTrust Record")</f>
        <v/>
      </c>
      <c r="AU1221">
        <f>HYPERLINK("https://creighton-primo.hosted.exlibrisgroup.com/primo-explore/search?tab=default_tab&amp;search_scope=EVERYTHING&amp;vid=01CRU&amp;lang=en_US&amp;offset=0&amp;query=any,contains,991001724919702656","Catalog Record")</f>
        <v/>
      </c>
      <c r="AV1221">
        <f>HYPERLINK("http://www.worldcat.org/oclc/52520326","WorldCat Record")</f>
        <v/>
      </c>
      <c r="AW1221" t="inlineStr">
        <is>
          <t>836955562:eng</t>
        </is>
      </c>
      <c r="AX1221" t="inlineStr">
        <is>
          <t>52520326</t>
        </is>
      </c>
      <c r="AY1221" t="inlineStr">
        <is>
          <t>991001724919702656</t>
        </is>
      </c>
      <c r="AZ1221" t="inlineStr">
        <is>
          <t>991001724919702656</t>
        </is>
      </c>
      <c r="BA1221" t="inlineStr">
        <is>
          <t>2269778950002656</t>
        </is>
      </c>
      <c r="BB1221" t="inlineStr">
        <is>
          <t>BOOK</t>
        </is>
      </c>
      <c r="BD1221" t="inlineStr">
        <is>
          <t>9780323022958</t>
        </is>
      </c>
      <c r="BE1221" t="inlineStr">
        <is>
          <t>30001004508026</t>
        </is>
      </c>
      <c r="BF1221" t="inlineStr">
        <is>
          <t>893274428</t>
        </is>
      </c>
    </row>
    <row r="1222">
      <c r="A1222" t="inlineStr">
        <is>
          <t>No</t>
        </is>
      </c>
      <c r="B1222" t="inlineStr">
        <is>
          <t>CUHSL</t>
        </is>
      </c>
      <c r="C1222" t="inlineStr">
        <is>
          <t>SHELVES</t>
        </is>
      </c>
      <c r="D1222" t="inlineStr">
        <is>
          <t>WY 108 I59 1967</t>
        </is>
      </c>
      <c r="E1222" t="inlineStr">
        <is>
          <t>0                      WY 0108000I  59          1967</t>
        </is>
      </c>
      <c r="F1222" t="inlineStr">
        <is>
          <t>Inservice education in public health nursing.</t>
        </is>
      </c>
      <c r="H1222" t="inlineStr">
        <is>
          <t>No</t>
        </is>
      </c>
      <c r="I1222" t="inlineStr">
        <is>
          <t>1</t>
        </is>
      </c>
      <c r="J1222" t="inlineStr">
        <is>
          <t>No</t>
        </is>
      </c>
      <c r="K1222" t="inlineStr">
        <is>
          <t>No</t>
        </is>
      </c>
      <c r="L1222" t="inlineStr">
        <is>
          <t>0</t>
        </is>
      </c>
      <c r="N1222" t="inlineStr">
        <is>
          <t>New York : Council of Public Health Nursing Services, National League for Nursing, 1967.</t>
        </is>
      </c>
      <c r="O1222" t="inlineStr">
        <is>
          <t>1967</t>
        </is>
      </c>
      <c r="Q1222" t="inlineStr">
        <is>
          <t>eng</t>
        </is>
      </c>
      <c r="R1222" t="inlineStr">
        <is>
          <t>nyu</t>
        </is>
      </c>
      <c r="S1222" t="inlineStr">
        <is>
          <t>NLN pub. no. 21-1300</t>
        </is>
      </c>
      <c r="T1222" t="inlineStr">
        <is>
          <t xml:space="preserve">WY </t>
        </is>
      </c>
      <c r="U1222" t="n">
        <v>1</v>
      </c>
      <c r="V1222" t="n">
        <v>1</v>
      </c>
      <c r="W1222" t="inlineStr">
        <is>
          <t>1990-06-25</t>
        </is>
      </c>
      <c r="X1222" t="inlineStr">
        <is>
          <t>1990-06-25</t>
        </is>
      </c>
      <c r="Y1222" t="inlineStr">
        <is>
          <t>1987-11-04</t>
        </is>
      </c>
      <c r="Z1222" t="inlineStr">
        <is>
          <t>1987-11-04</t>
        </is>
      </c>
      <c r="AA1222" t="n">
        <v>22</v>
      </c>
      <c r="AB1222" t="n">
        <v>19</v>
      </c>
      <c r="AC1222" t="n">
        <v>23</v>
      </c>
      <c r="AD1222" t="n">
        <v>1</v>
      </c>
      <c r="AE1222" t="n">
        <v>1</v>
      </c>
      <c r="AF1222" t="n">
        <v>1</v>
      </c>
      <c r="AG1222" t="n">
        <v>1</v>
      </c>
      <c r="AH1222" t="n">
        <v>0</v>
      </c>
      <c r="AI1222" t="n">
        <v>0</v>
      </c>
      <c r="AJ1222" t="n">
        <v>0</v>
      </c>
      <c r="AK1222" t="n">
        <v>0</v>
      </c>
      <c r="AL1222" t="n">
        <v>1</v>
      </c>
      <c r="AM1222" t="n">
        <v>1</v>
      </c>
      <c r="AN1222" t="n">
        <v>0</v>
      </c>
      <c r="AO1222" t="n">
        <v>0</v>
      </c>
      <c r="AP1222" t="n">
        <v>0</v>
      </c>
      <c r="AQ1222" t="n">
        <v>0</v>
      </c>
      <c r="AR1222" t="inlineStr">
        <is>
          <t>No</t>
        </is>
      </c>
      <c r="AS1222" t="inlineStr">
        <is>
          <t>No</t>
        </is>
      </c>
      <c r="AU1222">
        <f>HYPERLINK("https://creighton-primo.hosted.exlibrisgroup.com/primo-explore/search?tab=default_tab&amp;search_scope=EVERYTHING&amp;vid=01CRU&amp;lang=en_US&amp;offset=0&amp;query=any,contains,991001386069702656","Catalog Record")</f>
        <v/>
      </c>
      <c r="AV1222">
        <f>HYPERLINK("http://www.worldcat.org/oclc/3090555","WorldCat Record")</f>
        <v/>
      </c>
      <c r="AW1222" t="inlineStr">
        <is>
          <t>500283336:eng</t>
        </is>
      </c>
      <c r="AX1222" t="inlineStr">
        <is>
          <t>3090555</t>
        </is>
      </c>
      <c r="AY1222" t="inlineStr">
        <is>
          <t>991001386069702656</t>
        </is>
      </c>
      <c r="AZ1222" t="inlineStr">
        <is>
          <t>991001386069702656</t>
        </is>
      </c>
      <c r="BA1222" t="inlineStr">
        <is>
          <t>2260419540002656</t>
        </is>
      </c>
      <c r="BB1222" t="inlineStr">
        <is>
          <t>BOOK</t>
        </is>
      </c>
      <c r="BE1222" t="inlineStr">
        <is>
          <t>30001000463747</t>
        </is>
      </c>
      <c r="BF1222" t="inlineStr">
        <is>
          <t>893649149</t>
        </is>
      </c>
    </row>
    <row r="1223">
      <c r="A1223" t="inlineStr">
        <is>
          <t>No</t>
        </is>
      </c>
      <c r="B1223" t="inlineStr">
        <is>
          <t>CUHSL</t>
        </is>
      </c>
      <c r="C1223" t="inlineStr">
        <is>
          <t>SHELVES</t>
        </is>
      </c>
      <c r="D1223" t="inlineStr">
        <is>
          <t>WY 108 P964 1954</t>
        </is>
      </c>
      <c r="E1223" t="inlineStr">
        <is>
          <t>0                      WY 0108000P  964         1954</t>
        </is>
      </c>
      <c r="F1223" t="inlineStr">
        <is>
          <t>Progress report on combination services in public health nursing.</t>
        </is>
      </c>
      <c r="H1223" t="inlineStr">
        <is>
          <t>No</t>
        </is>
      </c>
      <c r="I1223" t="inlineStr">
        <is>
          <t>1</t>
        </is>
      </c>
      <c r="J1223" t="inlineStr">
        <is>
          <t>No</t>
        </is>
      </c>
      <c r="K1223" t="inlineStr">
        <is>
          <t>No</t>
        </is>
      </c>
      <c r="L1223" t="inlineStr">
        <is>
          <t>0</t>
        </is>
      </c>
      <c r="N1223" t="inlineStr">
        <is>
          <t>New York : Dept. of Public Health Nursing, National League for Nursing, 1955.</t>
        </is>
      </c>
      <c r="O1223" t="inlineStr">
        <is>
          <t>1954</t>
        </is>
      </c>
      <c r="Q1223" t="inlineStr">
        <is>
          <t>eng</t>
        </is>
      </c>
      <c r="R1223" t="inlineStr">
        <is>
          <t>nyu</t>
        </is>
      </c>
      <c r="T1223" t="inlineStr">
        <is>
          <t xml:space="preserve">WY </t>
        </is>
      </c>
      <c r="U1223" t="n">
        <v>1</v>
      </c>
      <c r="V1223" t="n">
        <v>1</v>
      </c>
      <c r="W1223" t="inlineStr">
        <is>
          <t>1990-09-11</t>
        </is>
      </c>
      <c r="X1223" t="inlineStr">
        <is>
          <t>1990-09-11</t>
        </is>
      </c>
      <c r="Y1223" t="inlineStr">
        <is>
          <t>1987-11-19</t>
        </is>
      </c>
      <c r="Z1223" t="inlineStr">
        <is>
          <t>1987-11-19</t>
        </is>
      </c>
      <c r="AA1223" t="n">
        <v>33</v>
      </c>
      <c r="AB1223" t="n">
        <v>31</v>
      </c>
      <c r="AC1223" t="n">
        <v>37</v>
      </c>
      <c r="AD1223" t="n">
        <v>1</v>
      </c>
      <c r="AE1223" t="n">
        <v>1</v>
      </c>
      <c r="AF1223" t="n">
        <v>1</v>
      </c>
      <c r="AG1223" t="n">
        <v>1</v>
      </c>
      <c r="AH1223" t="n">
        <v>0</v>
      </c>
      <c r="AI1223" t="n">
        <v>0</v>
      </c>
      <c r="AJ1223" t="n">
        <v>0</v>
      </c>
      <c r="AK1223" t="n">
        <v>0</v>
      </c>
      <c r="AL1223" t="n">
        <v>1</v>
      </c>
      <c r="AM1223" t="n">
        <v>1</v>
      </c>
      <c r="AN1223" t="n">
        <v>0</v>
      </c>
      <c r="AO1223" t="n">
        <v>0</v>
      </c>
      <c r="AP1223" t="n">
        <v>0</v>
      </c>
      <c r="AQ1223" t="n">
        <v>0</v>
      </c>
      <c r="AR1223" t="inlineStr">
        <is>
          <t>Yes</t>
        </is>
      </c>
      <c r="AS1223" t="inlineStr">
        <is>
          <t>No</t>
        </is>
      </c>
      <c r="AT1223">
        <f>HYPERLINK("http://catalog.hathitrust.org/Record/002072743","HathiTrust Record")</f>
        <v/>
      </c>
      <c r="AU1223">
        <f>HYPERLINK("https://creighton-primo.hosted.exlibrisgroup.com/primo-explore/search?tab=default_tab&amp;search_scope=EVERYTHING&amp;vid=01CRU&amp;lang=en_US&amp;offset=0&amp;query=any,contains,991001518259702656","Catalog Record")</f>
        <v/>
      </c>
      <c r="AV1223">
        <f>HYPERLINK("http://www.worldcat.org/oclc/1575028","WorldCat Record")</f>
        <v/>
      </c>
      <c r="AW1223" t="inlineStr">
        <is>
          <t>2436781:eng</t>
        </is>
      </c>
      <c r="AX1223" t="inlineStr">
        <is>
          <t>1575028</t>
        </is>
      </c>
      <c r="AY1223" t="inlineStr">
        <is>
          <t>991001518259702656</t>
        </is>
      </c>
      <c r="AZ1223" t="inlineStr">
        <is>
          <t>991001518259702656</t>
        </is>
      </c>
      <c r="BA1223" t="inlineStr">
        <is>
          <t>2264732280002656</t>
        </is>
      </c>
      <c r="BB1223" t="inlineStr">
        <is>
          <t>BOOK</t>
        </is>
      </c>
      <c r="BE1223" t="inlineStr">
        <is>
          <t>30001000600413</t>
        </is>
      </c>
      <c r="BF1223" t="inlineStr">
        <is>
          <t>893274228</t>
        </is>
      </c>
    </row>
    <row r="1224">
      <c r="A1224" t="inlineStr">
        <is>
          <t>No</t>
        </is>
      </c>
      <c r="B1224" t="inlineStr">
        <is>
          <t>CUHSL</t>
        </is>
      </c>
      <c r="C1224" t="inlineStr">
        <is>
          <t>SHELVES</t>
        </is>
      </c>
      <c r="D1224" t="inlineStr">
        <is>
          <t>WY 108 P976 2000</t>
        </is>
      </c>
      <c r="E1224" t="inlineStr">
        <is>
          <t>0                      WY 0108000P  976         2000</t>
        </is>
      </c>
      <c r="F1224" t="inlineStr">
        <is>
          <t>Public health nursing : a partner for healthy populations / Association of State and Territorial Directors of Nursing.</t>
        </is>
      </c>
      <c r="H1224" t="inlineStr">
        <is>
          <t>No</t>
        </is>
      </c>
      <c r="I1224" t="inlineStr">
        <is>
          <t>1</t>
        </is>
      </c>
      <c r="J1224" t="inlineStr">
        <is>
          <t>No</t>
        </is>
      </c>
      <c r="K1224" t="inlineStr">
        <is>
          <t>No</t>
        </is>
      </c>
      <c r="L1224" t="inlineStr">
        <is>
          <t>0</t>
        </is>
      </c>
      <c r="N1224" t="inlineStr">
        <is>
          <t>Washington, DC : American Nurses Association, c2000.</t>
        </is>
      </c>
      <c r="O1224" t="inlineStr">
        <is>
          <t>2000</t>
        </is>
      </c>
      <c r="Q1224" t="inlineStr">
        <is>
          <t>eng</t>
        </is>
      </c>
      <c r="R1224" t="inlineStr">
        <is>
          <t>dcu</t>
        </is>
      </c>
      <c r="S1224" t="inlineStr">
        <is>
          <t>ANA Pub. no. 9912HP 2000</t>
        </is>
      </c>
      <c r="T1224" t="inlineStr">
        <is>
          <t xml:space="preserve">WY </t>
        </is>
      </c>
      <c r="U1224" t="n">
        <v>1</v>
      </c>
      <c r="V1224" t="n">
        <v>1</v>
      </c>
      <c r="W1224" t="inlineStr">
        <is>
          <t>2003-05-27</t>
        </is>
      </c>
      <c r="X1224" t="inlineStr">
        <is>
          <t>2003-05-27</t>
        </is>
      </c>
      <c r="Y1224" t="inlineStr">
        <is>
          <t>2003-05-20</t>
        </is>
      </c>
      <c r="Z1224" t="inlineStr">
        <is>
          <t>2003-05-20</t>
        </is>
      </c>
      <c r="AA1224" t="n">
        <v>153</v>
      </c>
      <c r="AB1224" t="n">
        <v>151</v>
      </c>
      <c r="AC1224" t="n">
        <v>154</v>
      </c>
      <c r="AD1224" t="n">
        <v>1</v>
      </c>
      <c r="AE1224" t="n">
        <v>1</v>
      </c>
      <c r="AF1224" t="n">
        <v>11</v>
      </c>
      <c r="AG1224" t="n">
        <v>12</v>
      </c>
      <c r="AH1224" t="n">
        <v>4</v>
      </c>
      <c r="AI1224" t="n">
        <v>5</v>
      </c>
      <c r="AJ1224" t="n">
        <v>3</v>
      </c>
      <c r="AK1224" t="n">
        <v>3</v>
      </c>
      <c r="AL1224" t="n">
        <v>5</v>
      </c>
      <c r="AM1224" t="n">
        <v>6</v>
      </c>
      <c r="AN1224" t="n">
        <v>0</v>
      </c>
      <c r="AO1224" t="n">
        <v>0</v>
      </c>
      <c r="AP1224" t="n">
        <v>0</v>
      </c>
      <c r="AQ1224" t="n">
        <v>0</v>
      </c>
      <c r="AR1224" t="inlineStr">
        <is>
          <t>No</t>
        </is>
      </c>
      <c r="AS1224" t="inlineStr">
        <is>
          <t>Yes</t>
        </is>
      </c>
      <c r="AT1224">
        <f>HYPERLINK("http://catalog.hathitrust.org/Record/003503175","HathiTrust Record")</f>
        <v/>
      </c>
      <c r="AU1224">
        <f>HYPERLINK("https://creighton-primo.hosted.exlibrisgroup.com/primo-explore/search?tab=default_tab&amp;search_scope=EVERYTHING&amp;vid=01CRU&amp;lang=en_US&amp;offset=0&amp;query=any,contains,991000347249702656","Catalog Record")</f>
        <v/>
      </c>
      <c r="AV1224">
        <f>HYPERLINK("http://www.worldcat.org/oclc/43286706","WorldCat Record")</f>
        <v/>
      </c>
      <c r="AW1224" t="inlineStr">
        <is>
          <t>475896588:eng</t>
        </is>
      </c>
      <c r="AX1224" t="inlineStr">
        <is>
          <t>43286706</t>
        </is>
      </c>
      <c r="AY1224" t="inlineStr">
        <is>
          <t>991000347249702656</t>
        </is>
      </c>
      <c r="AZ1224" t="inlineStr">
        <is>
          <t>991000347249702656</t>
        </is>
      </c>
      <c r="BA1224" t="inlineStr">
        <is>
          <t>2258335710002656</t>
        </is>
      </c>
      <c r="BB1224" t="inlineStr">
        <is>
          <t>BOOK</t>
        </is>
      </c>
      <c r="BE1224" t="inlineStr">
        <is>
          <t>30001004189447</t>
        </is>
      </c>
      <c r="BF1224" t="inlineStr">
        <is>
          <t>893728316</t>
        </is>
      </c>
    </row>
    <row r="1225">
      <c r="A1225" t="inlineStr">
        <is>
          <t>No</t>
        </is>
      </c>
      <c r="B1225" t="inlineStr">
        <is>
          <t>CUHSL</t>
        </is>
      </c>
      <c r="C1225" t="inlineStr">
        <is>
          <t>SHELVES</t>
        </is>
      </c>
      <c r="D1225" t="inlineStr">
        <is>
          <t>WY 108 R287 1991</t>
        </is>
      </c>
      <c r="E1225" t="inlineStr">
        <is>
          <t>0                      WY 0108000R  287         1991</t>
        </is>
      </c>
      <c r="F1225" t="inlineStr">
        <is>
          <t>Readings in community health nursing / edited by Barbara Walton Spradley.</t>
        </is>
      </c>
      <c r="H1225" t="inlineStr">
        <is>
          <t>No</t>
        </is>
      </c>
      <c r="I1225" t="inlineStr">
        <is>
          <t>1</t>
        </is>
      </c>
      <c r="J1225" t="inlineStr">
        <is>
          <t>No</t>
        </is>
      </c>
      <c r="K1225" t="inlineStr">
        <is>
          <t>No</t>
        </is>
      </c>
      <c r="L1225" t="inlineStr">
        <is>
          <t>0</t>
        </is>
      </c>
      <c r="N1225" t="inlineStr">
        <is>
          <t>Philadelphia : Lippincott, c1991.</t>
        </is>
      </c>
      <c r="O1225" t="inlineStr">
        <is>
          <t>1991</t>
        </is>
      </c>
      <c r="P1225" t="inlineStr">
        <is>
          <t>4th ed.</t>
        </is>
      </c>
      <c r="Q1225" t="inlineStr">
        <is>
          <t>eng</t>
        </is>
      </c>
      <c r="R1225" t="inlineStr">
        <is>
          <t>xxu</t>
        </is>
      </c>
      <c r="T1225" t="inlineStr">
        <is>
          <t xml:space="preserve">WY </t>
        </is>
      </c>
      <c r="U1225" t="n">
        <v>8</v>
      </c>
      <c r="V1225" t="n">
        <v>8</v>
      </c>
      <c r="W1225" t="inlineStr">
        <is>
          <t>2001-09-02</t>
        </is>
      </c>
      <c r="X1225" t="inlineStr">
        <is>
          <t>2001-09-02</t>
        </is>
      </c>
      <c r="Y1225" t="inlineStr">
        <is>
          <t>1991-04-26</t>
        </is>
      </c>
      <c r="Z1225" t="inlineStr">
        <is>
          <t>1991-04-26</t>
        </is>
      </c>
      <c r="AA1225" t="n">
        <v>250</v>
      </c>
      <c r="AB1225" t="n">
        <v>185</v>
      </c>
      <c r="AC1225" t="n">
        <v>381</v>
      </c>
      <c r="AD1225" t="n">
        <v>2</v>
      </c>
      <c r="AE1225" t="n">
        <v>4</v>
      </c>
      <c r="AF1225" t="n">
        <v>8</v>
      </c>
      <c r="AG1225" t="n">
        <v>14</v>
      </c>
      <c r="AH1225" t="n">
        <v>5</v>
      </c>
      <c r="AI1225" t="n">
        <v>7</v>
      </c>
      <c r="AJ1225" t="n">
        <v>1</v>
      </c>
      <c r="AK1225" t="n">
        <v>2</v>
      </c>
      <c r="AL1225" t="n">
        <v>5</v>
      </c>
      <c r="AM1225" t="n">
        <v>7</v>
      </c>
      <c r="AN1225" t="n">
        <v>1</v>
      </c>
      <c r="AO1225" t="n">
        <v>2</v>
      </c>
      <c r="AP1225" t="n">
        <v>0</v>
      </c>
      <c r="AQ1225" t="n">
        <v>0</v>
      </c>
      <c r="AR1225" t="inlineStr">
        <is>
          <t>No</t>
        </is>
      </c>
      <c r="AS1225" t="inlineStr">
        <is>
          <t>Yes</t>
        </is>
      </c>
      <c r="AT1225">
        <f>HYPERLINK("http://catalog.hathitrust.org/Record/004520244","HathiTrust Record")</f>
        <v/>
      </c>
      <c r="AU1225">
        <f>HYPERLINK("https://creighton-primo.hosted.exlibrisgroup.com/primo-explore/search?tab=default_tab&amp;search_scope=EVERYTHING&amp;vid=01CRU&amp;lang=en_US&amp;offset=0&amp;query=any,contains,991000934669702656","Catalog Record")</f>
        <v/>
      </c>
      <c r="AV1225">
        <f>HYPERLINK("http://www.worldcat.org/oclc/22910569","WorldCat Record")</f>
        <v/>
      </c>
      <c r="AW1225" t="inlineStr">
        <is>
          <t>3901065116:eng</t>
        </is>
      </c>
      <c r="AX1225" t="inlineStr">
        <is>
          <t>22910569</t>
        </is>
      </c>
      <c r="AY1225" t="inlineStr">
        <is>
          <t>991000934669702656</t>
        </is>
      </c>
      <c r="AZ1225" t="inlineStr">
        <is>
          <t>991000934669702656</t>
        </is>
      </c>
      <c r="BA1225" t="inlineStr">
        <is>
          <t>2271582300002656</t>
        </is>
      </c>
      <c r="BB1225" t="inlineStr">
        <is>
          <t>BOOK</t>
        </is>
      </c>
      <c r="BD1225" t="inlineStr">
        <is>
          <t>9780397548569</t>
        </is>
      </c>
      <c r="BE1225" t="inlineStr">
        <is>
          <t>30001002190454</t>
        </is>
      </c>
      <c r="BF1225" t="inlineStr">
        <is>
          <t>893557425</t>
        </is>
      </c>
    </row>
    <row r="1226">
      <c r="A1226" t="inlineStr">
        <is>
          <t>No</t>
        </is>
      </c>
      <c r="B1226" t="inlineStr">
        <is>
          <t>CUHSL</t>
        </is>
      </c>
      <c r="C1226" t="inlineStr">
        <is>
          <t>SHELVES</t>
        </is>
      </c>
      <c r="D1226" t="inlineStr">
        <is>
          <t>WY 108 R948 1991</t>
        </is>
      </c>
      <c r="E1226" t="inlineStr">
        <is>
          <t>0                      WY 0108000R  948         1991</t>
        </is>
      </c>
      <c r="F1226" t="inlineStr">
        <is>
          <t>Rural nursing / edited by Angeline Bushy.</t>
        </is>
      </c>
      <c r="G1226" t="inlineStr">
        <is>
          <t>V. 1</t>
        </is>
      </c>
      <c r="H1226" t="inlineStr">
        <is>
          <t>Yes</t>
        </is>
      </c>
      <c r="I1226" t="inlineStr">
        <is>
          <t>1</t>
        </is>
      </c>
      <c r="J1226" t="inlineStr">
        <is>
          <t>No</t>
        </is>
      </c>
      <c r="K1226" t="inlineStr">
        <is>
          <t>No</t>
        </is>
      </c>
      <c r="L1226" t="inlineStr">
        <is>
          <t>0</t>
        </is>
      </c>
      <c r="N1226" t="inlineStr">
        <is>
          <t>Newbury Park, Calif. : Sage Publications, c1991.</t>
        </is>
      </c>
      <c r="O1226" t="inlineStr">
        <is>
          <t>1991</t>
        </is>
      </c>
      <c r="Q1226" t="inlineStr">
        <is>
          <t>eng</t>
        </is>
      </c>
      <c r="R1226" t="inlineStr">
        <is>
          <t>cau</t>
        </is>
      </c>
      <c r="T1226" t="inlineStr">
        <is>
          <t xml:space="preserve">WY </t>
        </is>
      </c>
      <c r="U1226" t="n">
        <v>16</v>
      </c>
      <c r="V1226" t="n">
        <v>40</v>
      </c>
      <c r="W1226" t="inlineStr">
        <is>
          <t>2001-09-24</t>
        </is>
      </c>
      <c r="X1226" t="inlineStr">
        <is>
          <t>2001-09-24</t>
        </is>
      </c>
      <c r="Y1226" t="inlineStr">
        <is>
          <t>1991-07-24</t>
        </is>
      </c>
      <c r="Z1226" t="inlineStr">
        <is>
          <t>1991-07-24</t>
        </is>
      </c>
      <c r="AA1226" t="n">
        <v>240</v>
      </c>
      <c r="AB1226" t="n">
        <v>195</v>
      </c>
      <c r="AC1226" t="n">
        <v>199</v>
      </c>
      <c r="AD1226" t="n">
        <v>3</v>
      </c>
      <c r="AE1226" t="n">
        <v>3</v>
      </c>
      <c r="AF1226" t="n">
        <v>7</v>
      </c>
      <c r="AG1226" t="n">
        <v>7</v>
      </c>
      <c r="AH1226" t="n">
        <v>2</v>
      </c>
      <c r="AI1226" t="n">
        <v>2</v>
      </c>
      <c r="AJ1226" t="n">
        <v>2</v>
      </c>
      <c r="AK1226" t="n">
        <v>2</v>
      </c>
      <c r="AL1226" t="n">
        <v>4</v>
      </c>
      <c r="AM1226" t="n">
        <v>4</v>
      </c>
      <c r="AN1226" t="n">
        <v>1</v>
      </c>
      <c r="AO1226" t="n">
        <v>1</v>
      </c>
      <c r="AP1226" t="n">
        <v>0</v>
      </c>
      <c r="AQ1226" t="n">
        <v>0</v>
      </c>
      <c r="AR1226" t="inlineStr">
        <is>
          <t>No</t>
        </is>
      </c>
      <c r="AS1226" t="inlineStr">
        <is>
          <t>Yes</t>
        </is>
      </c>
      <c r="AT1226">
        <f>HYPERLINK("http://catalog.hathitrust.org/Record/002471533","HathiTrust Record")</f>
        <v/>
      </c>
      <c r="AU1226">
        <f>HYPERLINK("https://creighton-primo.hosted.exlibrisgroup.com/primo-explore/search?tab=default_tab&amp;search_scope=EVERYTHING&amp;vid=01CRU&amp;lang=en_US&amp;offset=0&amp;query=any,contains,991000942289702656","Catalog Record")</f>
        <v/>
      </c>
      <c r="AV1226">
        <f>HYPERLINK("http://www.worldcat.org/oclc/23014655","WorldCat Record")</f>
        <v/>
      </c>
      <c r="AW1226" t="inlineStr">
        <is>
          <t>9463351477:eng</t>
        </is>
      </c>
      <c r="AX1226" t="inlineStr">
        <is>
          <t>23014655</t>
        </is>
      </c>
      <c r="AY1226" t="inlineStr">
        <is>
          <t>991000942289702656</t>
        </is>
      </c>
      <c r="AZ1226" t="inlineStr">
        <is>
          <t>991000942289702656</t>
        </is>
      </c>
      <c r="BA1226" t="inlineStr">
        <is>
          <t>2266051710002656</t>
        </is>
      </c>
      <c r="BB1226" t="inlineStr">
        <is>
          <t>BOOK</t>
        </is>
      </c>
      <c r="BD1226" t="inlineStr">
        <is>
          <t>9780803938359</t>
        </is>
      </c>
      <c r="BE1226" t="inlineStr">
        <is>
          <t>30001002192856</t>
        </is>
      </c>
      <c r="BF1226" t="inlineStr">
        <is>
          <t>893148728</t>
        </is>
      </c>
    </row>
    <row r="1227">
      <c r="A1227" t="inlineStr">
        <is>
          <t>No</t>
        </is>
      </c>
      <c r="B1227" t="inlineStr">
        <is>
          <t>CUHSL</t>
        </is>
      </c>
      <c r="C1227" t="inlineStr">
        <is>
          <t>SHELVES</t>
        </is>
      </c>
      <c r="D1227" t="inlineStr">
        <is>
          <t>WY 108 R948 1991</t>
        </is>
      </c>
      <c r="E1227" t="inlineStr">
        <is>
          <t>0                      WY 0108000R  948         1991</t>
        </is>
      </c>
      <c r="F1227" t="inlineStr">
        <is>
          <t>Rural nursing / edited by Angeline Bushy.</t>
        </is>
      </c>
      <c r="G1227" t="inlineStr">
        <is>
          <t>V. 2</t>
        </is>
      </c>
      <c r="H1227" t="inlineStr">
        <is>
          <t>Yes</t>
        </is>
      </c>
      <c r="I1227" t="inlineStr">
        <is>
          <t>1</t>
        </is>
      </c>
      <c r="J1227" t="inlineStr">
        <is>
          <t>No</t>
        </is>
      </c>
      <c r="K1227" t="inlineStr">
        <is>
          <t>No</t>
        </is>
      </c>
      <c r="L1227" t="inlineStr">
        <is>
          <t>0</t>
        </is>
      </c>
      <c r="N1227" t="inlineStr">
        <is>
          <t>Newbury Park, Calif. : Sage Publications, c1991.</t>
        </is>
      </c>
      <c r="O1227" t="inlineStr">
        <is>
          <t>1991</t>
        </is>
      </c>
      <c r="Q1227" t="inlineStr">
        <is>
          <t>eng</t>
        </is>
      </c>
      <c r="R1227" t="inlineStr">
        <is>
          <t>cau</t>
        </is>
      </c>
      <c r="T1227" t="inlineStr">
        <is>
          <t xml:space="preserve">WY </t>
        </is>
      </c>
      <c r="U1227" t="n">
        <v>24</v>
      </c>
      <c r="V1227" t="n">
        <v>40</v>
      </c>
      <c r="W1227" t="inlineStr">
        <is>
          <t>2001-09-24</t>
        </is>
      </c>
      <c r="X1227" t="inlineStr">
        <is>
          <t>2001-09-24</t>
        </is>
      </c>
      <c r="Y1227" t="inlineStr">
        <is>
          <t>1991-07-24</t>
        </is>
      </c>
      <c r="Z1227" t="inlineStr">
        <is>
          <t>1991-07-24</t>
        </is>
      </c>
      <c r="AA1227" t="n">
        <v>240</v>
      </c>
      <c r="AB1227" t="n">
        <v>195</v>
      </c>
      <c r="AC1227" t="n">
        <v>199</v>
      </c>
      <c r="AD1227" t="n">
        <v>3</v>
      </c>
      <c r="AE1227" t="n">
        <v>3</v>
      </c>
      <c r="AF1227" t="n">
        <v>7</v>
      </c>
      <c r="AG1227" t="n">
        <v>7</v>
      </c>
      <c r="AH1227" t="n">
        <v>2</v>
      </c>
      <c r="AI1227" t="n">
        <v>2</v>
      </c>
      <c r="AJ1227" t="n">
        <v>2</v>
      </c>
      <c r="AK1227" t="n">
        <v>2</v>
      </c>
      <c r="AL1227" t="n">
        <v>4</v>
      </c>
      <c r="AM1227" t="n">
        <v>4</v>
      </c>
      <c r="AN1227" t="n">
        <v>1</v>
      </c>
      <c r="AO1227" t="n">
        <v>1</v>
      </c>
      <c r="AP1227" t="n">
        <v>0</v>
      </c>
      <c r="AQ1227" t="n">
        <v>0</v>
      </c>
      <c r="AR1227" t="inlineStr">
        <is>
          <t>No</t>
        </is>
      </c>
      <c r="AS1227" t="inlineStr">
        <is>
          <t>Yes</t>
        </is>
      </c>
      <c r="AT1227">
        <f>HYPERLINK("http://catalog.hathitrust.org/Record/002471533","HathiTrust Record")</f>
        <v/>
      </c>
      <c r="AU1227">
        <f>HYPERLINK("https://creighton-primo.hosted.exlibrisgroup.com/primo-explore/search?tab=default_tab&amp;search_scope=EVERYTHING&amp;vid=01CRU&amp;lang=en_US&amp;offset=0&amp;query=any,contains,991000942289702656","Catalog Record")</f>
        <v/>
      </c>
      <c r="AV1227">
        <f>HYPERLINK("http://www.worldcat.org/oclc/23014655","WorldCat Record")</f>
        <v/>
      </c>
      <c r="AW1227" t="inlineStr">
        <is>
          <t>9463351477:eng</t>
        </is>
      </c>
      <c r="AX1227" t="inlineStr">
        <is>
          <t>23014655</t>
        </is>
      </c>
      <c r="AY1227" t="inlineStr">
        <is>
          <t>991000942289702656</t>
        </is>
      </c>
      <c r="AZ1227" t="inlineStr">
        <is>
          <t>991000942289702656</t>
        </is>
      </c>
      <c r="BA1227" t="inlineStr">
        <is>
          <t>2266051710002656</t>
        </is>
      </c>
      <c r="BB1227" t="inlineStr">
        <is>
          <t>BOOK</t>
        </is>
      </c>
      <c r="BD1227" t="inlineStr">
        <is>
          <t>9780803938359</t>
        </is>
      </c>
      <c r="BE1227" t="inlineStr">
        <is>
          <t>30001002192872</t>
        </is>
      </c>
      <c r="BF1227" t="inlineStr">
        <is>
          <t>893121041</t>
        </is>
      </c>
    </row>
    <row r="1228">
      <c r="A1228" t="inlineStr">
        <is>
          <t>No</t>
        </is>
      </c>
      <c r="B1228" t="inlineStr">
        <is>
          <t>CUHSL</t>
        </is>
      </c>
      <c r="C1228" t="inlineStr">
        <is>
          <t>SHELVES</t>
        </is>
      </c>
      <c r="D1228" t="inlineStr">
        <is>
          <t>WY 108 S797 1976</t>
        </is>
      </c>
      <c r="E1228" t="inlineStr">
        <is>
          <t>0                      WY 0108000S  797         1976</t>
        </is>
      </c>
      <c r="F1228" t="inlineStr">
        <is>
          <t>State of the art in management information systems for public health/community health agencies : report of the conference.</t>
        </is>
      </c>
      <c r="H1228" t="inlineStr">
        <is>
          <t>No</t>
        </is>
      </c>
      <c r="I1228" t="inlineStr">
        <is>
          <t>1</t>
        </is>
      </c>
      <c r="J1228" t="inlineStr">
        <is>
          <t>No</t>
        </is>
      </c>
      <c r="K1228" t="inlineStr">
        <is>
          <t>No</t>
        </is>
      </c>
      <c r="L1228" t="inlineStr">
        <is>
          <t>0</t>
        </is>
      </c>
      <c r="N1228" t="inlineStr">
        <is>
          <t>New York : National League for Nursing, c1976.</t>
        </is>
      </c>
      <c r="O1228" t="inlineStr">
        <is>
          <t>1976</t>
        </is>
      </c>
      <c r="Q1228" t="inlineStr">
        <is>
          <t>eng</t>
        </is>
      </c>
      <c r="R1228" t="inlineStr">
        <is>
          <t>nyu</t>
        </is>
      </c>
      <c r="S1228" t="inlineStr">
        <is>
          <t>NLN pub. no. 21-1637</t>
        </is>
      </c>
      <c r="T1228" t="inlineStr">
        <is>
          <t xml:space="preserve">WY </t>
        </is>
      </c>
      <c r="U1228" t="n">
        <v>1</v>
      </c>
      <c r="V1228" t="n">
        <v>1</v>
      </c>
      <c r="W1228" t="inlineStr">
        <is>
          <t>1990-08-13</t>
        </is>
      </c>
      <c r="X1228" t="inlineStr">
        <is>
          <t>1990-08-13</t>
        </is>
      </c>
      <c r="Y1228" t="inlineStr">
        <is>
          <t>1987-11-04</t>
        </is>
      </c>
      <c r="Z1228" t="inlineStr">
        <is>
          <t>1987-11-04</t>
        </is>
      </c>
      <c r="AA1228" t="n">
        <v>87</v>
      </c>
      <c r="AB1228" t="n">
        <v>79</v>
      </c>
      <c r="AC1228" t="n">
        <v>81</v>
      </c>
      <c r="AD1228" t="n">
        <v>3</v>
      </c>
      <c r="AE1228" t="n">
        <v>3</v>
      </c>
      <c r="AF1228" t="n">
        <v>4</v>
      </c>
      <c r="AG1228" t="n">
        <v>4</v>
      </c>
      <c r="AH1228" t="n">
        <v>0</v>
      </c>
      <c r="AI1228" t="n">
        <v>0</v>
      </c>
      <c r="AJ1228" t="n">
        <v>1</v>
      </c>
      <c r="AK1228" t="n">
        <v>1</v>
      </c>
      <c r="AL1228" t="n">
        <v>3</v>
      </c>
      <c r="AM1228" t="n">
        <v>3</v>
      </c>
      <c r="AN1228" t="n">
        <v>1</v>
      </c>
      <c r="AO1228" t="n">
        <v>1</v>
      </c>
      <c r="AP1228" t="n">
        <v>0</v>
      </c>
      <c r="AQ1228" t="n">
        <v>0</v>
      </c>
      <c r="AR1228" t="inlineStr">
        <is>
          <t>No</t>
        </is>
      </c>
      <c r="AS1228" t="inlineStr">
        <is>
          <t>Yes</t>
        </is>
      </c>
      <c r="AT1228">
        <f>HYPERLINK("http://catalog.hathitrust.org/Record/000295256","HathiTrust Record")</f>
        <v/>
      </c>
      <c r="AU1228">
        <f>HYPERLINK("https://creighton-primo.hosted.exlibrisgroup.com/primo-explore/search?tab=default_tab&amp;search_scope=EVERYTHING&amp;vid=01CRU&amp;lang=en_US&amp;offset=0&amp;query=any,contains,991001386409702656","Catalog Record")</f>
        <v/>
      </c>
      <c r="AV1228">
        <f>HYPERLINK("http://www.worldcat.org/oclc/14384918","WorldCat Record")</f>
        <v/>
      </c>
      <c r="AW1228" t="inlineStr">
        <is>
          <t>3855497310:eng</t>
        </is>
      </c>
      <c r="AX1228" t="inlineStr">
        <is>
          <t>14384918</t>
        </is>
      </c>
      <c r="AY1228" t="inlineStr">
        <is>
          <t>991001386409702656</t>
        </is>
      </c>
      <c r="AZ1228" t="inlineStr">
        <is>
          <t>991001386409702656</t>
        </is>
      </c>
      <c r="BA1228" t="inlineStr">
        <is>
          <t>2262689850002656</t>
        </is>
      </c>
      <c r="BB1228" t="inlineStr">
        <is>
          <t>BOOK</t>
        </is>
      </c>
      <c r="BE1228" t="inlineStr">
        <is>
          <t>30001000463846</t>
        </is>
      </c>
      <c r="BF1228" t="inlineStr">
        <is>
          <t>893743762</t>
        </is>
      </c>
    </row>
    <row r="1229">
      <c r="A1229" t="inlineStr">
        <is>
          <t>No</t>
        </is>
      </c>
      <c r="B1229" t="inlineStr">
        <is>
          <t>CUHSL</t>
        </is>
      </c>
      <c r="C1229" t="inlineStr">
        <is>
          <t>SHELVES</t>
        </is>
      </c>
      <c r="D1229" t="inlineStr">
        <is>
          <t>WY 108 W476n 1963</t>
        </is>
      </c>
      <c r="E1229" t="inlineStr">
        <is>
          <t>0                      WY 0108000W  476n        1963</t>
        </is>
      </c>
      <c r="F1229" t="inlineStr">
        <is>
          <t>Nursing service without walls : a call to action to all communities coast to coast / by Edith Wensley.</t>
        </is>
      </c>
      <c r="H1229" t="inlineStr">
        <is>
          <t>No</t>
        </is>
      </c>
      <c r="I1229" t="inlineStr">
        <is>
          <t>1</t>
        </is>
      </c>
      <c r="J1229" t="inlineStr">
        <is>
          <t>No</t>
        </is>
      </c>
      <c r="K1229" t="inlineStr">
        <is>
          <t>No</t>
        </is>
      </c>
      <c r="L1229" t="inlineStr">
        <is>
          <t>0</t>
        </is>
      </c>
      <c r="M1229" t="inlineStr">
        <is>
          <t>Wensley, Edith Elizabeth, 1906-</t>
        </is>
      </c>
      <c r="N1229" t="inlineStr">
        <is>
          <t>New York : Dept. of Hospital Nursing and Dept. of Public Health Nursing, National League for Nursing, c1963.</t>
        </is>
      </c>
      <c r="O1229" t="inlineStr">
        <is>
          <t>1963</t>
        </is>
      </c>
      <c r="Q1229" t="inlineStr">
        <is>
          <t>eng</t>
        </is>
      </c>
      <c r="R1229" t="inlineStr">
        <is>
          <t xml:space="preserve">xx </t>
        </is>
      </c>
      <c r="S1229" t="inlineStr">
        <is>
          <t>NLN pub. no. 11-1058</t>
        </is>
      </c>
      <c r="T1229" t="inlineStr">
        <is>
          <t xml:space="preserve">WY </t>
        </is>
      </c>
      <c r="U1229" t="n">
        <v>1</v>
      </c>
      <c r="V1229" t="n">
        <v>1</v>
      </c>
      <c r="W1229" t="inlineStr">
        <is>
          <t>1990-04-20</t>
        </is>
      </c>
      <c r="X1229" t="inlineStr">
        <is>
          <t>1990-04-20</t>
        </is>
      </c>
      <c r="Y1229" t="inlineStr">
        <is>
          <t>1987-10-13</t>
        </is>
      </c>
      <c r="Z1229" t="inlineStr">
        <is>
          <t>1987-10-13</t>
        </is>
      </c>
      <c r="AA1229" t="n">
        <v>83</v>
      </c>
      <c r="AB1229" t="n">
        <v>74</v>
      </c>
      <c r="AC1229" t="n">
        <v>81</v>
      </c>
      <c r="AD1229" t="n">
        <v>1</v>
      </c>
      <c r="AE1229" t="n">
        <v>1</v>
      </c>
      <c r="AF1229" t="n">
        <v>3</v>
      </c>
      <c r="AG1229" t="n">
        <v>3</v>
      </c>
      <c r="AH1229" t="n">
        <v>0</v>
      </c>
      <c r="AI1229" t="n">
        <v>0</v>
      </c>
      <c r="AJ1229" t="n">
        <v>0</v>
      </c>
      <c r="AK1229" t="n">
        <v>0</v>
      </c>
      <c r="AL1229" t="n">
        <v>3</v>
      </c>
      <c r="AM1229" t="n">
        <v>3</v>
      </c>
      <c r="AN1229" t="n">
        <v>0</v>
      </c>
      <c r="AO1229" t="n">
        <v>0</v>
      </c>
      <c r="AP1229" t="n">
        <v>0</v>
      </c>
      <c r="AQ1229" t="n">
        <v>0</v>
      </c>
      <c r="AR1229" t="inlineStr">
        <is>
          <t>Yes</t>
        </is>
      </c>
      <c r="AS1229" t="inlineStr">
        <is>
          <t>No</t>
        </is>
      </c>
      <c r="AT1229">
        <f>HYPERLINK("http://catalog.hathitrust.org/Record/002072787","HathiTrust Record")</f>
        <v/>
      </c>
      <c r="AU1229">
        <f>HYPERLINK("https://creighton-primo.hosted.exlibrisgroup.com/primo-explore/search?tab=default_tab&amp;search_scope=EVERYTHING&amp;vid=01CRU&amp;lang=en_US&amp;offset=0&amp;query=any,contains,991001360859702656","Catalog Record")</f>
        <v/>
      </c>
      <c r="AV1229">
        <f>HYPERLINK("http://www.worldcat.org/oclc/2167576","WorldCat Record")</f>
        <v/>
      </c>
      <c r="AW1229" t="inlineStr">
        <is>
          <t>4088454:eng</t>
        </is>
      </c>
      <c r="AX1229" t="inlineStr">
        <is>
          <t>2167576</t>
        </is>
      </c>
      <c r="AY1229" t="inlineStr">
        <is>
          <t>991001360859702656</t>
        </is>
      </c>
      <c r="AZ1229" t="inlineStr">
        <is>
          <t>991001360859702656</t>
        </is>
      </c>
      <c r="BA1229" t="inlineStr">
        <is>
          <t>2270658890002656</t>
        </is>
      </c>
      <c r="BB1229" t="inlineStr">
        <is>
          <t>BOOK</t>
        </is>
      </c>
      <c r="BE1229" t="inlineStr">
        <is>
          <t>30001000460636</t>
        </is>
      </c>
      <c r="BF1229" t="inlineStr">
        <is>
          <t>893727506</t>
        </is>
      </c>
    </row>
    <row r="1230">
      <c r="A1230" t="inlineStr">
        <is>
          <t>No</t>
        </is>
      </c>
      <c r="B1230" t="inlineStr">
        <is>
          <t>CUHSL</t>
        </is>
      </c>
      <c r="C1230" t="inlineStr">
        <is>
          <t>SHELVES</t>
        </is>
      </c>
      <c r="D1230" t="inlineStr">
        <is>
          <t>WY 113 T198s 1983</t>
        </is>
      </c>
      <c r="E1230" t="inlineStr">
        <is>
          <t>0                      WY 0113000T  198s        1983</t>
        </is>
      </c>
      <c r="F1230" t="inlineStr">
        <is>
          <t>Standards of school nursing practice.</t>
        </is>
      </c>
      <c r="H1230" t="inlineStr">
        <is>
          <t>No</t>
        </is>
      </c>
      <c r="I1230" t="inlineStr">
        <is>
          <t>1</t>
        </is>
      </c>
      <c r="J1230" t="inlineStr">
        <is>
          <t>No</t>
        </is>
      </c>
      <c r="K1230" t="inlineStr">
        <is>
          <t>No</t>
        </is>
      </c>
      <c r="L1230" t="inlineStr">
        <is>
          <t>0</t>
        </is>
      </c>
      <c r="M1230" t="inlineStr">
        <is>
          <t>Task Force on Standards of School Nursing Practice (U.S.)</t>
        </is>
      </c>
      <c r="N1230" t="inlineStr">
        <is>
          <t>Kansas City, Mo. (2420 Pershing Rd., Kansas City, Mo. 64108) : American Nurses' Association, c1983.</t>
        </is>
      </c>
      <c r="O1230" t="inlineStr">
        <is>
          <t>1983</t>
        </is>
      </c>
      <c r="Q1230" t="inlineStr">
        <is>
          <t>eng</t>
        </is>
      </c>
      <c r="R1230" t="inlineStr">
        <is>
          <t>xxu</t>
        </is>
      </c>
      <c r="S1230" t="inlineStr">
        <is>
          <t>ANA pub ; no. NP-66</t>
        </is>
      </c>
      <c r="T1230" t="inlineStr">
        <is>
          <t xml:space="preserve">WY </t>
        </is>
      </c>
      <c r="U1230" t="n">
        <v>4</v>
      </c>
      <c r="V1230" t="n">
        <v>4</v>
      </c>
      <c r="W1230" t="inlineStr">
        <is>
          <t>2004-09-09</t>
        </is>
      </c>
      <c r="X1230" t="inlineStr">
        <is>
          <t>2004-09-09</t>
        </is>
      </c>
      <c r="Y1230" t="inlineStr">
        <is>
          <t>1987-12-10</t>
        </is>
      </c>
      <c r="Z1230" t="inlineStr">
        <is>
          <t>1987-12-10</t>
        </is>
      </c>
      <c r="AA1230" t="n">
        <v>162</v>
      </c>
      <c r="AB1230" t="n">
        <v>149</v>
      </c>
      <c r="AC1230" t="n">
        <v>160</v>
      </c>
      <c r="AD1230" t="n">
        <v>1</v>
      </c>
      <c r="AE1230" t="n">
        <v>1</v>
      </c>
      <c r="AF1230" t="n">
        <v>8</v>
      </c>
      <c r="AG1230" t="n">
        <v>8</v>
      </c>
      <c r="AH1230" t="n">
        <v>2</v>
      </c>
      <c r="AI1230" t="n">
        <v>2</v>
      </c>
      <c r="AJ1230" t="n">
        <v>2</v>
      </c>
      <c r="AK1230" t="n">
        <v>2</v>
      </c>
      <c r="AL1230" t="n">
        <v>4</v>
      </c>
      <c r="AM1230" t="n">
        <v>4</v>
      </c>
      <c r="AN1230" t="n">
        <v>0</v>
      </c>
      <c r="AO1230" t="n">
        <v>0</v>
      </c>
      <c r="AP1230" t="n">
        <v>0</v>
      </c>
      <c r="AQ1230" t="n">
        <v>0</v>
      </c>
      <c r="AR1230" t="inlineStr">
        <is>
          <t>No</t>
        </is>
      </c>
      <c r="AS1230" t="inlineStr">
        <is>
          <t>Yes</t>
        </is>
      </c>
      <c r="AT1230">
        <f>HYPERLINK("http://catalog.hathitrust.org/Record/000325129","HathiTrust Record")</f>
        <v/>
      </c>
      <c r="AU1230">
        <f>HYPERLINK("https://creighton-primo.hosted.exlibrisgroup.com/primo-explore/search?tab=default_tab&amp;search_scope=EVERYTHING&amp;vid=01CRU&amp;lang=en_US&amp;offset=0&amp;query=any,contains,991001518989702656","Catalog Record")</f>
        <v/>
      </c>
      <c r="AV1230">
        <f>HYPERLINK("http://www.worldcat.org/oclc/20754788","WorldCat Record")</f>
        <v/>
      </c>
      <c r="AW1230" t="inlineStr">
        <is>
          <t>998656:eng</t>
        </is>
      </c>
      <c r="AX1230" t="inlineStr">
        <is>
          <t>20754788</t>
        </is>
      </c>
      <c r="AY1230" t="inlineStr">
        <is>
          <t>991001518989702656</t>
        </is>
      </c>
      <c r="AZ1230" t="inlineStr">
        <is>
          <t>991001518989702656</t>
        </is>
      </c>
      <c r="BA1230" t="inlineStr">
        <is>
          <t>2256809950002656</t>
        </is>
      </c>
      <c r="BB1230" t="inlineStr">
        <is>
          <t>BOOK</t>
        </is>
      </c>
      <c r="BE1230" t="inlineStr">
        <is>
          <t>30001000601932</t>
        </is>
      </c>
      <c r="BF1230" t="inlineStr">
        <is>
          <t>893732134</t>
        </is>
      </c>
    </row>
    <row r="1231">
      <c r="A1231" t="inlineStr">
        <is>
          <t>No</t>
        </is>
      </c>
      <c r="B1231" t="inlineStr">
        <is>
          <t>CUHSL</t>
        </is>
      </c>
      <c r="C1231" t="inlineStr">
        <is>
          <t>SHELVES</t>
        </is>
      </c>
      <c r="D1231" t="inlineStr">
        <is>
          <t>WY 113 W852s 1981</t>
        </is>
      </c>
      <c r="E1231" t="inlineStr">
        <is>
          <t>0                      WY 0113000W  852s        1981</t>
        </is>
      </c>
      <c r="F1231" t="inlineStr">
        <is>
          <t>School nursing : a framework for practice / Susan J. Wold.</t>
        </is>
      </c>
      <c r="H1231" t="inlineStr">
        <is>
          <t>No</t>
        </is>
      </c>
      <c r="I1231" t="inlineStr">
        <is>
          <t>1</t>
        </is>
      </c>
      <c r="J1231" t="inlineStr">
        <is>
          <t>No</t>
        </is>
      </c>
      <c r="K1231" t="inlineStr">
        <is>
          <t>No</t>
        </is>
      </c>
      <c r="L1231" t="inlineStr">
        <is>
          <t>0</t>
        </is>
      </c>
      <c r="M1231" t="inlineStr">
        <is>
          <t>Wold, Susan J.</t>
        </is>
      </c>
      <c r="N1231" t="inlineStr">
        <is>
          <t>St. Louis : Mosby, c1981.</t>
        </is>
      </c>
      <c r="O1231" t="inlineStr">
        <is>
          <t>1981</t>
        </is>
      </c>
      <c r="Q1231" t="inlineStr">
        <is>
          <t>eng</t>
        </is>
      </c>
      <c r="R1231" t="inlineStr">
        <is>
          <t>xxu</t>
        </is>
      </c>
      <c r="T1231" t="inlineStr">
        <is>
          <t xml:space="preserve">WY </t>
        </is>
      </c>
      <c r="U1231" t="n">
        <v>6</v>
      </c>
      <c r="V1231" t="n">
        <v>6</v>
      </c>
      <c r="W1231" t="inlineStr">
        <is>
          <t>2004-09-09</t>
        </is>
      </c>
      <c r="X1231" t="inlineStr">
        <is>
          <t>2004-09-09</t>
        </is>
      </c>
      <c r="Y1231" t="inlineStr">
        <is>
          <t>1987-10-23</t>
        </is>
      </c>
      <c r="Z1231" t="inlineStr">
        <is>
          <t>1987-10-23</t>
        </is>
      </c>
      <c r="AA1231" t="n">
        <v>273</v>
      </c>
      <c r="AB1231" t="n">
        <v>230</v>
      </c>
      <c r="AC1231" t="n">
        <v>242</v>
      </c>
      <c r="AD1231" t="n">
        <v>1</v>
      </c>
      <c r="AE1231" t="n">
        <v>1</v>
      </c>
      <c r="AF1231" t="n">
        <v>7</v>
      </c>
      <c r="AG1231" t="n">
        <v>9</v>
      </c>
      <c r="AH1231" t="n">
        <v>4</v>
      </c>
      <c r="AI1231" t="n">
        <v>6</v>
      </c>
      <c r="AJ1231" t="n">
        <v>1</v>
      </c>
      <c r="AK1231" t="n">
        <v>1</v>
      </c>
      <c r="AL1231" t="n">
        <v>4</v>
      </c>
      <c r="AM1231" t="n">
        <v>4</v>
      </c>
      <c r="AN1231" t="n">
        <v>0</v>
      </c>
      <c r="AO1231" t="n">
        <v>0</v>
      </c>
      <c r="AP1231" t="n">
        <v>0</v>
      </c>
      <c r="AQ1231" t="n">
        <v>0</v>
      </c>
      <c r="AR1231" t="inlineStr">
        <is>
          <t>No</t>
        </is>
      </c>
      <c r="AS1231" t="inlineStr">
        <is>
          <t>Yes</t>
        </is>
      </c>
      <c r="AT1231">
        <f>HYPERLINK("http://catalog.hathitrust.org/Record/007474953","HathiTrust Record")</f>
        <v/>
      </c>
      <c r="AU1231">
        <f>HYPERLINK("https://creighton-primo.hosted.exlibrisgroup.com/primo-explore/search?tab=default_tab&amp;search_scope=EVERYTHING&amp;vid=01CRU&amp;lang=en_US&amp;offset=0&amp;query=any,contains,991000735999702656","Catalog Record")</f>
        <v/>
      </c>
      <c r="AV1231">
        <f>HYPERLINK("http://www.worldcat.org/oclc/7203279","WorldCat Record")</f>
        <v/>
      </c>
      <c r="AW1231" t="inlineStr">
        <is>
          <t>451331:eng</t>
        </is>
      </c>
      <c r="AX1231" t="inlineStr">
        <is>
          <t>7203279</t>
        </is>
      </c>
      <c r="AY1231" t="inlineStr">
        <is>
          <t>991000735999702656</t>
        </is>
      </c>
      <c r="AZ1231" t="inlineStr">
        <is>
          <t>991000735999702656</t>
        </is>
      </c>
      <c r="BA1231" t="inlineStr">
        <is>
          <t>2269616630002656</t>
        </is>
      </c>
      <c r="BB1231" t="inlineStr">
        <is>
          <t>BOOK</t>
        </is>
      </c>
      <c r="BD1231" t="inlineStr">
        <is>
          <t>9780801656118</t>
        </is>
      </c>
      <c r="BE1231" t="inlineStr">
        <is>
          <t>30001000041410</t>
        </is>
      </c>
      <c r="BF1231" t="inlineStr">
        <is>
          <t>893743241</t>
        </is>
      </c>
    </row>
    <row r="1232">
      <c r="A1232" t="inlineStr">
        <is>
          <t>No</t>
        </is>
      </c>
      <c r="B1232" t="inlineStr">
        <is>
          <t>CUHSL</t>
        </is>
      </c>
      <c r="C1232" t="inlineStr">
        <is>
          <t>SHELVES</t>
        </is>
      </c>
      <c r="D1232" t="inlineStr">
        <is>
          <t>WY 115 A5128s 1986</t>
        </is>
      </c>
      <c r="E1232" t="inlineStr">
        <is>
          <t>0                      WY 0115000A  5128s       1986</t>
        </is>
      </c>
      <c r="F1232" t="inlineStr">
        <is>
          <t>Standards of home health nursing practice.</t>
        </is>
      </c>
      <c r="H1232" t="inlineStr">
        <is>
          <t>No</t>
        </is>
      </c>
      <c r="I1232" t="inlineStr">
        <is>
          <t>1</t>
        </is>
      </c>
      <c r="J1232" t="inlineStr">
        <is>
          <t>No</t>
        </is>
      </c>
      <c r="K1232" t="inlineStr">
        <is>
          <t>No</t>
        </is>
      </c>
      <c r="L1232" t="inlineStr">
        <is>
          <t>0</t>
        </is>
      </c>
      <c r="M1232" t="inlineStr">
        <is>
          <t>American Nurses Association. Task Force to Develop Standards of Nursing Practice for Home Health Care.</t>
        </is>
      </c>
      <c r="N1232" t="inlineStr">
        <is>
          <t>Kansas City, Mo. (2420 Pershing Road, Kansas City 64108) : American Nurses' Association, c1986.</t>
        </is>
      </c>
      <c r="O1232" t="inlineStr">
        <is>
          <t>1986</t>
        </is>
      </c>
      <c r="Q1232" t="inlineStr">
        <is>
          <t>eng</t>
        </is>
      </c>
      <c r="R1232" t="inlineStr">
        <is>
          <t>xxu</t>
        </is>
      </c>
      <c r="S1232" t="inlineStr">
        <is>
          <t>ANA pub ; no. CH-14</t>
        </is>
      </c>
      <c r="T1232" t="inlineStr">
        <is>
          <t xml:space="preserve">WY </t>
        </is>
      </c>
      <c r="U1232" t="n">
        <v>4</v>
      </c>
      <c r="V1232" t="n">
        <v>4</v>
      </c>
      <c r="W1232" t="inlineStr">
        <is>
          <t>1990-11-09</t>
        </is>
      </c>
      <c r="X1232" t="inlineStr">
        <is>
          <t>1990-11-09</t>
        </is>
      </c>
      <c r="Y1232" t="inlineStr">
        <is>
          <t>1987-12-10</t>
        </is>
      </c>
      <c r="Z1232" t="inlineStr">
        <is>
          <t>1987-12-10</t>
        </is>
      </c>
      <c r="AA1232" t="n">
        <v>172</v>
      </c>
      <c r="AB1232" t="n">
        <v>153</v>
      </c>
      <c r="AC1232" t="n">
        <v>164</v>
      </c>
      <c r="AD1232" t="n">
        <v>1</v>
      </c>
      <c r="AE1232" t="n">
        <v>1</v>
      </c>
      <c r="AF1232" t="n">
        <v>5</v>
      </c>
      <c r="AG1232" t="n">
        <v>5</v>
      </c>
      <c r="AH1232" t="n">
        <v>1</v>
      </c>
      <c r="AI1232" t="n">
        <v>1</v>
      </c>
      <c r="AJ1232" t="n">
        <v>2</v>
      </c>
      <c r="AK1232" t="n">
        <v>2</v>
      </c>
      <c r="AL1232" t="n">
        <v>2</v>
      </c>
      <c r="AM1232" t="n">
        <v>2</v>
      </c>
      <c r="AN1232" t="n">
        <v>0</v>
      </c>
      <c r="AO1232" t="n">
        <v>0</v>
      </c>
      <c r="AP1232" t="n">
        <v>0</v>
      </c>
      <c r="AQ1232" t="n">
        <v>0</v>
      </c>
      <c r="AR1232" t="inlineStr">
        <is>
          <t>No</t>
        </is>
      </c>
      <c r="AS1232" t="inlineStr">
        <is>
          <t>Yes</t>
        </is>
      </c>
      <c r="AT1232">
        <f>HYPERLINK("http://catalog.hathitrust.org/Record/000807375","HathiTrust Record")</f>
        <v/>
      </c>
      <c r="AU1232">
        <f>HYPERLINK("https://creighton-primo.hosted.exlibrisgroup.com/primo-explore/search?tab=default_tab&amp;search_scope=EVERYTHING&amp;vid=01CRU&amp;lang=en_US&amp;offset=0&amp;query=any,contains,991001519169702656","Catalog Record")</f>
        <v/>
      </c>
      <c r="AV1232">
        <f>HYPERLINK("http://www.worldcat.org/oclc/15016269","WorldCat Record")</f>
        <v/>
      </c>
      <c r="AW1232" t="inlineStr">
        <is>
          <t>8535268:eng</t>
        </is>
      </c>
      <c r="AX1232" t="inlineStr">
        <is>
          <t>15016269</t>
        </is>
      </c>
      <c r="AY1232" t="inlineStr">
        <is>
          <t>991001519169702656</t>
        </is>
      </c>
      <c r="AZ1232" t="inlineStr">
        <is>
          <t>991001519169702656</t>
        </is>
      </c>
      <c r="BA1232" t="inlineStr">
        <is>
          <t>2264178300002656</t>
        </is>
      </c>
      <c r="BB1232" t="inlineStr">
        <is>
          <t>BOOK</t>
        </is>
      </c>
      <c r="BE1232" t="inlineStr">
        <is>
          <t>30001000602039</t>
        </is>
      </c>
      <c r="BF1232" t="inlineStr">
        <is>
          <t>893736676</t>
        </is>
      </c>
    </row>
    <row r="1233">
      <c r="A1233" t="inlineStr">
        <is>
          <t>No</t>
        </is>
      </c>
      <c r="B1233" t="inlineStr">
        <is>
          <t>CUHSL</t>
        </is>
      </c>
      <c r="C1233" t="inlineStr">
        <is>
          <t>SHELVES</t>
        </is>
      </c>
      <c r="D1233" t="inlineStr">
        <is>
          <t>WY 115 B413h 1989</t>
        </is>
      </c>
      <c r="E1233" t="inlineStr">
        <is>
          <t>0                      WY 0115000B  413h        1989</t>
        </is>
      </c>
      <c r="F1233" t="inlineStr">
        <is>
          <t>Home health nursing : nursing diagnoses &amp; care plans / Carol A. Bedrosian.</t>
        </is>
      </c>
      <c r="H1233" t="inlineStr">
        <is>
          <t>No</t>
        </is>
      </c>
      <c r="I1233" t="inlineStr">
        <is>
          <t>1</t>
        </is>
      </c>
      <c r="J1233" t="inlineStr">
        <is>
          <t>No</t>
        </is>
      </c>
      <c r="K1233" t="inlineStr">
        <is>
          <t>No</t>
        </is>
      </c>
      <c r="L1233" t="inlineStr">
        <is>
          <t>0</t>
        </is>
      </c>
      <c r="M1233" t="inlineStr">
        <is>
          <t>Bedrosian, Carol A.</t>
        </is>
      </c>
      <c r="N1233" t="inlineStr">
        <is>
          <t>Norwalk, Conn. : Appleton &amp; Lange, c1989.</t>
        </is>
      </c>
      <c r="O1233" t="inlineStr">
        <is>
          <t>1989</t>
        </is>
      </c>
      <c r="Q1233" t="inlineStr">
        <is>
          <t>eng</t>
        </is>
      </c>
      <c r="R1233" t="inlineStr">
        <is>
          <t>xxu</t>
        </is>
      </c>
      <c r="T1233" t="inlineStr">
        <is>
          <t xml:space="preserve">WY </t>
        </is>
      </c>
      <c r="U1233" t="n">
        <v>15</v>
      </c>
      <c r="V1233" t="n">
        <v>15</v>
      </c>
      <c r="W1233" t="inlineStr">
        <is>
          <t>1992-10-27</t>
        </is>
      </c>
      <c r="X1233" t="inlineStr">
        <is>
          <t>1992-10-27</t>
        </is>
      </c>
      <c r="Y1233" t="inlineStr">
        <is>
          <t>1989-06-14</t>
        </is>
      </c>
      <c r="Z1233" t="inlineStr">
        <is>
          <t>1989-06-14</t>
        </is>
      </c>
      <c r="AA1233" t="n">
        <v>161</v>
      </c>
      <c r="AB1233" t="n">
        <v>127</v>
      </c>
      <c r="AC1233" t="n">
        <v>131</v>
      </c>
      <c r="AD1233" t="n">
        <v>1</v>
      </c>
      <c r="AE1233" t="n">
        <v>1</v>
      </c>
      <c r="AF1233" t="n">
        <v>4</v>
      </c>
      <c r="AG1233" t="n">
        <v>4</v>
      </c>
      <c r="AH1233" t="n">
        <v>0</v>
      </c>
      <c r="AI1233" t="n">
        <v>0</v>
      </c>
      <c r="AJ1233" t="n">
        <v>2</v>
      </c>
      <c r="AK1233" t="n">
        <v>2</v>
      </c>
      <c r="AL1233" t="n">
        <v>2</v>
      </c>
      <c r="AM1233" t="n">
        <v>2</v>
      </c>
      <c r="AN1233" t="n">
        <v>0</v>
      </c>
      <c r="AO1233" t="n">
        <v>0</v>
      </c>
      <c r="AP1233" t="n">
        <v>0</v>
      </c>
      <c r="AQ1233" t="n">
        <v>0</v>
      </c>
      <c r="AR1233" t="inlineStr">
        <is>
          <t>No</t>
        </is>
      </c>
      <c r="AS1233" t="inlineStr">
        <is>
          <t>Yes</t>
        </is>
      </c>
      <c r="AT1233">
        <f>HYPERLINK("http://catalog.hathitrust.org/Record/001298667","HathiTrust Record")</f>
        <v/>
      </c>
      <c r="AU1233">
        <f>HYPERLINK("https://creighton-primo.hosted.exlibrisgroup.com/primo-explore/search?tab=default_tab&amp;search_scope=EVERYTHING&amp;vid=01CRU&amp;lang=en_US&amp;offset=0&amp;query=any,contains,991001252009702656","Catalog Record")</f>
        <v/>
      </c>
      <c r="AV1233">
        <f>HYPERLINK("http://www.worldcat.org/oclc/18072812","WorldCat Record")</f>
        <v/>
      </c>
      <c r="AW1233" t="inlineStr">
        <is>
          <t>16689738:eng</t>
        </is>
      </c>
      <c r="AX1233" t="inlineStr">
        <is>
          <t>18072812</t>
        </is>
      </c>
      <c r="AY1233" t="inlineStr">
        <is>
          <t>991001252009702656</t>
        </is>
      </c>
      <c r="AZ1233" t="inlineStr">
        <is>
          <t>991001252009702656</t>
        </is>
      </c>
      <c r="BA1233" t="inlineStr">
        <is>
          <t>2254745430002656</t>
        </is>
      </c>
      <c r="BB1233" t="inlineStr">
        <is>
          <t>BOOK</t>
        </is>
      </c>
      <c r="BD1233" t="inlineStr">
        <is>
          <t>9780838538425</t>
        </is>
      </c>
      <c r="BE1233" t="inlineStr">
        <is>
          <t>30001001679192</t>
        </is>
      </c>
      <c r="BF1233" t="inlineStr">
        <is>
          <t>893161803</t>
        </is>
      </c>
    </row>
    <row r="1234">
      <c r="A1234" t="inlineStr">
        <is>
          <t>No</t>
        </is>
      </c>
      <c r="B1234" t="inlineStr">
        <is>
          <t>CUHSL</t>
        </is>
      </c>
      <c r="C1234" t="inlineStr">
        <is>
          <t>SHELVES</t>
        </is>
      </c>
      <c r="D1234" t="inlineStr">
        <is>
          <t>WY 115 B849h 1978</t>
        </is>
      </c>
      <c r="E1234" t="inlineStr">
        <is>
          <t>0                      WY 0115000B  849h        1978</t>
        </is>
      </c>
      <c r="F1234" t="inlineStr">
        <is>
          <t>Home health care for the aged : how to help older people stay in their own homes and out of institutions / Philip W. Brickner.</t>
        </is>
      </c>
      <c r="H1234" t="inlineStr">
        <is>
          <t>No</t>
        </is>
      </c>
      <c r="I1234" t="inlineStr">
        <is>
          <t>1</t>
        </is>
      </c>
      <c r="J1234" t="inlineStr">
        <is>
          <t>No</t>
        </is>
      </c>
      <c r="K1234" t="inlineStr">
        <is>
          <t>No</t>
        </is>
      </c>
      <c r="L1234" t="inlineStr">
        <is>
          <t>0</t>
        </is>
      </c>
      <c r="M1234" t="inlineStr">
        <is>
          <t>Brickner, Philip W., 1928-2014.</t>
        </is>
      </c>
      <c r="N1234" t="inlineStr">
        <is>
          <t>New York : Appleton-Century-Crofts, c1978.</t>
        </is>
      </c>
      <c r="O1234" t="inlineStr">
        <is>
          <t>1978</t>
        </is>
      </c>
      <c r="Q1234" t="inlineStr">
        <is>
          <t>eng</t>
        </is>
      </c>
      <c r="R1234" t="inlineStr">
        <is>
          <t>nyu</t>
        </is>
      </c>
      <c r="T1234" t="inlineStr">
        <is>
          <t xml:space="preserve">WY </t>
        </is>
      </c>
      <c r="U1234" t="n">
        <v>8</v>
      </c>
      <c r="V1234" t="n">
        <v>8</v>
      </c>
      <c r="W1234" t="inlineStr">
        <is>
          <t>1988-08-23</t>
        </is>
      </c>
      <c r="X1234" t="inlineStr">
        <is>
          <t>1988-08-23</t>
        </is>
      </c>
      <c r="Y1234" t="inlineStr">
        <is>
          <t>1987-10-23</t>
        </is>
      </c>
      <c r="Z1234" t="inlineStr">
        <is>
          <t>1987-10-23</t>
        </is>
      </c>
      <c r="AA1234" t="n">
        <v>390</v>
      </c>
      <c r="AB1234" t="n">
        <v>318</v>
      </c>
      <c r="AC1234" t="n">
        <v>326</v>
      </c>
      <c r="AD1234" t="n">
        <v>2</v>
      </c>
      <c r="AE1234" t="n">
        <v>2</v>
      </c>
      <c r="AF1234" t="n">
        <v>4</v>
      </c>
      <c r="AG1234" t="n">
        <v>4</v>
      </c>
      <c r="AH1234" t="n">
        <v>1</v>
      </c>
      <c r="AI1234" t="n">
        <v>1</v>
      </c>
      <c r="AJ1234" t="n">
        <v>0</v>
      </c>
      <c r="AK1234" t="n">
        <v>0</v>
      </c>
      <c r="AL1234" t="n">
        <v>2</v>
      </c>
      <c r="AM1234" t="n">
        <v>2</v>
      </c>
      <c r="AN1234" t="n">
        <v>1</v>
      </c>
      <c r="AO1234" t="n">
        <v>1</v>
      </c>
      <c r="AP1234" t="n">
        <v>0</v>
      </c>
      <c r="AQ1234" t="n">
        <v>0</v>
      </c>
      <c r="AR1234" t="inlineStr">
        <is>
          <t>No</t>
        </is>
      </c>
      <c r="AS1234" t="inlineStr">
        <is>
          <t>Yes</t>
        </is>
      </c>
      <c r="AT1234">
        <f>HYPERLINK("http://catalog.hathitrust.org/Record/000137172","HathiTrust Record")</f>
        <v/>
      </c>
      <c r="AU1234">
        <f>HYPERLINK("https://creighton-primo.hosted.exlibrisgroup.com/primo-explore/search?tab=default_tab&amp;search_scope=EVERYTHING&amp;vid=01CRU&amp;lang=en_US&amp;offset=0&amp;query=any,contains,991000736039702656","Catalog Record")</f>
        <v/>
      </c>
      <c r="AV1234">
        <f>HYPERLINK("http://www.worldcat.org/oclc/3892727","WorldCat Record")</f>
        <v/>
      </c>
      <c r="AW1234" t="inlineStr">
        <is>
          <t>905506195:eng</t>
        </is>
      </c>
      <c r="AX1234" t="inlineStr">
        <is>
          <t>3892727</t>
        </is>
      </c>
      <c r="AY1234" t="inlineStr">
        <is>
          <t>991000736039702656</t>
        </is>
      </c>
      <c r="AZ1234" t="inlineStr">
        <is>
          <t>991000736039702656</t>
        </is>
      </c>
      <c r="BA1234" t="inlineStr">
        <is>
          <t>2272339840002656</t>
        </is>
      </c>
      <c r="BB1234" t="inlineStr">
        <is>
          <t>BOOK</t>
        </is>
      </c>
      <c r="BD1234" t="inlineStr">
        <is>
          <t>9780838538098</t>
        </is>
      </c>
      <c r="BE1234" t="inlineStr">
        <is>
          <t>30001000041402</t>
        </is>
      </c>
      <c r="BF1234" t="inlineStr">
        <is>
          <t>893357451</t>
        </is>
      </c>
    </row>
    <row r="1235">
      <c r="A1235" t="inlineStr">
        <is>
          <t>No</t>
        </is>
      </c>
      <c r="B1235" t="inlineStr">
        <is>
          <t>CUHSL</t>
        </is>
      </c>
      <c r="C1235" t="inlineStr">
        <is>
          <t>SHELVES</t>
        </is>
      </c>
      <c r="D1235" t="inlineStr">
        <is>
          <t>WY 115 B858 1995</t>
        </is>
      </c>
      <c r="E1235" t="inlineStr">
        <is>
          <t>0                      WY 0115000B  858         1995</t>
        </is>
      </c>
      <c r="F1235" t="inlineStr">
        <is>
          <t>Bringing the hospital home : ethical and social implications of high-tech home care / edited by John D. Arras.</t>
        </is>
      </c>
      <c r="H1235" t="inlineStr">
        <is>
          <t>No</t>
        </is>
      </c>
      <c r="I1235" t="inlineStr">
        <is>
          <t>1</t>
        </is>
      </c>
      <c r="J1235" t="inlineStr">
        <is>
          <t>No</t>
        </is>
      </c>
      <c r="K1235" t="inlineStr">
        <is>
          <t>No</t>
        </is>
      </c>
      <c r="L1235" t="inlineStr">
        <is>
          <t>0</t>
        </is>
      </c>
      <c r="N1235" t="inlineStr">
        <is>
          <t>Baltimore : Johns Hopkins University, c1995.</t>
        </is>
      </c>
      <c r="O1235" t="inlineStr">
        <is>
          <t>1995</t>
        </is>
      </c>
      <c r="Q1235" t="inlineStr">
        <is>
          <t>eng</t>
        </is>
      </c>
      <c r="R1235" t="inlineStr">
        <is>
          <t>mdu</t>
        </is>
      </c>
      <c r="T1235" t="inlineStr">
        <is>
          <t xml:space="preserve">WY </t>
        </is>
      </c>
      <c r="U1235" t="n">
        <v>4</v>
      </c>
      <c r="V1235" t="n">
        <v>4</v>
      </c>
      <c r="W1235" t="inlineStr">
        <is>
          <t>2000-02-04</t>
        </is>
      </c>
      <c r="X1235" t="inlineStr">
        <is>
          <t>2000-02-04</t>
        </is>
      </c>
      <c r="Y1235" t="inlineStr">
        <is>
          <t>1996-09-10</t>
        </is>
      </c>
      <c r="Z1235" t="inlineStr">
        <is>
          <t>1996-09-10</t>
        </is>
      </c>
      <c r="AA1235" t="n">
        <v>456</v>
      </c>
      <c r="AB1235" t="n">
        <v>392</v>
      </c>
      <c r="AC1235" t="n">
        <v>394</v>
      </c>
      <c r="AD1235" t="n">
        <v>1</v>
      </c>
      <c r="AE1235" t="n">
        <v>1</v>
      </c>
      <c r="AF1235" t="n">
        <v>20</v>
      </c>
      <c r="AG1235" t="n">
        <v>20</v>
      </c>
      <c r="AH1235" t="n">
        <v>7</v>
      </c>
      <c r="AI1235" t="n">
        <v>7</v>
      </c>
      <c r="AJ1235" t="n">
        <v>9</v>
      </c>
      <c r="AK1235" t="n">
        <v>9</v>
      </c>
      <c r="AL1235" t="n">
        <v>10</v>
      </c>
      <c r="AM1235" t="n">
        <v>10</v>
      </c>
      <c r="AN1235" t="n">
        <v>0</v>
      </c>
      <c r="AO1235" t="n">
        <v>0</v>
      </c>
      <c r="AP1235" t="n">
        <v>1</v>
      </c>
      <c r="AQ1235" t="n">
        <v>1</v>
      </c>
      <c r="AR1235" t="inlineStr">
        <is>
          <t>No</t>
        </is>
      </c>
      <c r="AS1235" t="inlineStr">
        <is>
          <t>Yes</t>
        </is>
      </c>
      <c r="AT1235">
        <f>HYPERLINK("http://catalog.hathitrust.org/Record/003010331","HathiTrust Record")</f>
        <v/>
      </c>
      <c r="AU1235">
        <f>HYPERLINK("https://creighton-primo.hosted.exlibrisgroup.com/primo-explore/search?tab=default_tab&amp;search_scope=EVERYTHING&amp;vid=01CRU&amp;lang=en_US&amp;offset=0&amp;query=any,contains,991000836079702656","Catalog Record")</f>
        <v/>
      </c>
      <c r="AV1235">
        <f>HYPERLINK("http://www.worldcat.org/oclc/32205669","WorldCat Record")</f>
        <v/>
      </c>
      <c r="AW1235" t="inlineStr">
        <is>
          <t>836892807:eng</t>
        </is>
      </c>
      <c r="AX1235" t="inlineStr">
        <is>
          <t>32205669</t>
        </is>
      </c>
      <c r="AY1235" t="inlineStr">
        <is>
          <t>991000836079702656</t>
        </is>
      </c>
      <c r="AZ1235" t="inlineStr">
        <is>
          <t>991000836079702656</t>
        </is>
      </c>
      <c r="BA1235" t="inlineStr">
        <is>
          <t>2270023230002656</t>
        </is>
      </c>
      <c r="BB1235" t="inlineStr">
        <is>
          <t>BOOK</t>
        </is>
      </c>
      <c r="BD1235" t="inlineStr">
        <is>
          <t>9780801849909</t>
        </is>
      </c>
      <c r="BE1235" t="inlineStr">
        <is>
          <t>30001003441849</t>
        </is>
      </c>
      <c r="BF1235" t="inlineStr">
        <is>
          <t>893363249</t>
        </is>
      </c>
    </row>
    <row r="1236">
      <c r="A1236" t="inlineStr">
        <is>
          <t>No</t>
        </is>
      </c>
      <c r="B1236" t="inlineStr">
        <is>
          <t>CUHSL</t>
        </is>
      </c>
      <c r="C1236" t="inlineStr">
        <is>
          <t>SHELVES</t>
        </is>
      </c>
      <c r="D1236" t="inlineStr">
        <is>
          <t>WY 115 C636 1989</t>
        </is>
      </c>
      <c r="E1236" t="inlineStr">
        <is>
          <t>0                      WY 0115000C  636         1989</t>
        </is>
      </c>
      <c r="F1236" t="inlineStr">
        <is>
          <t>Client studies in home health care nursing / edited by Corrinne Strandell.</t>
        </is>
      </c>
      <c r="H1236" t="inlineStr">
        <is>
          <t>No</t>
        </is>
      </c>
      <c r="I1236" t="inlineStr">
        <is>
          <t>1</t>
        </is>
      </c>
      <c r="J1236" t="inlineStr">
        <is>
          <t>No</t>
        </is>
      </c>
      <c r="K1236" t="inlineStr">
        <is>
          <t>No</t>
        </is>
      </c>
      <c r="L1236" t="inlineStr">
        <is>
          <t>0</t>
        </is>
      </c>
      <c r="N1236" t="inlineStr">
        <is>
          <t>Rockville, Md. : Aspen Publishers, c1989.</t>
        </is>
      </c>
      <c r="O1236" t="inlineStr">
        <is>
          <t>1989</t>
        </is>
      </c>
      <c r="Q1236" t="inlineStr">
        <is>
          <t>eng</t>
        </is>
      </c>
      <c r="R1236" t="inlineStr">
        <is>
          <t>xxu</t>
        </is>
      </c>
      <c r="T1236" t="inlineStr">
        <is>
          <t xml:space="preserve">WY </t>
        </is>
      </c>
      <c r="U1236" t="n">
        <v>11</v>
      </c>
      <c r="V1236" t="n">
        <v>11</v>
      </c>
      <c r="W1236" t="inlineStr">
        <is>
          <t>1993-01-31</t>
        </is>
      </c>
      <c r="X1236" t="inlineStr">
        <is>
          <t>1993-01-31</t>
        </is>
      </c>
      <c r="Y1236" t="inlineStr">
        <is>
          <t>1989-11-06</t>
        </is>
      </c>
      <c r="Z1236" t="inlineStr">
        <is>
          <t>1989-11-06</t>
        </is>
      </c>
      <c r="AA1236" t="n">
        <v>71</v>
      </c>
      <c r="AB1236" t="n">
        <v>67</v>
      </c>
      <c r="AC1236" t="n">
        <v>69</v>
      </c>
      <c r="AD1236" t="n">
        <v>1</v>
      </c>
      <c r="AE1236" t="n">
        <v>1</v>
      </c>
      <c r="AF1236" t="n">
        <v>5</v>
      </c>
      <c r="AG1236" t="n">
        <v>5</v>
      </c>
      <c r="AH1236" t="n">
        <v>1</v>
      </c>
      <c r="AI1236" t="n">
        <v>1</v>
      </c>
      <c r="AJ1236" t="n">
        <v>2</v>
      </c>
      <c r="AK1236" t="n">
        <v>2</v>
      </c>
      <c r="AL1236" t="n">
        <v>3</v>
      </c>
      <c r="AM1236" t="n">
        <v>3</v>
      </c>
      <c r="AN1236" t="n">
        <v>0</v>
      </c>
      <c r="AO1236" t="n">
        <v>0</v>
      </c>
      <c r="AP1236" t="n">
        <v>0</v>
      </c>
      <c r="AQ1236" t="n">
        <v>0</v>
      </c>
      <c r="AR1236" t="inlineStr">
        <is>
          <t>No</t>
        </is>
      </c>
      <c r="AS1236" t="inlineStr">
        <is>
          <t>Yes</t>
        </is>
      </c>
      <c r="AT1236">
        <f>HYPERLINK("http://catalog.hathitrust.org/Record/004443013","HathiTrust Record")</f>
        <v/>
      </c>
      <c r="AU1236">
        <f>HYPERLINK("https://creighton-primo.hosted.exlibrisgroup.com/primo-explore/search?tab=default_tab&amp;search_scope=EVERYTHING&amp;vid=01CRU&amp;lang=en_US&amp;offset=0&amp;query=any,contains,991001361289702656","Catalog Record")</f>
        <v/>
      </c>
      <c r="AV1236">
        <f>HYPERLINK("http://www.worldcat.org/oclc/18378903","WorldCat Record")</f>
        <v/>
      </c>
      <c r="AW1236" t="inlineStr">
        <is>
          <t>17731220:eng</t>
        </is>
      </c>
      <c r="AX1236" t="inlineStr">
        <is>
          <t>18378903</t>
        </is>
      </c>
      <c r="AY1236" t="inlineStr">
        <is>
          <t>991001361289702656</t>
        </is>
      </c>
      <c r="AZ1236" t="inlineStr">
        <is>
          <t>991001361289702656</t>
        </is>
      </c>
      <c r="BA1236" t="inlineStr">
        <is>
          <t>2262651060002656</t>
        </is>
      </c>
      <c r="BB1236" t="inlineStr">
        <is>
          <t>BOOK</t>
        </is>
      </c>
      <c r="BD1236" t="inlineStr">
        <is>
          <t>9780871897961</t>
        </is>
      </c>
      <c r="BE1236" t="inlineStr">
        <is>
          <t>30001001796764</t>
        </is>
      </c>
      <c r="BF1236" t="inlineStr">
        <is>
          <t>893134491</t>
        </is>
      </c>
    </row>
    <row r="1237">
      <c r="A1237" t="inlineStr">
        <is>
          <t>No</t>
        </is>
      </c>
      <c r="B1237" t="inlineStr">
        <is>
          <t>CUHSL</t>
        </is>
      </c>
      <c r="C1237" t="inlineStr">
        <is>
          <t>SHELVES</t>
        </is>
      </c>
      <c r="D1237" t="inlineStr">
        <is>
          <t>WY 115 C797 1993</t>
        </is>
      </c>
      <c r="E1237" t="inlineStr">
        <is>
          <t>0                      WY 0115000C  797         1993</t>
        </is>
      </c>
      <c r="F1237" t="inlineStr">
        <is>
          <t>Core curriculum for home health care nursing / edited by Kathy J. Morgan, Sandra L. McClain.</t>
        </is>
      </c>
      <c r="H1237" t="inlineStr">
        <is>
          <t>No</t>
        </is>
      </c>
      <c r="I1237" t="inlineStr">
        <is>
          <t>1</t>
        </is>
      </c>
      <c r="J1237" t="inlineStr">
        <is>
          <t>No</t>
        </is>
      </c>
      <c r="K1237" t="inlineStr">
        <is>
          <t>Yes</t>
        </is>
      </c>
      <c r="L1237" t="inlineStr">
        <is>
          <t>0</t>
        </is>
      </c>
      <c r="N1237" t="inlineStr">
        <is>
          <t>Gaitherburg, Md. : Aspen Publishers, c1993.</t>
        </is>
      </c>
      <c r="O1237" t="inlineStr">
        <is>
          <t>1993</t>
        </is>
      </c>
      <c r="Q1237" t="inlineStr">
        <is>
          <t>eng</t>
        </is>
      </c>
      <c r="R1237" t="inlineStr">
        <is>
          <t>mdu</t>
        </is>
      </c>
      <c r="T1237" t="inlineStr">
        <is>
          <t xml:space="preserve">WY </t>
        </is>
      </c>
      <c r="U1237" t="n">
        <v>11</v>
      </c>
      <c r="V1237" t="n">
        <v>11</v>
      </c>
      <c r="W1237" t="inlineStr">
        <is>
          <t>1996-05-16</t>
        </is>
      </c>
      <c r="X1237" t="inlineStr">
        <is>
          <t>1996-05-16</t>
        </is>
      </c>
      <c r="Y1237" t="inlineStr">
        <is>
          <t>1993-09-15</t>
        </is>
      </c>
      <c r="Z1237" t="inlineStr">
        <is>
          <t>1993-09-15</t>
        </is>
      </c>
      <c r="AA1237" t="n">
        <v>166</v>
      </c>
      <c r="AB1237" t="n">
        <v>148</v>
      </c>
      <c r="AC1237" t="n">
        <v>252</v>
      </c>
      <c r="AD1237" t="n">
        <v>1</v>
      </c>
      <c r="AE1237" t="n">
        <v>1</v>
      </c>
      <c r="AF1237" t="n">
        <v>4</v>
      </c>
      <c r="AG1237" t="n">
        <v>6</v>
      </c>
      <c r="AH1237" t="n">
        <v>1</v>
      </c>
      <c r="AI1237" t="n">
        <v>1</v>
      </c>
      <c r="AJ1237" t="n">
        <v>1</v>
      </c>
      <c r="AK1237" t="n">
        <v>1</v>
      </c>
      <c r="AL1237" t="n">
        <v>4</v>
      </c>
      <c r="AM1237" t="n">
        <v>6</v>
      </c>
      <c r="AN1237" t="n">
        <v>0</v>
      </c>
      <c r="AO1237" t="n">
        <v>0</v>
      </c>
      <c r="AP1237" t="n">
        <v>0</v>
      </c>
      <c r="AQ1237" t="n">
        <v>0</v>
      </c>
      <c r="AR1237" t="inlineStr">
        <is>
          <t>No</t>
        </is>
      </c>
      <c r="AS1237" t="inlineStr">
        <is>
          <t>Yes</t>
        </is>
      </c>
      <c r="AT1237">
        <f>HYPERLINK("http://catalog.hathitrust.org/Record/002726506","HathiTrust Record")</f>
        <v/>
      </c>
      <c r="AU1237">
        <f>HYPERLINK("https://creighton-primo.hosted.exlibrisgroup.com/primo-explore/search?tab=default_tab&amp;search_scope=EVERYTHING&amp;vid=01CRU&amp;lang=en_US&amp;offset=0&amp;query=any,contains,991001485159702656","Catalog Record")</f>
        <v/>
      </c>
      <c r="AV1237">
        <f>HYPERLINK("http://www.worldcat.org/oclc/27936900","WorldCat Record")</f>
        <v/>
      </c>
      <c r="AW1237" t="inlineStr">
        <is>
          <t>55699982:eng</t>
        </is>
      </c>
      <c r="AX1237" t="inlineStr">
        <is>
          <t>27936900</t>
        </is>
      </c>
      <c r="AY1237" t="inlineStr">
        <is>
          <t>991001485159702656</t>
        </is>
      </c>
      <c r="AZ1237" t="inlineStr">
        <is>
          <t>991001485159702656</t>
        </is>
      </c>
      <c r="BA1237" t="inlineStr">
        <is>
          <t>2259378500002656</t>
        </is>
      </c>
      <c r="BB1237" t="inlineStr">
        <is>
          <t>BOOK</t>
        </is>
      </c>
      <c r="BD1237" t="inlineStr">
        <is>
          <t>9780834203792</t>
        </is>
      </c>
      <c r="BE1237" t="inlineStr">
        <is>
          <t>30001002579060</t>
        </is>
      </c>
      <c r="BF1237" t="inlineStr">
        <is>
          <t>893821248</t>
        </is>
      </c>
    </row>
    <row r="1238">
      <c r="A1238" t="inlineStr">
        <is>
          <t>No</t>
        </is>
      </c>
      <c r="B1238" t="inlineStr">
        <is>
          <t>CUHSL</t>
        </is>
      </c>
      <c r="C1238" t="inlineStr">
        <is>
          <t>SHELVES</t>
        </is>
      </c>
      <c r="D1238" t="inlineStr">
        <is>
          <t>WY 115 D659c 1990</t>
        </is>
      </c>
      <c r="E1238" t="inlineStr">
        <is>
          <t>0                      WY 0115000D  659c        1990</t>
        </is>
      </c>
      <c r="F1238" t="inlineStr">
        <is>
          <t>Community and home health care plans / Marion B. Dolan.</t>
        </is>
      </c>
      <c r="H1238" t="inlineStr">
        <is>
          <t>No</t>
        </is>
      </c>
      <c r="I1238" t="inlineStr">
        <is>
          <t>1</t>
        </is>
      </c>
      <c r="J1238" t="inlineStr">
        <is>
          <t>No</t>
        </is>
      </c>
      <c r="K1238" t="inlineStr">
        <is>
          <t>No</t>
        </is>
      </c>
      <c r="L1238" t="inlineStr">
        <is>
          <t>0</t>
        </is>
      </c>
      <c r="M1238" t="inlineStr">
        <is>
          <t>Dolan, Marion B.</t>
        </is>
      </c>
      <c r="N1238" t="inlineStr">
        <is>
          <t>Springhouse, Pa. : Springhouse Corp., c1990.</t>
        </is>
      </c>
      <c r="O1238" t="inlineStr">
        <is>
          <t>1990</t>
        </is>
      </c>
      <c r="Q1238" t="inlineStr">
        <is>
          <t>eng</t>
        </is>
      </c>
      <c r="R1238" t="inlineStr">
        <is>
          <t>pau</t>
        </is>
      </c>
      <c r="T1238" t="inlineStr">
        <is>
          <t xml:space="preserve">WY </t>
        </is>
      </c>
      <c r="U1238" t="n">
        <v>6</v>
      </c>
      <c r="V1238" t="n">
        <v>6</v>
      </c>
      <c r="W1238" t="inlineStr">
        <is>
          <t>1993-04-02</t>
        </is>
      </c>
      <c r="X1238" t="inlineStr">
        <is>
          <t>1993-04-02</t>
        </is>
      </c>
      <c r="Y1238" t="inlineStr">
        <is>
          <t>1993-03-26</t>
        </is>
      </c>
      <c r="Z1238" t="inlineStr">
        <is>
          <t>1993-03-26</t>
        </is>
      </c>
      <c r="AA1238" t="n">
        <v>180</v>
      </c>
      <c r="AB1238" t="n">
        <v>140</v>
      </c>
      <c r="AC1238" t="n">
        <v>144</v>
      </c>
      <c r="AD1238" t="n">
        <v>3</v>
      </c>
      <c r="AE1238" t="n">
        <v>3</v>
      </c>
      <c r="AF1238" t="n">
        <v>9</v>
      </c>
      <c r="AG1238" t="n">
        <v>9</v>
      </c>
      <c r="AH1238" t="n">
        <v>3</v>
      </c>
      <c r="AI1238" t="n">
        <v>3</v>
      </c>
      <c r="AJ1238" t="n">
        <v>2</v>
      </c>
      <c r="AK1238" t="n">
        <v>2</v>
      </c>
      <c r="AL1238" t="n">
        <v>5</v>
      </c>
      <c r="AM1238" t="n">
        <v>5</v>
      </c>
      <c r="AN1238" t="n">
        <v>2</v>
      </c>
      <c r="AO1238" t="n">
        <v>2</v>
      </c>
      <c r="AP1238" t="n">
        <v>0</v>
      </c>
      <c r="AQ1238" t="n">
        <v>0</v>
      </c>
      <c r="AR1238" t="inlineStr">
        <is>
          <t>No</t>
        </is>
      </c>
      <c r="AS1238" t="inlineStr">
        <is>
          <t>Yes</t>
        </is>
      </c>
      <c r="AT1238">
        <f>HYPERLINK("http://catalog.hathitrust.org/Record/002721688","HathiTrust Record")</f>
        <v/>
      </c>
      <c r="AU1238">
        <f>HYPERLINK("https://creighton-primo.hosted.exlibrisgroup.com/primo-explore/search?tab=default_tab&amp;search_scope=EVERYTHING&amp;vid=01CRU&amp;lang=en_US&amp;offset=0&amp;query=any,contains,991001473939702656","Catalog Record")</f>
        <v/>
      </c>
      <c r="AV1238">
        <f>HYPERLINK("http://www.worldcat.org/oclc/20353849","WorldCat Record")</f>
        <v/>
      </c>
      <c r="AW1238" t="inlineStr">
        <is>
          <t>21993564:eng</t>
        </is>
      </c>
      <c r="AX1238" t="inlineStr">
        <is>
          <t>20353849</t>
        </is>
      </c>
      <c r="AY1238" t="inlineStr">
        <is>
          <t>991001473939702656</t>
        </is>
      </c>
      <c r="AZ1238" t="inlineStr">
        <is>
          <t>991001473939702656</t>
        </is>
      </c>
      <c r="BA1238" t="inlineStr">
        <is>
          <t>2270774140002656</t>
        </is>
      </c>
      <c r="BB1238" t="inlineStr">
        <is>
          <t>BOOK</t>
        </is>
      </c>
      <c r="BD1238" t="inlineStr">
        <is>
          <t>9780874342253</t>
        </is>
      </c>
      <c r="BE1238" t="inlineStr">
        <is>
          <t>30001002563296</t>
        </is>
      </c>
      <c r="BF1238" t="inlineStr">
        <is>
          <t>893451237</t>
        </is>
      </c>
    </row>
    <row r="1239">
      <c r="A1239" t="inlineStr">
        <is>
          <t>No</t>
        </is>
      </c>
      <c r="B1239" t="inlineStr">
        <is>
          <t>CUHSL</t>
        </is>
      </c>
      <c r="C1239" t="inlineStr">
        <is>
          <t>SHELVES</t>
        </is>
      </c>
      <c r="D1239" t="inlineStr">
        <is>
          <t>WY 115 E26c 1989</t>
        </is>
      </c>
      <c r="E1239" t="inlineStr">
        <is>
          <t>0                      WY 0115000E  26c         1989</t>
        </is>
      </c>
      <c r="F1239" t="inlineStr">
        <is>
          <t>Case studies in home health : problem families, problem agencies / Mary Ann Walsh Eells.</t>
        </is>
      </c>
      <c r="H1239" t="inlineStr">
        <is>
          <t>No</t>
        </is>
      </c>
      <c r="I1239" t="inlineStr">
        <is>
          <t>1</t>
        </is>
      </c>
      <c r="J1239" t="inlineStr">
        <is>
          <t>No</t>
        </is>
      </c>
      <c r="K1239" t="inlineStr">
        <is>
          <t>No</t>
        </is>
      </c>
      <c r="L1239" t="inlineStr">
        <is>
          <t>0</t>
        </is>
      </c>
      <c r="M1239" t="inlineStr">
        <is>
          <t>Eells, Mary Ann Walsh.</t>
        </is>
      </c>
      <c r="N1239" t="inlineStr">
        <is>
          <t>Baltimore : Williams &amp; Wilkins, c1989.</t>
        </is>
      </c>
      <c r="O1239" t="inlineStr">
        <is>
          <t>1989</t>
        </is>
      </c>
      <c r="Q1239" t="inlineStr">
        <is>
          <t>eng</t>
        </is>
      </c>
      <c r="R1239" t="inlineStr">
        <is>
          <t>mdu</t>
        </is>
      </c>
      <c r="S1239" t="inlineStr">
        <is>
          <t>Nursing case studies</t>
        </is>
      </c>
      <c r="T1239" t="inlineStr">
        <is>
          <t xml:space="preserve">WY </t>
        </is>
      </c>
      <c r="U1239" t="n">
        <v>9</v>
      </c>
      <c r="V1239" t="n">
        <v>9</v>
      </c>
      <c r="W1239" t="inlineStr">
        <is>
          <t>1995-11-02</t>
        </is>
      </c>
      <c r="X1239" t="inlineStr">
        <is>
          <t>1995-11-02</t>
        </is>
      </c>
      <c r="Y1239" t="inlineStr">
        <is>
          <t>1989-11-06</t>
        </is>
      </c>
      <c r="Z1239" t="inlineStr">
        <is>
          <t>1989-11-06</t>
        </is>
      </c>
      <c r="AA1239" t="n">
        <v>145</v>
      </c>
      <c r="AB1239" t="n">
        <v>117</v>
      </c>
      <c r="AC1239" t="n">
        <v>119</v>
      </c>
      <c r="AD1239" t="n">
        <v>1</v>
      </c>
      <c r="AE1239" t="n">
        <v>1</v>
      </c>
      <c r="AF1239" t="n">
        <v>4</v>
      </c>
      <c r="AG1239" t="n">
        <v>4</v>
      </c>
      <c r="AH1239" t="n">
        <v>1</v>
      </c>
      <c r="AI1239" t="n">
        <v>1</v>
      </c>
      <c r="AJ1239" t="n">
        <v>2</v>
      </c>
      <c r="AK1239" t="n">
        <v>2</v>
      </c>
      <c r="AL1239" t="n">
        <v>3</v>
      </c>
      <c r="AM1239" t="n">
        <v>3</v>
      </c>
      <c r="AN1239" t="n">
        <v>0</v>
      </c>
      <c r="AO1239" t="n">
        <v>0</v>
      </c>
      <c r="AP1239" t="n">
        <v>0</v>
      </c>
      <c r="AQ1239" t="n">
        <v>0</v>
      </c>
      <c r="AR1239" t="inlineStr">
        <is>
          <t>No</t>
        </is>
      </c>
      <c r="AS1239" t="inlineStr">
        <is>
          <t>Yes</t>
        </is>
      </c>
      <c r="AT1239">
        <f>HYPERLINK("http://catalog.hathitrust.org/Record/001819018","HathiTrust Record")</f>
        <v/>
      </c>
      <c r="AU1239">
        <f>HYPERLINK("https://creighton-primo.hosted.exlibrisgroup.com/primo-explore/search?tab=default_tab&amp;search_scope=EVERYTHING&amp;vid=01CRU&amp;lang=en_US&amp;offset=0&amp;query=any,contains,991001361029702656","Catalog Record")</f>
        <v/>
      </c>
      <c r="AV1239">
        <f>HYPERLINK("http://www.worldcat.org/oclc/18683183","WorldCat Record")</f>
        <v/>
      </c>
      <c r="AW1239" t="inlineStr">
        <is>
          <t>17926660:eng</t>
        </is>
      </c>
      <c r="AX1239" t="inlineStr">
        <is>
          <t>18683183</t>
        </is>
      </c>
      <c r="AY1239" t="inlineStr">
        <is>
          <t>991001361029702656</t>
        </is>
      </c>
      <c r="AZ1239" t="inlineStr">
        <is>
          <t>991001361029702656</t>
        </is>
      </c>
      <c r="BA1239" t="inlineStr">
        <is>
          <t>2266203760002656</t>
        </is>
      </c>
      <c r="BB1239" t="inlineStr">
        <is>
          <t>BOOK</t>
        </is>
      </c>
      <c r="BD1239" t="inlineStr">
        <is>
          <t>9780683027518</t>
        </is>
      </c>
      <c r="BE1239" t="inlineStr">
        <is>
          <t>30001001796707</t>
        </is>
      </c>
      <c r="BF1239" t="inlineStr">
        <is>
          <t>893557901</t>
        </is>
      </c>
    </row>
    <row r="1240">
      <c r="A1240" t="inlineStr">
        <is>
          <t>No</t>
        </is>
      </c>
      <c r="B1240" t="inlineStr">
        <is>
          <t>CUHSL</t>
        </is>
      </c>
      <c r="C1240" t="inlineStr">
        <is>
          <t>SHELVES</t>
        </is>
      </c>
      <c r="D1240" t="inlineStr">
        <is>
          <t>WY 115 E96 1978</t>
        </is>
      </c>
      <c r="E1240" t="inlineStr">
        <is>
          <t>0                      WY 0115000E  96          1978</t>
        </is>
      </c>
      <c r="F1240" t="inlineStr">
        <is>
          <t>Extended hours for home health services.</t>
        </is>
      </c>
      <c r="H1240" t="inlineStr">
        <is>
          <t>No</t>
        </is>
      </c>
      <c r="I1240" t="inlineStr">
        <is>
          <t>1</t>
        </is>
      </c>
      <c r="J1240" t="inlineStr">
        <is>
          <t>No</t>
        </is>
      </c>
      <c r="K1240" t="inlineStr">
        <is>
          <t>No</t>
        </is>
      </c>
      <c r="L1240" t="inlineStr">
        <is>
          <t>0</t>
        </is>
      </c>
      <c r="N1240" t="inlineStr">
        <is>
          <t>New York : National League for Nursing, c1978.</t>
        </is>
      </c>
      <c r="O1240" t="inlineStr">
        <is>
          <t>1978</t>
        </is>
      </c>
      <c r="Q1240" t="inlineStr">
        <is>
          <t>eng</t>
        </is>
      </c>
      <c r="R1240" t="inlineStr">
        <is>
          <t>nyu</t>
        </is>
      </c>
      <c r="S1240" t="inlineStr">
        <is>
          <t>NLN pub. no. 21-1746</t>
        </is>
      </c>
      <c r="T1240" t="inlineStr">
        <is>
          <t xml:space="preserve">WY </t>
        </is>
      </c>
      <c r="U1240" t="n">
        <v>2</v>
      </c>
      <c r="V1240" t="n">
        <v>2</v>
      </c>
      <c r="W1240" t="inlineStr">
        <is>
          <t>1990-08-13</t>
        </is>
      </c>
      <c r="X1240" t="inlineStr">
        <is>
          <t>1990-08-13</t>
        </is>
      </c>
      <c r="Y1240" t="inlineStr">
        <is>
          <t>1987-11-04</t>
        </is>
      </c>
      <c r="Z1240" t="inlineStr">
        <is>
          <t>1987-11-04</t>
        </is>
      </c>
      <c r="AA1240" t="n">
        <v>76</v>
      </c>
      <c r="AB1240" t="n">
        <v>64</v>
      </c>
      <c r="AC1240" t="n">
        <v>64</v>
      </c>
      <c r="AD1240" t="n">
        <v>1</v>
      </c>
      <c r="AE1240" t="n">
        <v>1</v>
      </c>
      <c r="AF1240" t="n">
        <v>3</v>
      </c>
      <c r="AG1240" t="n">
        <v>3</v>
      </c>
      <c r="AH1240" t="n">
        <v>0</v>
      </c>
      <c r="AI1240" t="n">
        <v>0</v>
      </c>
      <c r="AJ1240" t="n">
        <v>1</v>
      </c>
      <c r="AK1240" t="n">
        <v>1</v>
      </c>
      <c r="AL1240" t="n">
        <v>3</v>
      </c>
      <c r="AM1240" t="n">
        <v>3</v>
      </c>
      <c r="AN1240" t="n">
        <v>0</v>
      </c>
      <c r="AO1240" t="n">
        <v>0</v>
      </c>
      <c r="AP1240" t="n">
        <v>0</v>
      </c>
      <c r="AQ1240" t="n">
        <v>0</v>
      </c>
      <c r="AR1240" t="inlineStr">
        <is>
          <t>No</t>
        </is>
      </c>
      <c r="AS1240" t="inlineStr">
        <is>
          <t>No</t>
        </is>
      </c>
      <c r="AU1240">
        <f>HYPERLINK("https://creighton-primo.hosted.exlibrisgroup.com/primo-explore/search?tab=default_tab&amp;search_scope=EVERYTHING&amp;vid=01CRU&amp;lang=en_US&amp;offset=0&amp;query=any,contains,991001386909702656","Catalog Record")</f>
        <v/>
      </c>
      <c r="AV1240">
        <f>HYPERLINK("http://www.worldcat.org/oclc/6485884","WorldCat Record")</f>
        <v/>
      </c>
      <c r="AW1240" t="inlineStr">
        <is>
          <t>22508426:eng</t>
        </is>
      </c>
      <c r="AX1240" t="inlineStr">
        <is>
          <t>6485884</t>
        </is>
      </c>
      <c r="AY1240" t="inlineStr">
        <is>
          <t>991001386909702656</t>
        </is>
      </c>
      <c r="AZ1240" t="inlineStr">
        <is>
          <t>991001386909702656</t>
        </is>
      </c>
      <c r="BA1240" t="inlineStr">
        <is>
          <t>2272055510002656</t>
        </is>
      </c>
      <c r="BB1240" t="inlineStr">
        <is>
          <t>BOOK</t>
        </is>
      </c>
      <c r="BE1240" t="inlineStr">
        <is>
          <t>30001000463945</t>
        </is>
      </c>
      <c r="BF1240" t="inlineStr">
        <is>
          <t>893284739</t>
        </is>
      </c>
    </row>
    <row r="1241">
      <c r="A1241" t="inlineStr">
        <is>
          <t>No</t>
        </is>
      </c>
      <c r="B1241" t="inlineStr">
        <is>
          <t>CUHSL</t>
        </is>
      </c>
      <c r="C1241" t="inlineStr">
        <is>
          <t>SHELVES</t>
        </is>
      </c>
      <c r="D1241" t="inlineStr">
        <is>
          <t>WY 115 G696h 1987</t>
        </is>
      </c>
      <c r="E1241" t="inlineStr">
        <is>
          <t>0                      WY 0115000G  696h        1987</t>
        </is>
      </c>
      <c r="F1241" t="inlineStr">
        <is>
          <t>Home health nursing care plans / E. Joyce Gould, Joan Wargo.</t>
        </is>
      </c>
      <c r="H1241" t="inlineStr">
        <is>
          <t>No</t>
        </is>
      </c>
      <c r="I1241" t="inlineStr">
        <is>
          <t>1</t>
        </is>
      </c>
      <c r="J1241" t="inlineStr">
        <is>
          <t>No</t>
        </is>
      </c>
      <c r="K1241" t="inlineStr">
        <is>
          <t>No</t>
        </is>
      </c>
      <c r="L1241" t="inlineStr">
        <is>
          <t>0</t>
        </is>
      </c>
      <c r="M1241" t="inlineStr">
        <is>
          <t>Gould, E. Joyce.</t>
        </is>
      </c>
      <c r="N1241" t="inlineStr">
        <is>
          <t>Rockville, Md. : Aspen Publishers, c1987.</t>
        </is>
      </c>
      <c r="O1241" t="inlineStr">
        <is>
          <t>1987</t>
        </is>
      </c>
      <c r="Q1241" t="inlineStr">
        <is>
          <t>eng</t>
        </is>
      </c>
      <c r="R1241" t="inlineStr">
        <is>
          <t>xxu</t>
        </is>
      </c>
      <c r="T1241" t="inlineStr">
        <is>
          <t xml:space="preserve">WY </t>
        </is>
      </c>
      <c r="U1241" t="n">
        <v>13</v>
      </c>
      <c r="V1241" t="n">
        <v>13</v>
      </c>
      <c r="W1241" t="inlineStr">
        <is>
          <t>1995-12-01</t>
        </is>
      </c>
      <c r="X1241" t="inlineStr">
        <is>
          <t>1995-12-01</t>
        </is>
      </c>
      <c r="Y1241" t="inlineStr">
        <is>
          <t>1987-12-30</t>
        </is>
      </c>
      <c r="Z1241" t="inlineStr">
        <is>
          <t>1987-12-30</t>
        </is>
      </c>
      <c r="AA1241" t="n">
        <v>71</v>
      </c>
      <c r="AB1241" t="n">
        <v>65</v>
      </c>
      <c r="AC1241" t="n">
        <v>65</v>
      </c>
      <c r="AD1241" t="n">
        <v>1</v>
      </c>
      <c r="AE1241" t="n">
        <v>1</v>
      </c>
      <c r="AF1241" t="n">
        <v>4</v>
      </c>
      <c r="AG1241" t="n">
        <v>4</v>
      </c>
      <c r="AH1241" t="n">
        <v>1</v>
      </c>
      <c r="AI1241" t="n">
        <v>1</v>
      </c>
      <c r="AJ1241" t="n">
        <v>1</v>
      </c>
      <c r="AK1241" t="n">
        <v>1</v>
      </c>
      <c r="AL1241" t="n">
        <v>3</v>
      </c>
      <c r="AM1241" t="n">
        <v>3</v>
      </c>
      <c r="AN1241" t="n">
        <v>0</v>
      </c>
      <c r="AO1241" t="n">
        <v>0</v>
      </c>
      <c r="AP1241" t="n">
        <v>0</v>
      </c>
      <c r="AQ1241" t="n">
        <v>0</v>
      </c>
      <c r="AR1241" t="inlineStr">
        <is>
          <t>No</t>
        </is>
      </c>
      <c r="AS1241" t="inlineStr">
        <is>
          <t>No</t>
        </is>
      </c>
      <c r="AU1241">
        <f>HYPERLINK("https://creighton-primo.hosted.exlibrisgroup.com/primo-explore/search?tab=default_tab&amp;search_scope=EVERYTHING&amp;vid=01CRU&amp;lang=en_US&amp;offset=0&amp;query=any,contains,991001266999702656","Catalog Record")</f>
        <v/>
      </c>
      <c r="AV1241">
        <f>HYPERLINK("http://www.worldcat.org/oclc/15108360","WorldCat Record")</f>
        <v/>
      </c>
      <c r="AW1241" t="inlineStr">
        <is>
          <t>3855554444:eng</t>
        </is>
      </c>
      <c r="AX1241" t="inlineStr">
        <is>
          <t>15108360</t>
        </is>
      </c>
      <c r="AY1241" t="inlineStr">
        <is>
          <t>991001266999702656</t>
        </is>
      </c>
      <c r="AZ1241" t="inlineStr">
        <is>
          <t>991001266999702656</t>
        </is>
      </c>
      <c r="BA1241" t="inlineStr">
        <is>
          <t>2257804080002656</t>
        </is>
      </c>
      <c r="BB1241" t="inlineStr">
        <is>
          <t>BOOK</t>
        </is>
      </c>
      <c r="BD1241" t="inlineStr">
        <is>
          <t>9780871896322</t>
        </is>
      </c>
      <c r="BE1241" t="inlineStr">
        <is>
          <t>30001000353674</t>
        </is>
      </c>
      <c r="BF1241" t="inlineStr">
        <is>
          <t>893552286</t>
        </is>
      </c>
    </row>
    <row r="1242">
      <c r="A1242" t="inlineStr">
        <is>
          <t>No</t>
        </is>
      </c>
      <c r="B1242" t="inlineStr">
        <is>
          <t>CUHSL</t>
        </is>
      </c>
      <c r="C1242" t="inlineStr">
        <is>
          <t>SHELVES</t>
        </is>
      </c>
      <c r="D1242" t="inlineStr">
        <is>
          <t>WY 115 H126e 1990</t>
        </is>
      </c>
      <c r="E1242" t="inlineStr">
        <is>
          <t>0                      WY 0115000H  126e        1990</t>
        </is>
      </c>
      <c r="F1242" t="inlineStr">
        <is>
          <t>Ethical and legal issues in home health care / by Amy Marie Haddad, Marshall B. Kapp.</t>
        </is>
      </c>
      <c r="H1242" t="inlineStr">
        <is>
          <t>No</t>
        </is>
      </c>
      <c r="I1242" t="inlineStr">
        <is>
          <t>1</t>
        </is>
      </c>
      <c r="J1242" t="inlineStr">
        <is>
          <t>Yes</t>
        </is>
      </c>
      <c r="K1242" t="inlineStr">
        <is>
          <t>No</t>
        </is>
      </c>
      <c r="L1242" t="inlineStr">
        <is>
          <t>0</t>
        </is>
      </c>
      <c r="M1242" t="inlineStr">
        <is>
          <t>Haddad, Amy Marie.</t>
        </is>
      </c>
      <c r="N1242" t="inlineStr">
        <is>
          <t>Norwalk, Conn. : Appleton &amp; Lange, c1990.</t>
        </is>
      </c>
      <c r="O1242" t="inlineStr">
        <is>
          <t>1990</t>
        </is>
      </c>
      <c r="Q1242" t="inlineStr">
        <is>
          <t>eng</t>
        </is>
      </c>
      <c r="R1242" t="inlineStr">
        <is>
          <t>xxu</t>
        </is>
      </c>
      <c r="T1242" t="inlineStr">
        <is>
          <t xml:space="preserve">WY </t>
        </is>
      </c>
      <c r="U1242" t="n">
        <v>20</v>
      </c>
      <c r="V1242" t="n">
        <v>20</v>
      </c>
      <c r="W1242" t="inlineStr">
        <is>
          <t>2007-03-12</t>
        </is>
      </c>
      <c r="X1242" t="inlineStr">
        <is>
          <t>2007-03-12</t>
        </is>
      </c>
      <c r="Y1242" t="inlineStr">
        <is>
          <t>1990-10-22</t>
        </is>
      </c>
      <c r="Z1242" t="inlineStr">
        <is>
          <t>1990-10-22</t>
        </is>
      </c>
      <c r="AA1242" t="n">
        <v>419</v>
      </c>
      <c r="AB1242" t="n">
        <v>359</v>
      </c>
      <c r="AC1242" t="n">
        <v>365</v>
      </c>
      <c r="AD1242" t="n">
        <v>4</v>
      </c>
      <c r="AE1242" t="n">
        <v>4</v>
      </c>
      <c r="AF1242" t="n">
        <v>22</v>
      </c>
      <c r="AG1242" t="n">
        <v>22</v>
      </c>
      <c r="AH1242" t="n">
        <v>7</v>
      </c>
      <c r="AI1242" t="n">
        <v>7</v>
      </c>
      <c r="AJ1242" t="n">
        <v>3</v>
      </c>
      <c r="AK1242" t="n">
        <v>3</v>
      </c>
      <c r="AL1242" t="n">
        <v>9</v>
      </c>
      <c r="AM1242" t="n">
        <v>9</v>
      </c>
      <c r="AN1242" t="n">
        <v>1</v>
      </c>
      <c r="AO1242" t="n">
        <v>1</v>
      </c>
      <c r="AP1242" t="n">
        <v>7</v>
      </c>
      <c r="AQ1242" t="n">
        <v>7</v>
      </c>
      <c r="AR1242" t="inlineStr">
        <is>
          <t>No</t>
        </is>
      </c>
      <c r="AS1242" t="inlineStr">
        <is>
          <t>No</t>
        </is>
      </c>
      <c r="AU1242">
        <f>HYPERLINK("https://creighton-primo.hosted.exlibrisgroup.com/primo-explore/search?tab=default_tab&amp;search_scope=EVERYTHING&amp;vid=01CRU&amp;lang=en_US&amp;offset=0&amp;query=any,contains,991000766109702656","Catalog Record")</f>
        <v/>
      </c>
      <c r="AV1242">
        <f>HYPERLINK("http://www.worldcat.org/oclc/21949784","WorldCat Record")</f>
        <v/>
      </c>
      <c r="AW1242" t="inlineStr">
        <is>
          <t>311803115:eng</t>
        </is>
      </c>
      <c r="AX1242" t="inlineStr">
        <is>
          <t>21949784</t>
        </is>
      </c>
      <c r="AY1242" t="inlineStr">
        <is>
          <t>991000766109702656</t>
        </is>
      </c>
      <c r="AZ1242" t="inlineStr">
        <is>
          <t>991000766109702656</t>
        </is>
      </c>
      <c r="BA1242" t="inlineStr">
        <is>
          <t>2257447470002656</t>
        </is>
      </c>
      <c r="BB1242" t="inlineStr">
        <is>
          <t>BOOK</t>
        </is>
      </c>
      <c r="BD1242" t="inlineStr">
        <is>
          <t>9780838522776</t>
        </is>
      </c>
      <c r="BE1242" t="inlineStr">
        <is>
          <t>30001002061036</t>
        </is>
      </c>
      <c r="BF1242" t="inlineStr">
        <is>
          <t>893454839</t>
        </is>
      </c>
    </row>
    <row r="1243">
      <c r="A1243" t="inlineStr">
        <is>
          <t>No</t>
        </is>
      </c>
      <c r="B1243" t="inlineStr">
        <is>
          <t>CUHSL</t>
        </is>
      </c>
      <c r="C1243" t="inlineStr">
        <is>
          <t>SHELVES</t>
        </is>
      </c>
      <c r="D1243" t="inlineStr">
        <is>
          <t>WY115 H126h 1987</t>
        </is>
      </c>
      <c r="E1243" t="inlineStr">
        <is>
          <t>0                      WY 0115000H  126h        1987</t>
        </is>
      </c>
      <c r="F1243" t="inlineStr">
        <is>
          <t>High tech home care : a practical guide / Amy Marie Haddad.</t>
        </is>
      </c>
      <c r="H1243" t="inlineStr">
        <is>
          <t>No</t>
        </is>
      </c>
      <c r="I1243" t="inlineStr">
        <is>
          <t>1</t>
        </is>
      </c>
      <c r="J1243" t="inlineStr">
        <is>
          <t>No</t>
        </is>
      </c>
      <c r="K1243" t="inlineStr">
        <is>
          <t>No</t>
        </is>
      </c>
      <c r="L1243" t="inlineStr">
        <is>
          <t>0</t>
        </is>
      </c>
      <c r="M1243" t="inlineStr">
        <is>
          <t>Haddad, Amy Marie.</t>
        </is>
      </c>
      <c r="N1243" t="inlineStr">
        <is>
          <t>Rockville, Md. : Aspen Publishers, c1987.</t>
        </is>
      </c>
      <c r="O1243" t="inlineStr">
        <is>
          <t>1987</t>
        </is>
      </c>
      <c r="Q1243" t="inlineStr">
        <is>
          <t>eng</t>
        </is>
      </c>
      <c r="R1243" t="inlineStr">
        <is>
          <t>xxu</t>
        </is>
      </c>
      <c r="T1243" t="inlineStr">
        <is>
          <t xml:space="preserve">WY </t>
        </is>
      </c>
      <c r="U1243" t="n">
        <v>38</v>
      </c>
      <c r="V1243" t="n">
        <v>38</v>
      </c>
      <c r="W1243" t="inlineStr">
        <is>
          <t>1998-12-02</t>
        </is>
      </c>
      <c r="X1243" t="inlineStr">
        <is>
          <t>1998-12-02</t>
        </is>
      </c>
      <c r="Y1243" t="inlineStr">
        <is>
          <t>1987-10-21</t>
        </is>
      </c>
      <c r="Z1243" t="inlineStr">
        <is>
          <t>1987-10-21</t>
        </is>
      </c>
      <c r="AA1243" t="n">
        <v>163</v>
      </c>
      <c r="AB1243" t="n">
        <v>154</v>
      </c>
      <c r="AC1243" t="n">
        <v>159</v>
      </c>
      <c r="AD1243" t="n">
        <v>2</v>
      </c>
      <c r="AE1243" t="n">
        <v>2</v>
      </c>
      <c r="AF1243" t="n">
        <v>7</v>
      </c>
      <c r="AG1243" t="n">
        <v>7</v>
      </c>
      <c r="AH1243" t="n">
        <v>4</v>
      </c>
      <c r="AI1243" t="n">
        <v>4</v>
      </c>
      <c r="AJ1243" t="n">
        <v>1</v>
      </c>
      <c r="AK1243" t="n">
        <v>1</v>
      </c>
      <c r="AL1243" t="n">
        <v>6</v>
      </c>
      <c r="AM1243" t="n">
        <v>6</v>
      </c>
      <c r="AN1243" t="n">
        <v>0</v>
      </c>
      <c r="AO1243" t="n">
        <v>0</v>
      </c>
      <c r="AP1243" t="n">
        <v>0</v>
      </c>
      <c r="AQ1243" t="n">
        <v>0</v>
      </c>
      <c r="AR1243" t="inlineStr">
        <is>
          <t>No</t>
        </is>
      </c>
      <c r="AS1243" t="inlineStr">
        <is>
          <t>No</t>
        </is>
      </c>
      <c r="AU1243">
        <f>HYPERLINK("https://creighton-primo.hosted.exlibrisgroup.com/primo-explore/search?tab=default_tab&amp;search_scope=EVERYTHING&amp;vid=01CRU&amp;lang=en_US&amp;offset=0&amp;query=any,contains,991001528509702656","Catalog Record")</f>
        <v/>
      </c>
      <c r="AV1243">
        <f>HYPERLINK("http://www.worldcat.org/oclc/15489673","WorldCat Record")</f>
        <v/>
      </c>
      <c r="AW1243" t="inlineStr">
        <is>
          <t>4421152416:eng</t>
        </is>
      </c>
      <c r="AX1243" t="inlineStr">
        <is>
          <t>15489673</t>
        </is>
      </c>
      <c r="AY1243" t="inlineStr">
        <is>
          <t>991001528509702656</t>
        </is>
      </c>
      <c r="AZ1243" t="inlineStr">
        <is>
          <t>991001528509702656</t>
        </is>
      </c>
      <c r="BA1243" t="inlineStr">
        <is>
          <t>2265207370002656</t>
        </is>
      </c>
      <c r="BB1243" t="inlineStr">
        <is>
          <t>BOOK</t>
        </is>
      </c>
      <c r="BD1243" t="inlineStr">
        <is>
          <t>9780871896476</t>
        </is>
      </c>
      <c r="BE1243" t="inlineStr">
        <is>
          <t>30001000620726</t>
        </is>
      </c>
      <c r="BF1243" t="inlineStr">
        <is>
          <t>893358694</t>
        </is>
      </c>
    </row>
    <row r="1244">
      <c r="A1244" t="inlineStr">
        <is>
          <t>No</t>
        </is>
      </c>
      <c r="B1244" t="inlineStr">
        <is>
          <t>CUHSL</t>
        </is>
      </c>
      <c r="C1244" t="inlineStr">
        <is>
          <t>SHELVES</t>
        </is>
      </c>
      <c r="D1244" t="inlineStr">
        <is>
          <t>WY 115 H236 1997</t>
        </is>
      </c>
      <c r="E1244" t="inlineStr">
        <is>
          <t>0                      WY 0115000H  236         1997</t>
        </is>
      </c>
      <c r="F1244" t="inlineStr">
        <is>
          <t>Handbook of home health care administration / [edited by] Marilyn D. Harris.</t>
        </is>
      </c>
      <c r="H1244" t="inlineStr">
        <is>
          <t>No</t>
        </is>
      </c>
      <c r="I1244" t="inlineStr">
        <is>
          <t>1</t>
        </is>
      </c>
      <c r="J1244" t="inlineStr">
        <is>
          <t>No</t>
        </is>
      </c>
      <c r="K1244" t="inlineStr">
        <is>
          <t>No</t>
        </is>
      </c>
      <c r="L1244" t="inlineStr">
        <is>
          <t>0</t>
        </is>
      </c>
      <c r="N1244" t="inlineStr">
        <is>
          <t>Gaithersburg, Md. : Aspen Publishers, c1997.</t>
        </is>
      </c>
      <c r="O1244" t="inlineStr">
        <is>
          <t>1997</t>
        </is>
      </c>
      <c r="P1244" t="inlineStr">
        <is>
          <t>2nd ed.</t>
        </is>
      </c>
      <c r="Q1244" t="inlineStr">
        <is>
          <t>eng</t>
        </is>
      </c>
      <c r="R1244" t="inlineStr">
        <is>
          <t>mdu</t>
        </is>
      </c>
      <c r="T1244" t="inlineStr">
        <is>
          <t xml:space="preserve">WY </t>
        </is>
      </c>
      <c r="U1244" t="n">
        <v>5</v>
      </c>
      <c r="V1244" t="n">
        <v>5</v>
      </c>
      <c r="W1244" t="inlineStr">
        <is>
          <t>2010-02-01</t>
        </is>
      </c>
      <c r="X1244" t="inlineStr">
        <is>
          <t>2010-02-01</t>
        </is>
      </c>
      <c r="Y1244" t="inlineStr">
        <is>
          <t>1997-12-18</t>
        </is>
      </c>
      <c r="Z1244" t="inlineStr">
        <is>
          <t>1997-12-18</t>
        </is>
      </c>
      <c r="AA1244" t="n">
        <v>213</v>
      </c>
      <c r="AB1244" t="n">
        <v>182</v>
      </c>
      <c r="AC1244" t="n">
        <v>491</v>
      </c>
      <c r="AD1244" t="n">
        <v>1</v>
      </c>
      <c r="AE1244" t="n">
        <v>3</v>
      </c>
      <c r="AF1244" t="n">
        <v>7</v>
      </c>
      <c r="AG1244" t="n">
        <v>22</v>
      </c>
      <c r="AH1244" t="n">
        <v>2</v>
      </c>
      <c r="AI1244" t="n">
        <v>7</v>
      </c>
      <c r="AJ1244" t="n">
        <v>3</v>
      </c>
      <c r="AK1244" t="n">
        <v>5</v>
      </c>
      <c r="AL1244" t="n">
        <v>4</v>
      </c>
      <c r="AM1244" t="n">
        <v>12</v>
      </c>
      <c r="AN1244" t="n">
        <v>0</v>
      </c>
      <c r="AO1244" t="n">
        <v>2</v>
      </c>
      <c r="AP1244" t="n">
        <v>0</v>
      </c>
      <c r="AQ1244" t="n">
        <v>1</v>
      </c>
      <c r="AR1244" t="inlineStr">
        <is>
          <t>No</t>
        </is>
      </c>
      <c r="AS1244" t="inlineStr">
        <is>
          <t>Yes</t>
        </is>
      </c>
      <c r="AT1244">
        <f>HYPERLINK("http://catalog.hathitrust.org/Record/003184833","HathiTrust Record")</f>
        <v/>
      </c>
      <c r="AU1244">
        <f>HYPERLINK("https://creighton-primo.hosted.exlibrisgroup.com/primo-explore/search?tab=default_tab&amp;search_scope=EVERYTHING&amp;vid=01CRU&amp;lang=en_US&amp;offset=0&amp;query=any,contains,991001135549702656","Catalog Record")</f>
        <v/>
      </c>
      <c r="AV1244">
        <f>HYPERLINK("http://www.worldcat.org/oclc/36510779","WorldCat Record")</f>
        <v/>
      </c>
      <c r="AW1244" t="inlineStr">
        <is>
          <t>55806514:eng</t>
        </is>
      </c>
      <c r="AX1244" t="inlineStr">
        <is>
          <t>36510779</t>
        </is>
      </c>
      <c r="AY1244" t="inlineStr">
        <is>
          <t>991001135549702656</t>
        </is>
      </c>
      <c r="AZ1244" t="inlineStr">
        <is>
          <t>991001135549702656</t>
        </is>
      </c>
      <c r="BA1244" t="inlineStr">
        <is>
          <t>2269074970002656</t>
        </is>
      </c>
      <c r="BB1244" t="inlineStr">
        <is>
          <t>BOOK</t>
        </is>
      </c>
      <c r="BD1244" t="inlineStr">
        <is>
          <t>9780834209183</t>
        </is>
      </c>
      <c r="BE1244" t="inlineStr">
        <is>
          <t>30001003626241</t>
        </is>
      </c>
      <c r="BF1244" t="inlineStr">
        <is>
          <t>893643250</t>
        </is>
      </c>
    </row>
    <row r="1245">
      <c r="A1245" t="inlineStr">
        <is>
          <t>No</t>
        </is>
      </c>
      <c r="B1245" t="inlineStr">
        <is>
          <t>CUHSL</t>
        </is>
      </c>
      <c r="C1245" t="inlineStr">
        <is>
          <t>SHELVES</t>
        </is>
      </c>
      <c r="D1245" t="inlineStr">
        <is>
          <t>WY 115 H251n 1999</t>
        </is>
      </c>
      <c r="E1245" t="inlineStr">
        <is>
          <t>0                      WY 0115000H  251n        1999</t>
        </is>
      </c>
      <c r="F1245" t="inlineStr">
        <is>
          <t>Home care nursing delegation skills : a handbook for practice / Ruth I. Hansten, Marilynn J. Washburn, Virginia Kenyon.</t>
        </is>
      </c>
      <c r="H1245" t="inlineStr">
        <is>
          <t>No</t>
        </is>
      </c>
      <c r="I1245" t="inlineStr">
        <is>
          <t>1</t>
        </is>
      </c>
      <c r="J1245" t="inlineStr">
        <is>
          <t>No</t>
        </is>
      </c>
      <c r="K1245" t="inlineStr">
        <is>
          <t>No</t>
        </is>
      </c>
      <c r="L1245" t="inlineStr">
        <is>
          <t>0</t>
        </is>
      </c>
      <c r="M1245" t="inlineStr">
        <is>
          <t>Hansten, Ruth I.</t>
        </is>
      </c>
      <c r="N1245" t="inlineStr">
        <is>
          <t>Gaithersburg, Md. : Aspen Publishers, c1999.</t>
        </is>
      </c>
      <c r="O1245" t="inlineStr">
        <is>
          <t>1999</t>
        </is>
      </c>
      <c r="Q1245" t="inlineStr">
        <is>
          <t>eng</t>
        </is>
      </c>
      <c r="R1245" t="inlineStr">
        <is>
          <t>mdu</t>
        </is>
      </c>
      <c r="T1245" t="inlineStr">
        <is>
          <t xml:space="preserve">WY </t>
        </is>
      </c>
      <c r="U1245" t="n">
        <v>3</v>
      </c>
      <c r="V1245" t="n">
        <v>3</v>
      </c>
      <c r="W1245" t="inlineStr">
        <is>
          <t>1999-05-07</t>
        </is>
      </c>
      <c r="X1245" t="inlineStr">
        <is>
          <t>1999-05-07</t>
        </is>
      </c>
      <c r="Y1245" t="inlineStr">
        <is>
          <t>1999-05-07</t>
        </is>
      </c>
      <c r="Z1245" t="inlineStr">
        <is>
          <t>1999-05-07</t>
        </is>
      </c>
      <c r="AA1245" t="n">
        <v>221</v>
      </c>
      <c r="AB1245" t="n">
        <v>199</v>
      </c>
      <c r="AC1245" t="n">
        <v>206</v>
      </c>
      <c r="AD1245" t="n">
        <v>1</v>
      </c>
      <c r="AE1245" t="n">
        <v>1</v>
      </c>
      <c r="AF1245" t="n">
        <v>7</v>
      </c>
      <c r="AG1245" t="n">
        <v>7</v>
      </c>
      <c r="AH1245" t="n">
        <v>2</v>
      </c>
      <c r="AI1245" t="n">
        <v>2</v>
      </c>
      <c r="AJ1245" t="n">
        <v>1</v>
      </c>
      <c r="AK1245" t="n">
        <v>1</v>
      </c>
      <c r="AL1245" t="n">
        <v>5</v>
      </c>
      <c r="AM1245" t="n">
        <v>5</v>
      </c>
      <c r="AN1245" t="n">
        <v>0</v>
      </c>
      <c r="AO1245" t="n">
        <v>0</v>
      </c>
      <c r="AP1245" t="n">
        <v>0</v>
      </c>
      <c r="AQ1245" t="n">
        <v>0</v>
      </c>
      <c r="AR1245" t="inlineStr">
        <is>
          <t>No</t>
        </is>
      </c>
      <c r="AS1245" t="inlineStr">
        <is>
          <t>Yes</t>
        </is>
      </c>
      <c r="AT1245">
        <f>HYPERLINK("http://catalog.hathitrust.org/Record/004017049","HathiTrust Record")</f>
        <v/>
      </c>
      <c r="AU1245">
        <f>HYPERLINK("https://creighton-primo.hosted.exlibrisgroup.com/primo-explore/search?tab=default_tab&amp;search_scope=EVERYTHING&amp;vid=01CRU&amp;lang=en_US&amp;offset=0&amp;query=any,contains,991001567669702656","Catalog Record")</f>
        <v/>
      </c>
      <c r="AV1245">
        <f>HYPERLINK("http://www.worldcat.org/oclc/39982639","WorldCat Record")</f>
        <v/>
      </c>
      <c r="AW1245" t="inlineStr">
        <is>
          <t>476236677:eng</t>
        </is>
      </c>
      <c r="AX1245" t="inlineStr">
        <is>
          <t>39982639</t>
        </is>
      </c>
      <c r="AY1245" t="inlineStr">
        <is>
          <t>991001567669702656</t>
        </is>
      </c>
      <c r="AZ1245" t="inlineStr">
        <is>
          <t>991001567669702656</t>
        </is>
      </c>
      <c r="BA1245" t="inlineStr">
        <is>
          <t>2258007850002656</t>
        </is>
      </c>
      <c r="BB1245" t="inlineStr">
        <is>
          <t>BOOK</t>
        </is>
      </c>
      <c r="BD1245" t="inlineStr">
        <is>
          <t>9780834212336</t>
        </is>
      </c>
      <c r="BE1245" t="inlineStr">
        <is>
          <t>30001004073393</t>
        </is>
      </c>
      <c r="BF1245" t="inlineStr">
        <is>
          <t>893274299</t>
        </is>
      </c>
    </row>
    <row r="1246">
      <c r="A1246" t="inlineStr">
        <is>
          <t>No</t>
        </is>
      </c>
      <c r="B1246" t="inlineStr">
        <is>
          <t>CUHSL</t>
        </is>
      </c>
      <c r="C1246" t="inlineStr">
        <is>
          <t>SHELVES</t>
        </is>
      </c>
      <c r="D1246" t="inlineStr">
        <is>
          <t>WY 115 H7642 1999</t>
        </is>
      </c>
      <c r="E1246" t="inlineStr">
        <is>
          <t>0                      WY 0115000H  7642        1999</t>
        </is>
      </c>
      <c r="F1246" t="inlineStr">
        <is>
          <t>Home care of the elderly / [edited by] Sheryl Mara Zang, Judith A. Allender.</t>
        </is>
      </c>
      <c r="H1246" t="inlineStr">
        <is>
          <t>No</t>
        </is>
      </c>
      <c r="I1246" t="inlineStr">
        <is>
          <t>1</t>
        </is>
      </c>
      <c r="J1246" t="inlineStr">
        <is>
          <t>No</t>
        </is>
      </c>
      <c r="K1246" t="inlineStr">
        <is>
          <t>No</t>
        </is>
      </c>
      <c r="L1246" t="inlineStr">
        <is>
          <t>0</t>
        </is>
      </c>
      <c r="N1246" t="inlineStr">
        <is>
          <t>Philadelphia : Lippincott, c1999.</t>
        </is>
      </c>
      <c r="O1246" t="inlineStr">
        <is>
          <t>1999</t>
        </is>
      </c>
      <c r="Q1246" t="inlineStr">
        <is>
          <t>eng</t>
        </is>
      </c>
      <c r="R1246" t="inlineStr">
        <is>
          <t>pau</t>
        </is>
      </c>
      <c r="T1246" t="inlineStr">
        <is>
          <t xml:space="preserve">WY </t>
        </is>
      </c>
      <c r="U1246" t="n">
        <v>3</v>
      </c>
      <c r="V1246" t="n">
        <v>3</v>
      </c>
      <c r="W1246" t="inlineStr">
        <is>
          <t>2002-10-17</t>
        </is>
      </c>
      <c r="X1246" t="inlineStr">
        <is>
          <t>2002-10-17</t>
        </is>
      </c>
      <c r="Y1246" t="inlineStr">
        <is>
          <t>2002-06-13</t>
        </is>
      </c>
      <c r="Z1246" t="inlineStr">
        <is>
          <t>2002-06-13</t>
        </is>
      </c>
      <c r="AA1246" t="n">
        <v>323</v>
      </c>
      <c r="AB1246" t="n">
        <v>257</v>
      </c>
      <c r="AC1246" t="n">
        <v>264</v>
      </c>
      <c r="AD1246" t="n">
        <v>1</v>
      </c>
      <c r="AE1246" t="n">
        <v>1</v>
      </c>
      <c r="AF1246" t="n">
        <v>7</v>
      </c>
      <c r="AG1246" t="n">
        <v>7</v>
      </c>
      <c r="AH1246" t="n">
        <v>1</v>
      </c>
      <c r="AI1246" t="n">
        <v>1</v>
      </c>
      <c r="AJ1246" t="n">
        <v>1</v>
      </c>
      <c r="AK1246" t="n">
        <v>1</v>
      </c>
      <c r="AL1246" t="n">
        <v>7</v>
      </c>
      <c r="AM1246" t="n">
        <v>7</v>
      </c>
      <c r="AN1246" t="n">
        <v>0</v>
      </c>
      <c r="AO1246" t="n">
        <v>0</v>
      </c>
      <c r="AP1246" t="n">
        <v>0</v>
      </c>
      <c r="AQ1246" t="n">
        <v>0</v>
      </c>
      <c r="AR1246" t="inlineStr">
        <is>
          <t>No</t>
        </is>
      </c>
      <c r="AS1246" t="inlineStr">
        <is>
          <t>Yes</t>
        </is>
      </c>
      <c r="AT1246">
        <f>HYPERLINK("http://catalog.hathitrust.org/Record/004027466","HathiTrust Record")</f>
        <v/>
      </c>
      <c r="AU1246">
        <f>HYPERLINK("https://creighton-primo.hosted.exlibrisgroup.com/primo-explore/search?tab=default_tab&amp;search_scope=EVERYTHING&amp;vid=01CRU&amp;lang=en_US&amp;offset=0&amp;query=any,contains,991000313939702656","Catalog Record")</f>
        <v/>
      </c>
      <c r="AV1246">
        <f>HYPERLINK("http://www.worldcat.org/oclc/39094238","WorldCat Record")</f>
        <v/>
      </c>
      <c r="AW1246" t="inlineStr">
        <is>
          <t>42613986:eng</t>
        </is>
      </c>
      <c r="AX1246" t="inlineStr">
        <is>
          <t>39094238</t>
        </is>
      </c>
      <c r="AY1246" t="inlineStr">
        <is>
          <t>991000313939702656</t>
        </is>
      </c>
      <c r="AZ1246" t="inlineStr">
        <is>
          <t>991000313939702656</t>
        </is>
      </c>
      <c r="BA1246" t="inlineStr">
        <is>
          <t>2271519140002656</t>
        </is>
      </c>
      <c r="BB1246" t="inlineStr">
        <is>
          <t>BOOK</t>
        </is>
      </c>
      <c r="BD1246" t="inlineStr">
        <is>
          <t>9780781715423</t>
        </is>
      </c>
      <c r="BE1246" t="inlineStr">
        <is>
          <t>30001004238954</t>
        </is>
      </c>
      <c r="BF1246" t="inlineStr">
        <is>
          <t>893728267</t>
        </is>
      </c>
    </row>
    <row r="1247">
      <c r="A1247" t="inlineStr">
        <is>
          <t>No</t>
        </is>
      </c>
      <c r="B1247" t="inlineStr">
        <is>
          <t>CUHSL</t>
        </is>
      </c>
      <c r="C1247" t="inlineStr">
        <is>
          <t>SHELVES</t>
        </is>
      </c>
      <c r="D1247" t="inlineStr">
        <is>
          <t>WY 115 H765 1997</t>
        </is>
      </c>
      <c r="E1247" t="inlineStr">
        <is>
          <t>0                      WY 0115000H  765         1997</t>
        </is>
      </c>
      <c r="F1247" t="inlineStr">
        <is>
          <t>Home health care : principles and practices / editors, John S. Spratt, Rhonda L. Hawley, Robert E. Hoye.</t>
        </is>
      </c>
      <c r="H1247" t="inlineStr">
        <is>
          <t>No</t>
        </is>
      </c>
      <c r="I1247" t="inlineStr">
        <is>
          <t>1</t>
        </is>
      </c>
      <c r="J1247" t="inlineStr">
        <is>
          <t>No</t>
        </is>
      </c>
      <c r="K1247" t="inlineStr">
        <is>
          <t>No</t>
        </is>
      </c>
      <c r="L1247" t="inlineStr">
        <is>
          <t>0</t>
        </is>
      </c>
      <c r="N1247" t="inlineStr">
        <is>
          <t>Delray Beach, Florida : GR/St. Lucie Press, c1997.</t>
        </is>
      </c>
      <c r="O1247" t="inlineStr">
        <is>
          <t>1997</t>
        </is>
      </c>
      <c r="Q1247" t="inlineStr">
        <is>
          <t>eng</t>
        </is>
      </c>
      <c r="R1247" t="inlineStr">
        <is>
          <t>flu</t>
        </is>
      </c>
      <c r="T1247" t="inlineStr">
        <is>
          <t xml:space="preserve">WY </t>
        </is>
      </c>
      <c r="U1247" t="n">
        <v>4</v>
      </c>
      <c r="V1247" t="n">
        <v>4</v>
      </c>
      <c r="W1247" t="inlineStr">
        <is>
          <t>2002-11-19</t>
        </is>
      </c>
      <c r="X1247" t="inlineStr">
        <is>
          <t>2002-11-19</t>
        </is>
      </c>
      <c r="Y1247" t="inlineStr">
        <is>
          <t>1997-03-21</t>
        </is>
      </c>
      <c r="Z1247" t="inlineStr">
        <is>
          <t>1997-03-21</t>
        </is>
      </c>
      <c r="AA1247" t="n">
        <v>218</v>
      </c>
      <c r="AB1247" t="n">
        <v>178</v>
      </c>
      <c r="AC1247" t="n">
        <v>183</v>
      </c>
      <c r="AD1247" t="n">
        <v>2</v>
      </c>
      <c r="AE1247" t="n">
        <v>2</v>
      </c>
      <c r="AF1247" t="n">
        <v>9</v>
      </c>
      <c r="AG1247" t="n">
        <v>9</v>
      </c>
      <c r="AH1247" t="n">
        <v>5</v>
      </c>
      <c r="AI1247" t="n">
        <v>5</v>
      </c>
      <c r="AJ1247" t="n">
        <v>2</v>
      </c>
      <c r="AK1247" t="n">
        <v>2</v>
      </c>
      <c r="AL1247" t="n">
        <v>3</v>
      </c>
      <c r="AM1247" t="n">
        <v>3</v>
      </c>
      <c r="AN1247" t="n">
        <v>1</v>
      </c>
      <c r="AO1247" t="n">
        <v>1</v>
      </c>
      <c r="AP1247" t="n">
        <v>0</v>
      </c>
      <c r="AQ1247" t="n">
        <v>0</v>
      </c>
      <c r="AR1247" t="inlineStr">
        <is>
          <t>No</t>
        </is>
      </c>
      <c r="AS1247" t="inlineStr">
        <is>
          <t>No</t>
        </is>
      </c>
      <c r="AU1247">
        <f>HYPERLINK("https://creighton-primo.hosted.exlibrisgroup.com/primo-explore/search?tab=default_tab&amp;search_scope=EVERYTHING&amp;vid=01CRU&amp;lang=en_US&amp;offset=0&amp;query=any,contains,991000837959702656","Catalog Record")</f>
        <v/>
      </c>
      <c r="AV1247">
        <f>HYPERLINK("http://www.worldcat.org/oclc/35657356","WorldCat Record")</f>
        <v/>
      </c>
      <c r="AW1247" t="inlineStr">
        <is>
          <t>40135576:eng</t>
        </is>
      </c>
      <c r="AX1247" t="inlineStr">
        <is>
          <t>35657356</t>
        </is>
      </c>
      <c r="AY1247" t="inlineStr">
        <is>
          <t>991000837959702656</t>
        </is>
      </c>
      <c r="AZ1247" t="inlineStr">
        <is>
          <t>991000837959702656</t>
        </is>
      </c>
      <c r="BA1247" t="inlineStr">
        <is>
          <t>2255657730002656</t>
        </is>
      </c>
      <c r="BB1247" t="inlineStr">
        <is>
          <t>BOOK</t>
        </is>
      </c>
      <c r="BD1247" t="inlineStr">
        <is>
          <t>9781884015939</t>
        </is>
      </c>
      <c r="BE1247" t="inlineStr">
        <is>
          <t>30001003442565</t>
        </is>
      </c>
      <c r="BF1247" t="inlineStr">
        <is>
          <t>893278319</t>
        </is>
      </c>
    </row>
    <row r="1248">
      <c r="A1248" t="inlineStr">
        <is>
          <t>No</t>
        </is>
      </c>
      <c r="B1248" t="inlineStr">
        <is>
          <t>CUHSL</t>
        </is>
      </c>
      <c r="C1248" t="inlineStr">
        <is>
          <t>SHELVES</t>
        </is>
      </c>
      <c r="D1248" t="inlineStr">
        <is>
          <t>WY 115 H7655 1977</t>
        </is>
      </c>
      <c r="E1248" t="inlineStr">
        <is>
          <t>0                      WY 0115000H  7655        1977</t>
        </is>
      </c>
      <c r="F1248" t="inlineStr">
        <is>
          <t>Home health care : a discussion paper / Intra-Departmental HHC Policy Working Group, U. S. Dept. of Health, Education, and Welfare.</t>
        </is>
      </c>
      <c r="H1248" t="inlineStr">
        <is>
          <t>No</t>
        </is>
      </c>
      <c r="I1248" t="inlineStr">
        <is>
          <t>1</t>
        </is>
      </c>
      <c r="J1248" t="inlineStr">
        <is>
          <t>No</t>
        </is>
      </c>
      <c r="K1248" t="inlineStr">
        <is>
          <t>No</t>
        </is>
      </c>
      <c r="L1248" t="inlineStr">
        <is>
          <t>0</t>
        </is>
      </c>
      <c r="N1248" t="inlineStr">
        <is>
          <t>New York : National League for Nursing, c1977.</t>
        </is>
      </c>
      <c r="O1248" t="inlineStr">
        <is>
          <t>1977</t>
        </is>
      </c>
      <c r="Q1248" t="inlineStr">
        <is>
          <t>eng</t>
        </is>
      </c>
      <c r="R1248" t="inlineStr">
        <is>
          <t>nyu</t>
        </is>
      </c>
      <c r="S1248" t="inlineStr">
        <is>
          <t>League exchange ; no. 113</t>
        </is>
      </c>
      <c r="T1248" t="inlineStr">
        <is>
          <t xml:space="preserve">WY </t>
        </is>
      </c>
      <c r="U1248" t="n">
        <v>1</v>
      </c>
      <c r="V1248" t="n">
        <v>1</v>
      </c>
      <c r="W1248" t="inlineStr">
        <is>
          <t>1990-08-20</t>
        </is>
      </c>
      <c r="X1248" t="inlineStr">
        <is>
          <t>1990-08-20</t>
        </is>
      </c>
      <c r="Y1248" t="inlineStr">
        <is>
          <t>1987-11-04</t>
        </is>
      </c>
      <c r="Z1248" t="inlineStr">
        <is>
          <t>1987-11-04</t>
        </is>
      </c>
      <c r="AA1248" t="n">
        <v>77</v>
      </c>
      <c r="AB1248" t="n">
        <v>69</v>
      </c>
      <c r="AC1248" t="n">
        <v>71</v>
      </c>
      <c r="AD1248" t="n">
        <v>1</v>
      </c>
      <c r="AE1248" t="n">
        <v>1</v>
      </c>
      <c r="AF1248" t="n">
        <v>2</v>
      </c>
      <c r="AG1248" t="n">
        <v>2</v>
      </c>
      <c r="AH1248" t="n">
        <v>0</v>
      </c>
      <c r="AI1248" t="n">
        <v>0</v>
      </c>
      <c r="AJ1248" t="n">
        <v>1</v>
      </c>
      <c r="AK1248" t="n">
        <v>1</v>
      </c>
      <c r="AL1248" t="n">
        <v>2</v>
      </c>
      <c r="AM1248" t="n">
        <v>2</v>
      </c>
      <c r="AN1248" t="n">
        <v>0</v>
      </c>
      <c r="AO1248" t="n">
        <v>0</v>
      </c>
      <c r="AP1248" t="n">
        <v>0</v>
      </c>
      <c r="AQ1248" t="n">
        <v>0</v>
      </c>
      <c r="AR1248" t="inlineStr">
        <is>
          <t>No</t>
        </is>
      </c>
      <c r="AS1248" t="inlineStr">
        <is>
          <t>Yes</t>
        </is>
      </c>
      <c r="AT1248">
        <f>HYPERLINK("http://catalog.hathitrust.org/Record/002185390","HathiTrust Record")</f>
        <v/>
      </c>
      <c r="AU1248">
        <f>HYPERLINK("https://creighton-primo.hosted.exlibrisgroup.com/primo-explore/search?tab=default_tab&amp;search_scope=EVERYTHING&amp;vid=01CRU&amp;lang=en_US&amp;offset=0&amp;query=any,contains,991001386679702656","Catalog Record")</f>
        <v/>
      </c>
      <c r="AV1248">
        <f>HYPERLINK("http://www.worldcat.org/oclc/14385566","WorldCat Record")</f>
        <v/>
      </c>
      <c r="AW1248" t="inlineStr">
        <is>
          <t>1151093780:eng</t>
        </is>
      </c>
      <c r="AX1248" t="inlineStr">
        <is>
          <t>14385566</t>
        </is>
      </c>
      <c r="AY1248" t="inlineStr">
        <is>
          <t>991001386679702656</t>
        </is>
      </c>
      <c r="AZ1248" t="inlineStr">
        <is>
          <t>991001386679702656</t>
        </is>
      </c>
      <c r="BA1248" t="inlineStr">
        <is>
          <t>2269143410002656</t>
        </is>
      </c>
      <c r="BB1248" t="inlineStr">
        <is>
          <t>BOOK</t>
        </is>
      </c>
      <c r="BE1248" t="inlineStr">
        <is>
          <t>30001000463903</t>
        </is>
      </c>
      <c r="BF1248" t="inlineStr">
        <is>
          <t>893541315</t>
        </is>
      </c>
    </row>
    <row r="1249">
      <c r="A1249" t="inlineStr">
        <is>
          <t>No</t>
        </is>
      </c>
      <c r="B1249" t="inlineStr">
        <is>
          <t>CUHSL</t>
        </is>
      </c>
      <c r="C1249" t="inlineStr">
        <is>
          <t>SHELVES</t>
        </is>
      </c>
      <c r="D1249" t="inlineStr">
        <is>
          <t>WY 115 H7657 1992</t>
        </is>
      </c>
      <c r="E1249" t="inlineStr">
        <is>
          <t>0                      WY 0115000H  7657        1992</t>
        </is>
      </c>
      <c r="F1249" t="inlineStr">
        <is>
          <t>Home health nursing practice : concepts &amp; application / [edited by] Robyn Rice.</t>
        </is>
      </c>
      <c r="H1249" t="inlineStr">
        <is>
          <t>No</t>
        </is>
      </c>
      <c r="I1249" t="inlineStr">
        <is>
          <t>1</t>
        </is>
      </c>
      <c r="J1249" t="inlineStr">
        <is>
          <t>No</t>
        </is>
      </c>
      <c r="K1249" t="inlineStr">
        <is>
          <t>No</t>
        </is>
      </c>
      <c r="L1249" t="inlineStr">
        <is>
          <t>0</t>
        </is>
      </c>
      <c r="N1249" t="inlineStr">
        <is>
          <t>St. Louis : Mosby Year Book, c1992.</t>
        </is>
      </c>
      <c r="O1249" t="inlineStr">
        <is>
          <t>1992</t>
        </is>
      </c>
      <c r="Q1249" t="inlineStr">
        <is>
          <t>eng</t>
        </is>
      </c>
      <c r="R1249" t="inlineStr">
        <is>
          <t>mou</t>
        </is>
      </c>
      <c r="T1249" t="inlineStr">
        <is>
          <t xml:space="preserve">WY </t>
        </is>
      </c>
      <c r="U1249" t="n">
        <v>7</v>
      </c>
      <c r="V1249" t="n">
        <v>7</v>
      </c>
      <c r="W1249" t="inlineStr">
        <is>
          <t>2003-02-23</t>
        </is>
      </c>
      <c r="X1249" t="inlineStr">
        <is>
          <t>2003-02-23</t>
        </is>
      </c>
      <c r="Y1249" t="inlineStr">
        <is>
          <t>1993-03-02</t>
        </is>
      </c>
      <c r="Z1249" t="inlineStr">
        <is>
          <t>1993-03-02</t>
        </is>
      </c>
      <c r="AA1249" t="n">
        <v>214</v>
      </c>
      <c r="AB1249" t="n">
        <v>172</v>
      </c>
      <c r="AC1249" t="n">
        <v>387</v>
      </c>
      <c r="AD1249" t="n">
        <v>1</v>
      </c>
      <c r="AE1249" t="n">
        <v>2</v>
      </c>
      <c r="AF1249" t="n">
        <v>6</v>
      </c>
      <c r="AG1249" t="n">
        <v>15</v>
      </c>
      <c r="AH1249" t="n">
        <v>3</v>
      </c>
      <c r="AI1249" t="n">
        <v>6</v>
      </c>
      <c r="AJ1249" t="n">
        <v>1</v>
      </c>
      <c r="AK1249" t="n">
        <v>3</v>
      </c>
      <c r="AL1249" t="n">
        <v>4</v>
      </c>
      <c r="AM1249" t="n">
        <v>9</v>
      </c>
      <c r="AN1249" t="n">
        <v>0</v>
      </c>
      <c r="AO1249" t="n">
        <v>1</v>
      </c>
      <c r="AP1249" t="n">
        <v>0</v>
      </c>
      <c r="AQ1249" t="n">
        <v>0</v>
      </c>
      <c r="AR1249" t="inlineStr">
        <is>
          <t>No</t>
        </is>
      </c>
      <c r="AS1249" t="inlineStr">
        <is>
          <t>Yes</t>
        </is>
      </c>
      <c r="AT1249">
        <f>HYPERLINK("http://catalog.hathitrust.org/Record/002525617","HathiTrust Record")</f>
        <v/>
      </c>
      <c r="AU1249">
        <f>HYPERLINK("https://creighton-primo.hosted.exlibrisgroup.com/primo-explore/search?tab=default_tab&amp;search_scope=EVERYTHING&amp;vid=01CRU&amp;lang=en_US&amp;offset=0&amp;query=any,contains,991001431689702656","Catalog Record")</f>
        <v/>
      </c>
      <c r="AV1249">
        <f>HYPERLINK("http://www.worldcat.org/oclc/24793617","WorldCat Record")</f>
        <v/>
      </c>
      <c r="AW1249" t="inlineStr">
        <is>
          <t>836999642:eng</t>
        </is>
      </c>
      <c r="AX1249" t="inlineStr">
        <is>
          <t>24793617</t>
        </is>
      </c>
      <c r="AY1249" t="inlineStr">
        <is>
          <t>991001431689702656</t>
        </is>
      </c>
      <c r="AZ1249" t="inlineStr">
        <is>
          <t>991001431689702656</t>
        </is>
      </c>
      <c r="BA1249" t="inlineStr">
        <is>
          <t>2258393450002656</t>
        </is>
      </c>
      <c r="BB1249" t="inlineStr">
        <is>
          <t>BOOK</t>
        </is>
      </c>
      <c r="BD1249" t="inlineStr">
        <is>
          <t>9780801641039</t>
        </is>
      </c>
      <c r="BE1249" t="inlineStr">
        <is>
          <t>30001002529453</t>
        </is>
      </c>
      <c r="BF1249" t="inlineStr">
        <is>
          <t>893741119</t>
        </is>
      </c>
    </row>
    <row r="1250">
      <c r="A1250" t="inlineStr">
        <is>
          <t>No</t>
        </is>
      </c>
      <c r="B1250" t="inlineStr">
        <is>
          <t>CUHSL</t>
        </is>
      </c>
      <c r="C1250" t="inlineStr">
        <is>
          <t>SHELVES</t>
        </is>
      </c>
      <c r="D1250" t="inlineStr">
        <is>
          <t>WY 115 I61 1992</t>
        </is>
      </c>
      <c r="E1250" t="inlineStr">
        <is>
          <t>0                      WY 0115000I  61          1992</t>
        </is>
      </c>
      <c r="F1250" t="inlineStr">
        <is>
          <t>Intensive homecare / edited by Michael M. Rothkopf, Jeffrey Askanazi.</t>
        </is>
      </c>
      <c r="H1250" t="inlineStr">
        <is>
          <t>No</t>
        </is>
      </c>
      <c r="I1250" t="inlineStr">
        <is>
          <t>1</t>
        </is>
      </c>
      <c r="J1250" t="inlineStr">
        <is>
          <t>No</t>
        </is>
      </c>
      <c r="K1250" t="inlineStr">
        <is>
          <t>No</t>
        </is>
      </c>
      <c r="L1250" t="inlineStr">
        <is>
          <t>0</t>
        </is>
      </c>
      <c r="N1250" t="inlineStr">
        <is>
          <t>Baltimore : Williams &amp; Wilkins, c1992.</t>
        </is>
      </c>
      <c r="O1250" t="inlineStr">
        <is>
          <t>1992</t>
        </is>
      </c>
      <c r="Q1250" t="inlineStr">
        <is>
          <t>eng</t>
        </is>
      </c>
      <c r="R1250" t="inlineStr">
        <is>
          <t>mdu</t>
        </is>
      </c>
      <c r="T1250" t="inlineStr">
        <is>
          <t xml:space="preserve">WY </t>
        </is>
      </c>
      <c r="U1250" t="n">
        <v>10</v>
      </c>
      <c r="V1250" t="n">
        <v>10</v>
      </c>
      <c r="W1250" t="inlineStr">
        <is>
          <t>1992-08-10</t>
        </is>
      </c>
      <c r="X1250" t="inlineStr">
        <is>
          <t>1992-08-10</t>
        </is>
      </c>
      <c r="Y1250" t="inlineStr">
        <is>
          <t>1992-06-25</t>
        </is>
      </c>
      <c r="Z1250" t="inlineStr">
        <is>
          <t>1992-06-25</t>
        </is>
      </c>
      <c r="AA1250" t="n">
        <v>114</v>
      </c>
      <c r="AB1250" t="n">
        <v>91</v>
      </c>
      <c r="AC1250" t="n">
        <v>93</v>
      </c>
      <c r="AD1250" t="n">
        <v>2</v>
      </c>
      <c r="AE1250" t="n">
        <v>2</v>
      </c>
      <c r="AF1250" t="n">
        <v>0</v>
      </c>
      <c r="AG1250" t="n">
        <v>0</v>
      </c>
      <c r="AH1250" t="n">
        <v>0</v>
      </c>
      <c r="AI1250" t="n">
        <v>0</v>
      </c>
      <c r="AJ1250" t="n">
        <v>0</v>
      </c>
      <c r="AK1250" t="n">
        <v>0</v>
      </c>
      <c r="AL1250" t="n">
        <v>0</v>
      </c>
      <c r="AM1250" t="n">
        <v>0</v>
      </c>
      <c r="AN1250" t="n">
        <v>0</v>
      </c>
      <c r="AO1250" t="n">
        <v>0</v>
      </c>
      <c r="AP1250" t="n">
        <v>0</v>
      </c>
      <c r="AQ1250" t="n">
        <v>0</v>
      </c>
      <c r="AR1250" t="inlineStr">
        <is>
          <t>No</t>
        </is>
      </c>
      <c r="AS1250" t="inlineStr">
        <is>
          <t>Yes</t>
        </is>
      </c>
      <c r="AT1250">
        <f>HYPERLINK("http://catalog.hathitrust.org/Record/002551501","HathiTrust Record")</f>
        <v/>
      </c>
      <c r="AU1250">
        <f>HYPERLINK("https://creighton-primo.hosted.exlibrisgroup.com/primo-explore/search?tab=default_tab&amp;search_scope=EVERYTHING&amp;vid=01CRU&amp;lang=en_US&amp;offset=0&amp;query=any,contains,991001307299702656","Catalog Record")</f>
        <v/>
      </c>
      <c r="AV1250">
        <f>HYPERLINK("http://www.worldcat.org/oclc/24143108","WorldCat Record")</f>
        <v/>
      </c>
      <c r="AW1250" t="inlineStr">
        <is>
          <t>354472262:eng</t>
        </is>
      </c>
      <c r="AX1250" t="inlineStr">
        <is>
          <t>24143108</t>
        </is>
      </c>
      <c r="AY1250" t="inlineStr">
        <is>
          <t>991001307299702656</t>
        </is>
      </c>
      <c r="AZ1250" t="inlineStr">
        <is>
          <t>991001307299702656</t>
        </is>
      </c>
      <c r="BA1250" t="inlineStr">
        <is>
          <t>2266218010002656</t>
        </is>
      </c>
      <c r="BB1250" t="inlineStr">
        <is>
          <t>BOOK</t>
        </is>
      </c>
      <c r="BD1250" t="inlineStr">
        <is>
          <t>9780683073898</t>
        </is>
      </c>
      <c r="BE1250" t="inlineStr">
        <is>
          <t>30001002414219</t>
        </is>
      </c>
      <c r="BF1250" t="inlineStr">
        <is>
          <t>893821113</t>
        </is>
      </c>
    </row>
    <row r="1251">
      <c r="A1251" t="inlineStr">
        <is>
          <t>No</t>
        </is>
      </c>
      <c r="B1251" t="inlineStr">
        <is>
          <t>CUHSL</t>
        </is>
      </c>
      <c r="C1251" t="inlineStr">
        <is>
          <t>SHELVES</t>
        </is>
      </c>
      <c r="D1251" t="inlineStr">
        <is>
          <t>WY 115 J13p 1988</t>
        </is>
      </c>
      <c r="E1251" t="inlineStr">
        <is>
          <t>0                      WY 0115000J  13p         1988</t>
        </is>
      </c>
      <c r="F1251" t="inlineStr">
        <is>
          <t>Patient education in home care : a practical guide to effective teaching and documentation / Janet E. Jackson, Elizabeth A. Johnson.</t>
        </is>
      </c>
      <c r="H1251" t="inlineStr">
        <is>
          <t>No</t>
        </is>
      </c>
      <c r="I1251" t="inlineStr">
        <is>
          <t>1</t>
        </is>
      </c>
      <c r="J1251" t="inlineStr">
        <is>
          <t>No</t>
        </is>
      </c>
      <c r="K1251" t="inlineStr">
        <is>
          <t>No</t>
        </is>
      </c>
      <c r="L1251" t="inlineStr">
        <is>
          <t>0</t>
        </is>
      </c>
      <c r="M1251" t="inlineStr">
        <is>
          <t>Jackson, Janet E.</t>
        </is>
      </c>
      <c r="N1251" t="inlineStr">
        <is>
          <t>Rockville, Md. : Aspen Publishers, c1988.</t>
        </is>
      </c>
      <c r="O1251" t="inlineStr">
        <is>
          <t>1988</t>
        </is>
      </c>
      <c r="Q1251" t="inlineStr">
        <is>
          <t>eng</t>
        </is>
      </c>
      <c r="R1251" t="inlineStr">
        <is>
          <t>mdu</t>
        </is>
      </c>
      <c r="T1251" t="inlineStr">
        <is>
          <t xml:space="preserve">WY </t>
        </is>
      </c>
      <c r="U1251" t="n">
        <v>14</v>
      </c>
      <c r="V1251" t="n">
        <v>14</v>
      </c>
      <c r="W1251" t="inlineStr">
        <is>
          <t>1992-01-08</t>
        </is>
      </c>
      <c r="X1251" t="inlineStr">
        <is>
          <t>1992-01-08</t>
        </is>
      </c>
      <c r="Y1251" t="inlineStr">
        <is>
          <t>1988-06-01</t>
        </is>
      </c>
      <c r="Z1251" t="inlineStr">
        <is>
          <t>1988-06-01</t>
        </is>
      </c>
      <c r="AA1251" t="n">
        <v>123</v>
      </c>
      <c r="AB1251" t="n">
        <v>109</v>
      </c>
      <c r="AC1251" t="n">
        <v>109</v>
      </c>
      <c r="AD1251" t="n">
        <v>1</v>
      </c>
      <c r="AE1251" t="n">
        <v>1</v>
      </c>
      <c r="AF1251" t="n">
        <v>6</v>
      </c>
      <c r="AG1251" t="n">
        <v>6</v>
      </c>
      <c r="AH1251" t="n">
        <v>3</v>
      </c>
      <c r="AI1251" t="n">
        <v>3</v>
      </c>
      <c r="AJ1251" t="n">
        <v>1</v>
      </c>
      <c r="AK1251" t="n">
        <v>1</v>
      </c>
      <c r="AL1251" t="n">
        <v>3</v>
      </c>
      <c r="AM1251" t="n">
        <v>3</v>
      </c>
      <c r="AN1251" t="n">
        <v>0</v>
      </c>
      <c r="AO1251" t="n">
        <v>0</v>
      </c>
      <c r="AP1251" t="n">
        <v>0</v>
      </c>
      <c r="AQ1251" t="n">
        <v>0</v>
      </c>
      <c r="AR1251" t="inlineStr">
        <is>
          <t>No</t>
        </is>
      </c>
      <c r="AS1251" t="inlineStr">
        <is>
          <t>No</t>
        </is>
      </c>
      <c r="AU1251">
        <f>HYPERLINK("https://creighton-primo.hosted.exlibrisgroup.com/primo-explore/search?tab=default_tab&amp;search_scope=EVERYTHING&amp;vid=01CRU&amp;lang=en_US&amp;offset=0&amp;query=any,contains,991001414739702656","Catalog Record")</f>
        <v/>
      </c>
      <c r="AV1251">
        <f>HYPERLINK("http://www.worldcat.org/oclc/17547227","WorldCat Record")</f>
        <v/>
      </c>
      <c r="AW1251" t="inlineStr">
        <is>
          <t>254856966:eng</t>
        </is>
      </c>
      <c r="AX1251" t="inlineStr">
        <is>
          <t>17547227</t>
        </is>
      </c>
      <c r="AY1251" t="inlineStr">
        <is>
          <t>991001414739702656</t>
        </is>
      </c>
      <c r="AZ1251" t="inlineStr">
        <is>
          <t>991001414739702656</t>
        </is>
      </c>
      <c r="BA1251" t="inlineStr">
        <is>
          <t>2265366710002656</t>
        </is>
      </c>
      <c r="BB1251" t="inlineStr">
        <is>
          <t>BOOK</t>
        </is>
      </c>
      <c r="BD1251" t="inlineStr">
        <is>
          <t>9780871897695</t>
        </is>
      </c>
      <c r="BE1251" t="inlineStr">
        <is>
          <t>30001001180159</t>
        </is>
      </c>
      <c r="BF1251" t="inlineStr">
        <is>
          <t>893736553</t>
        </is>
      </c>
    </row>
    <row r="1252">
      <c r="A1252" t="inlineStr">
        <is>
          <t>No</t>
        </is>
      </c>
      <c r="B1252" t="inlineStr">
        <is>
          <t>CUHSL</t>
        </is>
      </c>
      <c r="C1252" t="inlineStr">
        <is>
          <t>SHELVES</t>
        </is>
      </c>
      <c r="D1252" t="inlineStr">
        <is>
          <t>WY 115 K25h 1988</t>
        </is>
      </c>
      <c r="E1252" t="inlineStr">
        <is>
          <t>0                      WY 0115000K  25h         1988</t>
        </is>
      </c>
      <c r="F1252" t="inlineStr">
        <is>
          <t>Home health care nursing : concepts and practice / Sarah B. Keating, Glenda B. Kelman.</t>
        </is>
      </c>
      <c r="H1252" t="inlineStr">
        <is>
          <t>No</t>
        </is>
      </c>
      <c r="I1252" t="inlineStr">
        <is>
          <t>1</t>
        </is>
      </c>
      <c r="J1252" t="inlineStr">
        <is>
          <t>No</t>
        </is>
      </c>
      <c r="K1252" t="inlineStr">
        <is>
          <t>No</t>
        </is>
      </c>
      <c r="L1252" t="inlineStr">
        <is>
          <t>0</t>
        </is>
      </c>
      <c r="M1252" t="inlineStr">
        <is>
          <t>Keating, Sarah B.</t>
        </is>
      </c>
      <c r="N1252" t="inlineStr">
        <is>
          <t>Philadelphia : Lippincott, c1988.</t>
        </is>
      </c>
      <c r="O1252" t="inlineStr">
        <is>
          <t>1988</t>
        </is>
      </c>
      <c r="Q1252" t="inlineStr">
        <is>
          <t>eng</t>
        </is>
      </c>
      <c r="R1252" t="inlineStr">
        <is>
          <t>xxu</t>
        </is>
      </c>
      <c r="T1252" t="inlineStr">
        <is>
          <t xml:space="preserve">WY </t>
        </is>
      </c>
      <c r="U1252" t="n">
        <v>9</v>
      </c>
      <c r="V1252" t="n">
        <v>9</v>
      </c>
      <c r="W1252" t="inlineStr">
        <is>
          <t>1990-07-20</t>
        </is>
      </c>
      <c r="X1252" t="inlineStr">
        <is>
          <t>1990-07-20</t>
        </is>
      </c>
      <c r="Y1252" t="inlineStr">
        <is>
          <t>1988-08-10</t>
        </is>
      </c>
      <c r="Z1252" t="inlineStr">
        <is>
          <t>1988-08-10</t>
        </is>
      </c>
      <c r="AA1252" t="n">
        <v>226</v>
      </c>
      <c r="AB1252" t="n">
        <v>183</v>
      </c>
      <c r="AC1252" t="n">
        <v>200</v>
      </c>
      <c r="AD1252" t="n">
        <v>1</v>
      </c>
      <c r="AE1252" t="n">
        <v>1</v>
      </c>
      <c r="AF1252" t="n">
        <v>7</v>
      </c>
      <c r="AG1252" t="n">
        <v>9</v>
      </c>
      <c r="AH1252" t="n">
        <v>4</v>
      </c>
      <c r="AI1252" t="n">
        <v>5</v>
      </c>
      <c r="AJ1252" t="n">
        <v>0</v>
      </c>
      <c r="AK1252" t="n">
        <v>1</v>
      </c>
      <c r="AL1252" t="n">
        <v>4</v>
      </c>
      <c r="AM1252" t="n">
        <v>4</v>
      </c>
      <c r="AN1252" t="n">
        <v>0</v>
      </c>
      <c r="AO1252" t="n">
        <v>0</v>
      </c>
      <c r="AP1252" t="n">
        <v>0</v>
      </c>
      <c r="AQ1252" t="n">
        <v>0</v>
      </c>
      <c r="AR1252" t="inlineStr">
        <is>
          <t>No</t>
        </is>
      </c>
      <c r="AS1252" t="inlineStr">
        <is>
          <t>Yes</t>
        </is>
      </c>
      <c r="AT1252">
        <f>HYPERLINK("http://catalog.hathitrust.org/Record/000907611","HathiTrust Record")</f>
        <v/>
      </c>
      <c r="AU1252">
        <f>HYPERLINK("https://creighton-primo.hosted.exlibrisgroup.com/primo-explore/search?tab=default_tab&amp;search_scope=EVERYTHING&amp;vid=01CRU&amp;lang=en_US&amp;offset=0&amp;query=any,contains,991001421879702656","Catalog Record")</f>
        <v/>
      </c>
      <c r="AV1252">
        <f>HYPERLINK("http://www.worldcat.org/oclc/15659625","WorldCat Record")</f>
        <v/>
      </c>
      <c r="AW1252" t="inlineStr">
        <is>
          <t>9971653:eng</t>
        </is>
      </c>
      <c r="AX1252" t="inlineStr">
        <is>
          <t>15659625</t>
        </is>
      </c>
      <c r="AY1252" t="inlineStr">
        <is>
          <t>991001421879702656</t>
        </is>
      </c>
      <c r="AZ1252" t="inlineStr">
        <is>
          <t>991001421879702656</t>
        </is>
      </c>
      <c r="BA1252" t="inlineStr">
        <is>
          <t>2270404680002656</t>
        </is>
      </c>
      <c r="BB1252" t="inlineStr">
        <is>
          <t>BOOK</t>
        </is>
      </c>
      <c r="BD1252" t="inlineStr">
        <is>
          <t>9780397546039</t>
        </is>
      </c>
      <c r="BE1252" t="inlineStr">
        <is>
          <t>30001001182536</t>
        </is>
      </c>
      <c r="BF1252" t="inlineStr">
        <is>
          <t>893287410</t>
        </is>
      </c>
    </row>
    <row r="1253">
      <c r="A1253" t="inlineStr">
        <is>
          <t>No</t>
        </is>
      </c>
      <c r="B1253" t="inlineStr">
        <is>
          <t>CUHSL</t>
        </is>
      </c>
      <c r="C1253" t="inlineStr">
        <is>
          <t>SHELVES</t>
        </is>
      </c>
      <c r="D1253" t="inlineStr">
        <is>
          <t>WY 115 M515q 1989</t>
        </is>
      </c>
      <c r="E1253" t="inlineStr">
        <is>
          <t>0                      WY 0115000M  515q        1989</t>
        </is>
      </c>
      <c r="F1253" t="inlineStr">
        <is>
          <t>Quality assurance for home health care / Claire Gavin Meisenheimer.</t>
        </is>
      </c>
      <c r="H1253" t="inlineStr">
        <is>
          <t>No</t>
        </is>
      </c>
      <c r="I1253" t="inlineStr">
        <is>
          <t>1</t>
        </is>
      </c>
      <c r="J1253" t="inlineStr">
        <is>
          <t>No</t>
        </is>
      </c>
      <c r="K1253" t="inlineStr">
        <is>
          <t>No</t>
        </is>
      </c>
      <c r="L1253" t="inlineStr">
        <is>
          <t>0</t>
        </is>
      </c>
      <c r="M1253" t="inlineStr">
        <is>
          <t>Meisenheimer, Claire Gavin.</t>
        </is>
      </c>
      <c r="N1253" t="inlineStr">
        <is>
          <t>Rockville, Md. : Aspen Publishers, c1989.</t>
        </is>
      </c>
      <c r="O1253" t="inlineStr">
        <is>
          <t>1989</t>
        </is>
      </c>
      <c r="Q1253" t="inlineStr">
        <is>
          <t>eng</t>
        </is>
      </c>
      <c r="R1253" t="inlineStr">
        <is>
          <t>mdu</t>
        </is>
      </c>
      <c r="T1253" t="inlineStr">
        <is>
          <t xml:space="preserve">WY </t>
        </is>
      </c>
      <c r="U1253" t="n">
        <v>15</v>
      </c>
      <c r="V1253" t="n">
        <v>15</v>
      </c>
      <c r="W1253" t="inlineStr">
        <is>
          <t>1992-10-28</t>
        </is>
      </c>
      <c r="X1253" t="inlineStr">
        <is>
          <t>1992-10-28</t>
        </is>
      </c>
      <c r="Y1253" t="inlineStr">
        <is>
          <t>1992-10-28</t>
        </is>
      </c>
      <c r="Z1253" t="inlineStr">
        <is>
          <t>1992-10-28</t>
        </is>
      </c>
      <c r="AA1253" t="n">
        <v>161</v>
      </c>
      <c r="AB1253" t="n">
        <v>135</v>
      </c>
      <c r="AC1253" t="n">
        <v>137</v>
      </c>
      <c r="AD1253" t="n">
        <v>2</v>
      </c>
      <c r="AE1253" t="n">
        <v>2</v>
      </c>
      <c r="AF1253" t="n">
        <v>6</v>
      </c>
      <c r="AG1253" t="n">
        <v>6</v>
      </c>
      <c r="AH1253" t="n">
        <v>1</v>
      </c>
      <c r="AI1253" t="n">
        <v>1</v>
      </c>
      <c r="AJ1253" t="n">
        <v>2</v>
      </c>
      <c r="AK1253" t="n">
        <v>2</v>
      </c>
      <c r="AL1253" t="n">
        <v>5</v>
      </c>
      <c r="AM1253" t="n">
        <v>5</v>
      </c>
      <c r="AN1253" t="n">
        <v>0</v>
      </c>
      <c r="AO1253" t="n">
        <v>0</v>
      </c>
      <c r="AP1253" t="n">
        <v>0</v>
      </c>
      <c r="AQ1253" t="n">
        <v>0</v>
      </c>
      <c r="AR1253" t="inlineStr">
        <is>
          <t>No</t>
        </is>
      </c>
      <c r="AS1253" t="inlineStr">
        <is>
          <t>Yes</t>
        </is>
      </c>
      <c r="AT1253">
        <f>HYPERLINK("http://catalog.hathitrust.org/Record/004516856","HathiTrust Record")</f>
        <v/>
      </c>
      <c r="AU1253">
        <f>HYPERLINK("https://creighton-primo.hosted.exlibrisgroup.com/primo-explore/search?tab=default_tab&amp;search_scope=EVERYTHING&amp;vid=01CRU&amp;lang=en_US&amp;offset=0&amp;query=any,contains,991001346829702656","Catalog Record")</f>
        <v/>
      </c>
      <c r="AV1253">
        <f>HYPERLINK("http://www.worldcat.org/oclc/18464116","WorldCat Record")</f>
        <v/>
      </c>
      <c r="AW1253" t="inlineStr">
        <is>
          <t>17487608:eng</t>
        </is>
      </c>
      <c r="AX1253" t="inlineStr">
        <is>
          <t>18464116</t>
        </is>
      </c>
      <c r="AY1253" t="inlineStr">
        <is>
          <t>991001346829702656</t>
        </is>
      </c>
      <c r="AZ1253" t="inlineStr">
        <is>
          <t>991001346829702656</t>
        </is>
      </c>
      <c r="BA1253" t="inlineStr">
        <is>
          <t>2269019310002656</t>
        </is>
      </c>
      <c r="BB1253" t="inlineStr">
        <is>
          <t>BOOK</t>
        </is>
      </c>
      <c r="BD1253" t="inlineStr">
        <is>
          <t>9780834200265</t>
        </is>
      </c>
      <c r="BE1253" t="inlineStr">
        <is>
          <t>30001002457507</t>
        </is>
      </c>
      <c r="BF1253" t="inlineStr">
        <is>
          <t>893279007</t>
        </is>
      </c>
    </row>
    <row r="1254">
      <c r="A1254" t="inlineStr">
        <is>
          <t>No</t>
        </is>
      </c>
      <c r="B1254" t="inlineStr">
        <is>
          <t>CUHSL</t>
        </is>
      </c>
      <c r="C1254" t="inlineStr">
        <is>
          <t>SHELVES</t>
        </is>
      </c>
      <c r="D1254" t="inlineStr">
        <is>
          <t>WY 115 M613c 1989</t>
        </is>
      </c>
      <c r="E1254" t="inlineStr">
        <is>
          <t>0                      WY 0115000M  613c        1989</t>
        </is>
      </c>
      <c r="F1254" t="inlineStr">
        <is>
          <t>Client teaching guides for home health care / Donna Meyers.</t>
        </is>
      </c>
      <c r="H1254" t="inlineStr">
        <is>
          <t>No</t>
        </is>
      </c>
      <c r="I1254" t="inlineStr">
        <is>
          <t>1</t>
        </is>
      </c>
      <c r="J1254" t="inlineStr">
        <is>
          <t>No</t>
        </is>
      </c>
      <c r="K1254" t="inlineStr">
        <is>
          <t>No</t>
        </is>
      </c>
      <c r="L1254" t="inlineStr">
        <is>
          <t>0</t>
        </is>
      </c>
      <c r="M1254" t="inlineStr">
        <is>
          <t>Meyers, Donna.</t>
        </is>
      </c>
      <c r="N1254" t="inlineStr">
        <is>
          <t>Rockville, Md. : Aspen Publishers, c1989.</t>
        </is>
      </c>
      <c r="O1254" t="inlineStr">
        <is>
          <t>1989</t>
        </is>
      </c>
      <c r="Q1254" t="inlineStr">
        <is>
          <t>eng</t>
        </is>
      </c>
      <c r="R1254" t="inlineStr">
        <is>
          <t>xxu</t>
        </is>
      </c>
      <c r="T1254" t="inlineStr">
        <is>
          <t xml:space="preserve">WY </t>
        </is>
      </c>
      <c r="U1254" t="n">
        <v>12</v>
      </c>
      <c r="V1254" t="n">
        <v>12</v>
      </c>
      <c r="W1254" t="inlineStr">
        <is>
          <t>1992-10-27</t>
        </is>
      </c>
      <c r="X1254" t="inlineStr">
        <is>
          <t>1992-10-27</t>
        </is>
      </c>
      <c r="Y1254" t="inlineStr">
        <is>
          <t>1990-04-24</t>
        </is>
      </c>
      <c r="Z1254" t="inlineStr">
        <is>
          <t>1990-04-24</t>
        </is>
      </c>
      <c r="AA1254" t="n">
        <v>147</v>
      </c>
      <c r="AB1254" t="n">
        <v>126</v>
      </c>
      <c r="AC1254" t="n">
        <v>233</v>
      </c>
      <c r="AD1254" t="n">
        <v>1</v>
      </c>
      <c r="AE1254" t="n">
        <v>2</v>
      </c>
      <c r="AF1254" t="n">
        <v>2</v>
      </c>
      <c r="AG1254" t="n">
        <v>8</v>
      </c>
      <c r="AH1254" t="n">
        <v>0</v>
      </c>
      <c r="AI1254" t="n">
        <v>2</v>
      </c>
      <c r="AJ1254" t="n">
        <v>1</v>
      </c>
      <c r="AK1254" t="n">
        <v>2</v>
      </c>
      <c r="AL1254" t="n">
        <v>2</v>
      </c>
      <c r="AM1254" t="n">
        <v>5</v>
      </c>
      <c r="AN1254" t="n">
        <v>0</v>
      </c>
      <c r="AO1254" t="n">
        <v>1</v>
      </c>
      <c r="AP1254" t="n">
        <v>0</v>
      </c>
      <c r="AQ1254" t="n">
        <v>0</v>
      </c>
      <c r="AR1254" t="inlineStr">
        <is>
          <t>No</t>
        </is>
      </c>
      <c r="AS1254" t="inlineStr">
        <is>
          <t>Yes</t>
        </is>
      </c>
      <c r="AT1254">
        <f>HYPERLINK("http://catalog.hathitrust.org/Record/001818931","HathiTrust Record")</f>
        <v/>
      </c>
      <c r="AU1254">
        <f>HYPERLINK("https://creighton-primo.hosted.exlibrisgroup.com/primo-explore/search?tab=default_tab&amp;search_scope=EVERYTHING&amp;vid=01CRU&amp;lang=en_US&amp;offset=0&amp;query=any,contains,991001355699702656","Catalog Record")</f>
        <v/>
      </c>
      <c r="AV1254">
        <f>HYPERLINK("http://www.worldcat.org/oclc/18715874","WorldCat Record")</f>
        <v/>
      </c>
      <c r="AW1254" t="inlineStr">
        <is>
          <t>630684:eng</t>
        </is>
      </c>
      <c r="AX1254" t="inlineStr">
        <is>
          <t>18715874</t>
        </is>
      </c>
      <c r="AY1254" t="inlineStr">
        <is>
          <t>991001355699702656</t>
        </is>
      </c>
      <c r="AZ1254" t="inlineStr">
        <is>
          <t>991001355699702656</t>
        </is>
      </c>
      <c r="BA1254" t="inlineStr">
        <is>
          <t>2263538990002656</t>
        </is>
      </c>
      <c r="BB1254" t="inlineStr">
        <is>
          <t>BOOK</t>
        </is>
      </c>
      <c r="BD1254" t="inlineStr">
        <is>
          <t>9780834200357</t>
        </is>
      </c>
      <c r="BE1254" t="inlineStr">
        <is>
          <t>30001001795949</t>
        </is>
      </c>
      <c r="BF1254" t="inlineStr">
        <is>
          <t>893268399</t>
        </is>
      </c>
    </row>
    <row r="1255">
      <c r="A1255" t="inlineStr">
        <is>
          <t>No</t>
        </is>
      </c>
      <c r="B1255" t="inlineStr">
        <is>
          <t>CUHSL</t>
        </is>
      </c>
      <c r="C1255" t="inlineStr">
        <is>
          <t>SHELVES</t>
        </is>
      </c>
      <c r="D1255" t="inlineStr">
        <is>
          <t>WY 115 M965h 1983</t>
        </is>
      </c>
      <c r="E1255" t="inlineStr">
        <is>
          <t>0                      WY 0115000M  965h        1983</t>
        </is>
      </c>
      <c r="F1255" t="inlineStr">
        <is>
          <t>Home care controversy : too little, too late, too costly / Mary O. Mundinger.</t>
        </is>
      </c>
      <c r="H1255" t="inlineStr">
        <is>
          <t>No</t>
        </is>
      </c>
      <c r="I1255" t="inlineStr">
        <is>
          <t>1</t>
        </is>
      </c>
      <c r="J1255" t="inlineStr">
        <is>
          <t>No</t>
        </is>
      </c>
      <c r="K1255" t="inlineStr">
        <is>
          <t>No</t>
        </is>
      </c>
      <c r="L1255" t="inlineStr">
        <is>
          <t>0</t>
        </is>
      </c>
      <c r="M1255" t="inlineStr">
        <is>
          <t>Mundinger, Mary O'Neil.</t>
        </is>
      </c>
      <c r="N1255" t="inlineStr">
        <is>
          <t>Rockville, Md. : Aspen Systems Corp., c1983.</t>
        </is>
      </c>
      <c r="O1255" t="inlineStr">
        <is>
          <t>1983</t>
        </is>
      </c>
      <c r="Q1255" t="inlineStr">
        <is>
          <t>eng</t>
        </is>
      </c>
      <c r="R1255" t="inlineStr">
        <is>
          <t>xxu</t>
        </is>
      </c>
      <c r="T1255" t="inlineStr">
        <is>
          <t xml:space="preserve">WY </t>
        </is>
      </c>
      <c r="U1255" t="n">
        <v>7</v>
      </c>
      <c r="V1255" t="n">
        <v>7</v>
      </c>
      <c r="W1255" t="inlineStr">
        <is>
          <t>1995-11-08</t>
        </is>
      </c>
      <c r="X1255" t="inlineStr">
        <is>
          <t>1995-11-08</t>
        </is>
      </c>
      <c r="Y1255" t="inlineStr">
        <is>
          <t>1987-12-30</t>
        </is>
      </c>
      <c r="Z1255" t="inlineStr">
        <is>
          <t>1987-12-30</t>
        </is>
      </c>
      <c r="AA1255" t="n">
        <v>417</v>
      </c>
      <c r="AB1255" t="n">
        <v>396</v>
      </c>
      <c r="AC1255" t="n">
        <v>398</v>
      </c>
      <c r="AD1255" t="n">
        <v>2</v>
      </c>
      <c r="AE1255" t="n">
        <v>2</v>
      </c>
      <c r="AF1255" t="n">
        <v>18</v>
      </c>
      <c r="AG1255" t="n">
        <v>18</v>
      </c>
      <c r="AH1255" t="n">
        <v>6</v>
      </c>
      <c r="AI1255" t="n">
        <v>6</v>
      </c>
      <c r="AJ1255" t="n">
        <v>7</v>
      </c>
      <c r="AK1255" t="n">
        <v>7</v>
      </c>
      <c r="AL1255" t="n">
        <v>9</v>
      </c>
      <c r="AM1255" t="n">
        <v>9</v>
      </c>
      <c r="AN1255" t="n">
        <v>1</v>
      </c>
      <c r="AO1255" t="n">
        <v>1</v>
      </c>
      <c r="AP1255" t="n">
        <v>0</v>
      </c>
      <c r="AQ1255" t="n">
        <v>0</v>
      </c>
      <c r="AR1255" t="inlineStr">
        <is>
          <t>No</t>
        </is>
      </c>
      <c r="AS1255" t="inlineStr">
        <is>
          <t>Yes</t>
        </is>
      </c>
      <c r="AT1255">
        <f>HYPERLINK("http://catalog.hathitrust.org/Record/000160184","HathiTrust Record")</f>
        <v/>
      </c>
      <c r="AU1255">
        <f>HYPERLINK("https://creighton-primo.hosted.exlibrisgroup.com/primo-explore/search?tab=default_tab&amp;search_scope=EVERYTHING&amp;vid=01CRU&amp;lang=en_US&amp;offset=0&amp;query=any,contains,991001084149702656","Catalog Record")</f>
        <v/>
      </c>
      <c r="AV1255">
        <f>HYPERLINK("http://www.worldcat.org/oclc/9622319","WorldCat Record")</f>
        <v/>
      </c>
      <c r="AW1255" t="inlineStr">
        <is>
          <t>427965580:eng</t>
        </is>
      </c>
      <c r="AX1255" t="inlineStr">
        <is>
          <t>9622319</t>
        </is>
      </c>
      <c r="AY1255" t="inlineStr">
        <is>
          <t>991001084149702656</t>
        </is>
      </c>
      <c r="AZ1255" t="inlineStr">
        <is>
          <t>991001084149702656</t>
        </is>
      </c>
      <c r="BA1255" t="inlineStr">
        <is>
          <t>2269163090002656</t>
        </is>
      </c>
      <c r="BB1255" t="inlineStr">
        <is>
          <t>BOOK</t>
        </is>
      </c>
      <c r="BD1255" t="inlineStr">
        <is>
          <t>9780894438837</t>
        </is>
      </c>
      <c r="BE1255" t="inlineStr">
        <is>
          <t>30001000258477</t>
        </is>
      </c>
      <c r="BF1255" t="inlineStr">
        <is>
          <t>893369089</t>
        </is>
      </c>
    </row>
    <row r="1256">
      <c r="A1256" t="inlineStr">
        <is>
          <t>No</t>
        </is>
      </c>
      <c r="B1256" t="inlineStr">
        <is>
          <t>CUHSL</t>
        </is>
      </c>
      <c r="C1256" t="inlineStr">
        <is>
          <t>SHELVES</t>
        </is>
      </c>
      <c r="D1256" t="inlineStr">
        <is>
          <t>WY 115 N2775s 1989</t>
        </is>
      </c>
      <c r="E1256" t="inlineStr">
        <is>
          <t>0                      WY 0115000N  2775s       1989</t>
        </is>
      </c>
      <c r="F1256" t="inlineStr">
        <is>
          <t>Standards of excellence for home care organizations / editors, Maria K. Mitchell, Judith Lloyd Storfjell ; Community Health Accreditation Program, Inc. (CHAP).</t>
        </is>
      </c>
      <c r="H1256" t="inlineStr">
        <is>
          <t>No</t>
        </is>
      </c>
      <c r="I1256" t="inlineStr">
        <is>
          <t>1</t>
        </is>
      </c>
      <c r="J1256" t="inlineStr">
        <is>
          <t>No</t>
        </is>
      </c>
      <c r="K1256" t="inlineStr">
        <is>
          <t>No</t>
        </is>
      </c>
      <c r="L1256" t="inlineStr">
        <is>
          <t>0</t>
        </is>
      </c>
      <c r="M1256" t="inlineStr">
        <is>
          <t>National League for Nursing. Community Health Accreditation Program.</t>
        </is>
      </c>
      <c r="N1256" t="inlineStr">
        <is>
          <t>New York : National League for Nursing, c1989.</t>
        </is>
      </c>
      <c r="O1256" t="inlineStr">
        <is>
          <t>1989</t>
        </is>
      </c>
      <c r="Q1256" t="inlineStr">
        <is>
          <t>eng</t>
        </is>
      </c>
      <c r="R1256" t="inlineStr">
        <is>
          <t>nyu</t>
        </is>
      </c>
      <c r="S1256" t="inlineStr">
        <is>
          <t>NLN pub. no. 21-2327.</t>
        </is>
      </c>
      <c r="T1256" t="inlineStr">
        <is>
          <t xml:space="preserve">WY </t>
        </is>
      </c>
      <c r="U1256" t="n">
        <v>6</v>
      </c>
      <c r="V1256" t="n">
        <v>6</v>
      </c>
      <c r="W1256" t="inlineStr">
        <is>
          <t>1990-11-09</t>
        </is>
      </c>
      <c r="X1256" t="inlineStr">
        <is>
          <t>1990-11-09</t>
        </is>
      </c>
      <c r="Y1256" t="inlineStr">
        <is>
          <t>1990-01-31</t>
        </is>
      </c>
      <c r="Z1256" t="inlineStr">
        <is>
          <t>1990-01-31</t>
        </is>
      </c>
      <c r="AA1256" t="n">
        <v>141</v>
      </c>
      <c r="AB1256" t="n">
        <v>129</v>
      </c>
      <c r="AC1256" t="n">
        <v>135</v>
      </c>
      <c r="AD1256" t="n">
        <v>1</v>
      </c>
      <c r="AE1256" t="n">
        <v>1</v>
      </c>
      <c r="AF1256" t="n">
        <v>5</v>
      </c>
      <c r="AG1256" t="n">
        <v>6</v>
      </c>
      <c r="AH1256" t="n">
        <v>0</v>
      </c>
      <c r="AI1256" t="n">
        <v>0</v>
      </c>
      <c r="AJ1256" t="n">
        <v>2</v>
      </c>
      <c r="AK1256" t="n">
        <v>3</v>
      </c>
      <c r="AL1256" t="n">
        <v>4</v>
      </c>
      <c r="AM1256" t="n">
        <v>4</v>
      </c>
      <c r="AN1256" t="n">
        <v>0</v>
      </c>
      <c r="AO1256" t="n">
        <v>0</v>
      </c>
      <c r="AP1256" t="n">
        <v>0</v>
      </c>
      <c r="AQ1256" t="n">
        <v>0</v>
      </c>
      <c r="AR1256" t="inlineStr">
        <is>
          <t>No</t>
        </is>
      </c>
      <c r="AS1256" t="inlineStr">
        <is>
          <t>No</t>
        </is>
      </c>
      <c r="AU1256">
        <f>HYPERLINK("https://creighton-primo.hosted.exlibrisgroup.com/primo-explore/search?tab=default_tab&amp;search_scope=EVERYTHING&amp;vid=01CRU&amp;lang=en_US&amp;offset=0&amp;query=any,contains,991001446459702656","Catalog Record")</f>
        <v/>
      </c>
      <c r="AV1256">
        <f>HYPERLINK("http://www.worldcat.org/oclc/22665887","WorldCat Record")</f>
        <v/>
      </c>
      <c r="AW1256" t="inlineStr">
        <is>
          <t>476107565:eng</t>
        </is>
      </c>
      <c r="AX1256" t="inlineStr">
        <is>
          <t>22665887</t>
        </is>
      </c>
      <c r="AY1256" t="inlineStr">
        <is>
          <t>991001446459702656</t>
        </is>
      </c>
      <c r="AZ1256" t="inlineStr">
        <is>
          <t>991001446459702656</t>
        </is>
      </c>
      <c r="BA1256" t="inlineStr">
        <is>
          <t>2266358020002656</t>
        </is>
      </c>
      <c r="BB1256" t="inlineStr">
        <is>
          <t>BOOK</t>
        </is>
      </c>
      <c r="BD1256" t="inlineStr">
        <is>
          <t>9780887374098</t>
        </is>
      </c>
      <c r="BE1256" t="inlineStr">
        <is>
          <t>30001001880600</t>
        </is>
      </c>
      <c r="BF1256" t="inlineStr">
        <is>
          <t>893274185</t>
        </is>
      </c>
    </row>
    <row r="1257">
      <c r="A1257" t="inlineStr">
        <is>
          <t>No</t>
        </is>
      </c>
      <c r="B1257" t="inlineStr">
        <is>
          <t>CUHSL</t>
        </is>
      </c>
      <c r="C1257" t="inlineStr">
        <is>
          <t>SHELVES</t>
        </is>
      </c>
      <c r="D1257" t="inlineStr">
        <is>
          <t>WY 115 N9735 1988</t>
        </is>
      </c>
      <c r="E1257" t="inlineStr">
        <is>
          <t>0                      WY 0115000N  9735        1988</t>
        </is>
      </c>
      <c r="F1257" t="inlineStr">
        <is>
          <t>Nursing care planning guides for home health care / edited by Mary Caturia Jennings.</t>
        </is>
      </c>
      <c r="H1257" t="inlineStr">
        <is>
          <t>No</t>
        </is>
      </c>
      <c r="I1257" t="inlineStr">
        <is>
          <t>1</t>
        </is>
      </c>
      <c r="J1257" t="inlineStr">
        <is>
          <t>No</t>
        </is>
      </c>
      <c r="K1257" t="inlineStr">
        <is>
          <t>No</t>
        </is>
      </c>
      <c r="L1257" t="inlineStr">
        <is>
          <t>0</t>
        </is>
      </c>
      <c r="N1257" t="inlineStr">
        <is>
          <t>Baltimore, Md. : Williams &amp; Wilkins, c1988.</t>
        </is>
      </c>
      <c r="O1257" t="inlineStr">
        <is>
          <t>1988</t>
        </is>
      </c>
      <c r="Q1257" t="inlineStr">
        <is>
          <t>eng</t>
        </is>
      </c>
      <c r="R1257" t="inlineStr">
        <is>
          <t>xxu</t>
        </is>
      </c>
      <c r="T1257" t="inlineStr">
        <is>
          <t xml:space="preserve">WY </t>
        </is>
      </c>
      <c r="U1257" t="n">
        <v>18</v>
      </c>
      <c r="V1257" t="n">
        <v>18</v>
      </c>
      <c r="W1257" t="inlineStr">
        <is>
          <t>2003-02-23</t>
        </is>
      </c>
      <c r="X1257" t="inlineStr">
        <is>
          <t>2003-02-23</t>
        </is>
      </c>
      <c r="Y1257" t="inlineStr">
        <is>
          <t>1989-01-26</t>
        </is>
      </c>
      <c r="Z1257" t="inlineStr">
        <is>
          <t>1989-01-26</t>
        </is>
      </c>
      <c r="AA1257" t="n">
        <v>93</v>
      </c>
      <c r="AB1257" t="n">
        <v>71</v>
      </c>
      <c r="AC1257" t="n">
        <v>73</v>
      </c>
      <c r="AD1257" t="n">
        <v>1</v>
      </c>
      <c r="AE1257" t="n">
        <v>1</v>
      </c>
      <c r="AF1257" t="n">
        <v>4</v>
      </c>
      <c r="AG1257" t="n">
        <v>4</v>
      </c>
      <c r="AH1257" t="n">
        <v>1</v>
      </c>
      <c r="AI1257" t="n">
        <v>1</v>
      </c>
      <c r="AJ1257" t="n">
        <v>0</v>
      </c>
      <c r="AK1257" t="n">
        <v>0</v>
      </c>
      <c r="AL1257" t="n">
        <v>3</v>
      </c>
      <c r="AM1257" t="n">
        <v>3</v>
      </c>
      <c r="AN1257" t="n">
        <v>0</v>
      </c>
      <c r="AO1257" t="n">
        <v>0</v>
      </c>
      <c r="AP1257" t="n">
        <v>0</v>
      </c>
      <c r="AQ1257" t="n">
        <v>0</v>
      </c>
      <c r="AR1257" t="inlineStr">
        <is>
          <t>No</t>
        </is>
      </c>
      <c r="AS1257" t="inlineStr">
        <is>
          <t>Yes</t>
        </is>
      </c>
      <c r="AT1257">
        <f>HYPERLINK("http://catalog.hathitrust.org/Record/000949045","HathiTrust Record")</f>
        <v/>
      </c>
      <c r="AU1257">
        <f>HYPERLINK("https://creighton-primo.hosted.exlibrisgroup.com/primo-explore/search?tab=default_tab&amp;search_scope=EVERYTHING&amp;vid=01CRU&amp;lang=en_US&amp;offset=0&amp;query=any,contains,991001114949702656","Catalog Record")</f>
        <v/>
      </c>
      <c r="AV1257">
        <f>HYPERLINK("http://www.worldcat.org/oclc/17917823","WorldCat Record")</f>
        <v/>
      </c>
      <c r="AW1257" t="inlineStr">
        <is>
          <t>16517760:eng</t>
        </is>
      </c>
      <c r="AX1257" t="inlineStr">
        <is>
          <t>17917823</t>
        </is>
      </c>
      <c r="AY1257" t="inlineStr">
        <is>
          <t>991001114949702656</t>
        </is>
      </c>
      <c r="AZ1257" t="inlineStr">
        <is>
          <t>991001114949702656</t>
        </is>
      </c>
      <c r="BA1257" t="inlineStr">
        <is>
          <t>2257079260002656</t>
        </is>
      </c>
      <c r="BB1257" t="inlineStr">
        <is>
          <t>BOOK</t>
        </is>
      </c>
      <c r="BD1257" t="inlineStr">
        <is>
          <t>9780683044003</t>
        </is>
      </c>
      <c r="BE1257" t="inlineStr">
        <is>
          <t>30001001613035</t>
        </is>
      </c>
      <c r="BF1257" t="inlineStr">
        <is>
          <t>893134263</t>
        </is>
      </c>
    </row>
    <row r="1258">
      <c r="A1258" t="inlineStr">
        <is>
          <t>No</t>
        </is>
      </c>
      <c r="B1258" t="inlineStr">
        <is>
          <t>CUHSL</t>
        </is>
      </c>
      <c r="C1258" t="inlineStr">
        <is>
          <t>SHELVES</t>
        </is>
      </c>
      <c r="D1258" t="inlineStr">
        <is>
          <t>WY 115 P766 1980</t>
        </is>
      </c>
      <c r="E1258" t="inlineStr">
        <is>
          <t>0                      WY 0115000P  766         1980</t>
        </is>
      </c>
      <c r="F1258" t="inlineStr">
        <is>
          <t>Policies and procedures for NLN/APHA accreditation of home health agencies and community nursing services / cosponsored by the Council of Home Health Agencies and Community Health Services, National League for Nursing, and the American Public Health Association.</t>
        </is>
      </c>
      <c r="H1258" t="inlineStr">
        <is>
          <t>No</t>
        </is>
      </c>
      <c r="I1258" t="inlineStr">
        <is>
          <t>1</t>
        </is>
      </c>
      <c r="J1258" t="inlineStr">
        <is>
          <t>No</t>
        </is>
      </c>
      <c r="K1258" t="inlineStr">
        <is>
          <t>No</t>
        </is>
      </c>
      <c r="L1258" t="inlineStr">
        <is>
          <t>0</t>
        </is>
      </c>
      <c r="N1258" t="inlineStr">
        <is>
          <t>New York : National League for Nursing, c1980.</t>
        </is>
      </c>
      <c r="O1258" t="inlineStr">
        <is>
          <t>1980</t>
        </is>
      </c>
      <c r="Q1258" t="inlineStr">
        <is>
          <t>eng</t>
        </is>
      </c>
      <c r="R1258" t="inlineStr">
        <is>
          <t>xxu</t>
        </is>
      </c>
      <c r="S1258" t="inlineStr">
        <is>
          <t>NLN pub. no. 21-1612</t>
        </is>
      </c>
      <c r="T1258" t="inlineStr">
        <is>
          <t xml:space="preserve">WY </t>
        </is>
      </c>
      <c r="U1258" t="n">
        <v>3</v>
      </c>
      <c r="V1258" t="n">
        <v>3</v>
      </c>
      <c r="W1258" t="inlineStr">
        <is>
          <t>1990-11-09</t>
        </is>
      </c>
      <c r="X1258" t="inlineStr">
        <is>
          <t>1990-11-09</t>
        </is>
      </c>
      <c r="Y1258" t="inlineStr">
        <is>
          <t>1987-11-04</t>
        </is>
      </c>
      <c r="Z1258" t="inlineStr">
        <is>
          <t>1987-11-04</t>
        </is>
      </c>
      <c r="AA1258" t="n">
        <v>76</v>
      </c>
      <c r="AB1258" t="n">
        <v>66</v>
      </c>
      <c r="AC1258" t="n">
        <v>68</v>
      </c>
      <c r="AD1258" t="n">
        <v>1</v>
      </c>
      <c r="AE1258" t="n">
        <v>1</v>
      </c>
      <c r="AF1258" t="n">
        <v>4</v>
      </c>
      <c r="AG1258" t="n">
        <v>4</v>
      </c>
      <c r="AH1258" t="n">
        <v>1</v>
      </c>
      <c r="AI1258" t="n">
        <v>1</v>
      </c>
      <c r="AJ1258" t="n">
        <v>1</v>
      </c>
      <c r="AK1258" t="n">
        <v>1</v>
      </c>
      <c r="AL1258" t="n">
        <v>3</v>
      </c>
      <c r="AM1258" t="n">
        <v>3</v>
      </c>
      <c r="AN1258" t="n">
        <v>0</v>
      </c>
      <c r="AO1258" t="n">
        <v>0</v>
      </c>
      <c r="AP1258" t="n">
        <v>0</v>
      </c>
      <c r="AQ1258" t="n">
        <v>0</v>
      </c>
      <c r="AR1258" t="inlineStr">
        <is>
          <t>No</t>
        </is>
      </c>
      <c r="AS1258" t="inlineStr">
        <is>
          <t>Yes</t>
        </is>
      </c>
      <c r="AT1258">
        <f>HYPERLINK("http://catalog.hathitrust.org/Record/001548868","HathiTrust Record")</f>
        <v/>
      </c>
      <c r="AU1258">
        <f>HYPERLINK("https://creighton-primo.hosted.exlibrisgroup.com/primo-explore/search?tab=default_tab&amp;search_scope=EVERYTHING&amp;vid=01CRU&amp;lang=en_US&amp;offset=0&amp;query=any,contains,991001384669702656","Catalog Record")</f>
        <v/>
      </c>
      <c r="AV1258">
        <f>HYPERLINK("http://www.worldcat.org/oclc/7008709","WorldCat Record")</f>
        <v/>
      </c>
      <c r="AW1258" t="inlineStr">
        <is>
          <t>3859599206:eng</t>
        </is>
      </c>
      <c r="AX1258" t="inlineStr">
        <is>
          <t>7008709</t>
        </is>
      </c>
      <c r="AY1258" t="inlineStr">
        <is>
          <t>991001384669702656</t>
        </is>
      </c>
      <c r="AZ1258" t="inlineStr">
        <is>
          <t>991001384669702656</t>
        </is>
      </c>
      <c r="BA1258" t="inlineStr">
        <is>
          <t>2255509350002656</t>
        </is>
      </c>
      <c r="BB1258" t="inlineStr">
        <is>
          <t>BOOK</t>
        </is>
      </c>
      <c r="BE1258" t="inlineStr">
        <is>
          <t>30001000463473</t>
        </is>
      </c>
      <c r="BF1258" t="inlineStr">
        <is>
          <t>893460508</t>
        </is>
      </c>
    </row>
    <row r="1259">
      <c r="A1259" t="inlineStr">
        <is>
          <t>No</t>
        </is>
      </c>
      <c r="B1259" t="inlineStr">
        <is>
          <t>CUHSL</t>
        </is>
      </c>
      <c r="C1259" t="inlineStr">
        <is>
          <t>SHELVES</t>
        </is>
      </c>
      <c r="D1259" t="inlineStr">
        <is>
          <t>WY 115 P952 1987</t>
        </is>
      </c>
      <c r="E1259" t="inlineStr">
        <is>
          <t>0                      WY 0115000P  952         1987</t>
        </is>
      </c>
      <c r="F1259" t="inlineStr">
        <is>
          <t>Primary care in the home / [edited by] Lawrence H. Bernstein, Anthony J. Grieco, Mary K. Dete.</t>
        </is>
      </c>
      <c r="H1259" t="inlineStr">
        <is>
          <t>No</t>
        </is>
      </c>
      <c r="I1259" t="inlineStr">
        <is>
          <t>1</t>
        </is>
      </c>
      <c r="J1259" t="inlineStr">
        <is>
          <t>No</t>
        </is>
      </c>
      <c r="K1259" t="inlineStr">
        <is>
          <t>No</t>
        </is>
      </c>
      <c r="L1259" t="inlineStr">
        <is>
          <t>0</t>
        </is>
      </c>
      <c r="N1259" t="inlineStr">
        <is>
          <t>Philadelphia : Lippincott, c1987.</t>
        </is>
      </c>
      <c r="O1259" t="inlineStr">
        <is>
          <t>1987</t>
        </is>
      </c>
      <c r="Q1259" t="inlineStr">
        <is>
          <t>eng</t>
        </is>
      </c>
      <c r="R1259" t="inlineStr">
        <is>
          <t>pau</t>
        </is>
      </c>
      <c r="T1259" t="inlineStr">
        <is>
          <t xml:space="preserve">WY </t>
        </is>
      </c>
      <c r="U1259" t="n">
        <v>6</v>
      </c>
      <c r="V1259" t="n">
        <v>6</v>
      </c>
      <c r="W1259" t="inlineStr">
        <is>
          <t>1990-04-06</t>
        </is>
      </c>
      <c r="X1259" t="inlineStr">
        <is>
          <t>1990-04-06</t>
        </is>
      </c>
      <c r="Y1259" t="inlineStr">
        <is>
          <t>1987-12-30</t>
        </is>
      </c>
      <c r="Z1259" t="inlineStr">
        <is>
          <t>1987-12-30</t>
        </is>
      </c>
      <c r="AA1259" t="n">
        <v>185</v>
      </c>
      <c r="AB1259" t="n">
        <v>152</v>
      </c>
      <c r="AC1259" t="n">
        <v>154</v>
      </c>
      <c r="AD1259" t="n">
        <v>2</v>
      </c>
      <c r="AE1259" t="n">
        <v>2</v>
      </c>
      <c r="AF1259" t="n">
        <v>6</v>
      </c>
      <c r="AG1259" t="n">
        <v>6</v>
      </c>
      <c r="AH1259" t="n">
        <v>2</v>
      </c>
      <c r="AI1259" t="n">
        <v>2</v>
      </c>
      <c r="AJ1259" t="n">
        <v>2</v>
      </c>
      <c r="AK1259" t="n">
        <v>2</v>
      </c>
      <c r="AL1259" t="n">
        <v>4</v>
      </c>
      <c r="AM1259" t="n">
        <v>4</v>
      </c>
      <c r="AN1259" t="n">
        <v>0</v>
      </c>
      <c r="AO1259" t="n">
        <v>0</v>
      </c>
      <c r="AP1259" t="n">
        <v>0</v>
      </c>
      <c r="AQ1259" t="n">
        <v>0</v>
      </c>
      <c r="AR1259" t="inlineStr">
        <is>
          <t>No</t>
        </is>
      </c>
      <c r="AS1259" t="inlineStr">
        <is>
          <t>Yes</t>
        </is>
      </c>
      <c r="AT1259">
        <f>HYPERLINK("http://catalog.hathitrust.org/Record/000833633","HathiTrust Record")</f>
        <v/>
      </c>
      <c r="AU1259">
        <f>HYPERLINK("https://creighton-primo.hosted.exlibrisgroup.com/primo-explore/search?tab=default_tab&amp;search_scope=EVERYTHING&amp;vid=01CRU&amp;lang=en_US&amp;offset=0&amp;query=any,contains,991001264929702656","Catalog Record")</f>
        <v/>
      </c>
      <c r="AV1259">
        <f>HYPERLINK("http://www.worldcat.org/oclc/14128077","WorldCat Record")</f>
        <v/>
      </c>
      <c r="AW1259" t="inlineStr">
        <is>
          <t>438939842:eng</t>
        </is>
      </c>
      <c r="AX1259" t="inlineStr">
        <is>
          <t>14128077</t>
        </is>
      </c>
      <c r="AY1259" t="inlineStr">
        <is>
          <t>991001264929702656</t>
        </is>
      </c>
      <c r="AZ1259" t="inlineStr">
        <is>
          <t>991001264929702656</t>
        </is>
      </c>
      <c r="BA1259" t="inlineStr">
        <is>
          <t>2262238810002656</t>
        </is>
      </c>
      <c r="BB1259" t="inlineStr">
        <is>
          <t>BOOK</t>
        </is>
      </c>
      <c r="BE1259" t="inlineStr">
        <is>
          <t>30001000352460</t>
        </is>
      </c>
      <c r="BF1259" t="inlineStr">
        <is>
          <t>893374404</t>
        </is>
      </c>
    </row>
    <row r="1260">
      <c r="A1260" t="inlineStr">
        <is>
          <t>No</t>
        </is>
      </c>
      <c r="B1260" t="inlineStr">
        <is>
          <t>CUHSL</t>
        </is>
      </c>
      <c r="C1260" t="inlineStr">
        <is>
          <t>SHELVES</t>
        </is>
      </c>
      <c r="D1260" t="inlineStr">
        <is>
          <t>WY 115 R473i 1999</t>
        </is>
      </c>
      <c r="E1260" t="inlineStr">
        <is>
          <t>0                      WY 0115000R  473i        1999</t>
        </is>
      </c>
      <c r="F1260" t="inlineStr">
        <is>
          <t>Infection control in home care / Emily Rhinehart, Mary M. Friedman.</t>
        </is>
      </c>
      <c r="H1260" t="inlineStr">
        <is>
          <t>No</t>
        </is>
      </c>
      <c r="I1260" t="inlineStr">
        <is>
          <t>1</t>
        </is>
      </c>
      <c r="J1260" t="inlineStr">
        <is>
          <t>No</t>
        </is>
      </c>
      <c r="K1260" t="inlineStr">
        <is>
          <t>No</t>
        </is>
      </c>
      <c r="L1260" t="inlineStr">
        <is>
          <t>0</t>
        </is>
      </c>
      <c r="M1260" t="inlineStr">
        <is>
          <t>Rhinehart, Emily.</t>
        </is>
      </c>
      <c r="N1260" t="inlineStr">
        <is>
          <t>Gaithersburg, Md. : Aspen Publishers, c1999.</t>
        </is>
      </c>
      <c r="O1260" t="inlineStr">
        <is>
          <t>1999</t>
        </is>
      </c>
      <c r="Q1260" t="inlineStr">
        <is>
          <t>eng</t>
        </is>
      </c>
      <c r="R1260" t="inlineStr">
        <is>
          <t>mdu</t>
        </is>
      </c>
      <c r="T1260" t="inlineStr">
        <is>
          <t xml:space="preserve">WY </t>
        </is>
      </c>
      <c r="U1260" t="n">
        <v>3</v>
      </c>
      <c r="V1260" t="n">
        <v>3</v>
      </c>
      <c r="W1260" t="inlineStr">
        <is>
          <t>2000-11-03</t>
        </is>
      </c>
      <c r="X1260" t="inlineStr">
        <is>
          <t>2000-11-03</t>
        </is>
      </c>
      <c r="Y1260" t="inlineStr">
        <is>
          <t>1999-09-21</t>
        </is>
      </c>
      <c r="Z1260" t="inlineStr">
        <is>
          <t>1999-09-21</t>
        </is>
      </c>
      <c r="AA1260" t="n">
        <v>240</v>
      </c>
      <c r="AB1260" t="n">
        <v>204</v>
      </c>
      <c r="AC1260" t="n">
        <v>211</v>
      </c>
      <c r="AD1260" t="n">
        <v>1</v>
      </c>
      <c r="AE1260" t="n">
        <v>1</v>
      </c>
      <c r="AF1260" t="n">
        <v>8</v>
      </c>
      <c r="AG1260" t="n">
        <v>8</v>
      </c>
      <c r="AH1260" t="n">
        <v>2</v>
      </c>
      <c r="AI1260" t="n">
        <v>2</v>
      </c>
      <c r="AJ1260" t="n">
        <v>2</v>
      </c>
      <c r="AK1260" t="n">
        <v>2</v>
      </c>
      <c r="AL1260" t="n">
        <v>6</v>
      </c>
      <c r="AM1260" t="n">
        <v>6</v>
      </c>
      <c r="AN1260" t="n">
        <v>0</v>
      </c>
      <c r="AO1260" t="n">
        <v>0</v>
      </c>
      <c r="AP1260" t="n">
        <v>0</v>
      </c>
      <c r="AQ1260" t="n">
        <v>0</v>
      </c>
      <c r="AR1260" t="inlineStr">
        <is>
          <t>No</t>
        </is>
      </c>
      <c r="AS1260" t="inlineStr">
        <is>
          <t>Yes</t>
        </is>
      </c>
      <c r="AT1260">
        <f>HYPERLINK("http://catalog.hathitrust.org/Record/004120405","HathiTrust Record")</f>
        <v/>
      </c>
      <c r="AU1260">
        <f>HYPERLINK("https://creighton-primo.hosted.exlibrisgroup.com/primo-explore/search?tab=default_tab&amp;search_scope=EVERYTHING&amp;vid=01CRU&amp;lang=en_US&amp;offset=0&amp;query=any,contains,991000759209702656","Catalog Record")</f>
        <v/>
      </c>
      <c r="AV1260">
        <f>HYPERLINK("http://www.worldcat.org/oclc/40452931","WorldCat Record")</f>
        <v/>
      </c>
      <c r="AW1260" t="inlineStr">
        <is>
          <t>23451090:eng</t>
        </is>
      </c>
      <c r="AX1260" t="inlineStr">
        <is>
          <t>40452931</t>
        </is>
      </c>
      <c r="AY1260" t="inlineStr">
        <is>
          <t>991000759209702656</t>
        </is>
      </c>
      <c r="AZ1260" t="inlineStr">
        <is>
          <t>991000759209702656</t>
        </is>
      </c>
      <c r="BA1260" t="inlineStr">
        <is>
          <t>2264351340002656</t>
        </is>
      </c>
      <c r="BB1260" t="inlineStr">
        <is>
          <t>BOOK</t>
        </is>
      </c>
      <c r="BD1260" t="inlineStr">
        <is>
          <t>9780834211438</t>
        </is>
      </c>
      <c r="BE1260" t="inlineStr">
        <is>
          <t>30001004063915</t>
        </is>
      </c>
      <c r="BF1260" t="inlineStr">
        <is>
          <t>893731169</t>
        </is>
      </c>
    </row>
    <row r="1261">
      <c r="A1261" t="inlineStr">
        <is>
          <t>No</t>
        </is>
      </c>
      <c r="B1261" t="inlineStr">
        <is>
          <t>CUHSL</t>
        </is>
      </c>
      <c r="C1261" t="inlineStr">
        <is>
          <t>SHELVES</t>
        </is>
      </c>
      <c r="D1261" t="inlineStr">
        <is>
          <t>WY115 R495h 2001</t>
        </is>
      </c>
      <c r="E1261" t="inlineStr">
        <is>
          <t>0                      WY 0115000R  495h        2001</t>
        </is>
      </c>
      <c r="F1261" t="inlineStr">
        <is>
          <t>Home care nursing practice : concepts and application / Robyn Rice.</t>
        </is>
      </c>
      <c r="H1261" t="inlineStr">
        <is>
          <t>No</t>
        </is>
      </c>
      <c r="I1261" t="inlineStr">
        <is>
          <t>1</t>
        </is>
      </c>
      <c r="J1261" t="inlineStr">
        <is>
          <t>No</t>
        </is>
      </c>
      <c r="K1261" t="inlineStr">
        <is>
          <t>Yes</t>
        </is>
      </c>
      <c r="L1261" t="inlineStr">
        <is>
          <t>0</t>
        </is>
      </c>
      <c r="M1261" t="inlineStr">
        <is>
          <t>Rice, Robyn.</t>
        </is>
      </c>
      <c r="N1261" t="inlineStr">
        <is>
          <t>St. Louis, Mo. : Mosby, c2001.</t>
        </is>
      </c>
      <c r="O1261" t="inlineStr">
        <is>
          <t>2001</t>
        </is>
      </c>
      <c r="P1261" t="inlineStr">
        <is>
          <t>3rd ed.</t>
        </is>
      </c>
      <c r="Q1261" t="inlineStr">
        <is>
          <t>eng</t>
        </is>
      </c>
      <c r="R1261" t="inlineStr">
        <is>
          <t>mou</t>
        </is>
      </c>
      <c r="T1261" t="inlineStr">
        <is>
          <t xml:space="preserve">WY </t>
        </is>
      </c>
      <c r="U1261" t="n">
        <v>1</v>
      </c>
      <c r="V1261" t="n">
        <v>1</v>
      </c>
      <c r="W1261" t="inlineStr">
        <is>
          <t>2003-06-03</t>
        </is>
      </c>
      <c r="X1261" t="inlineStr">
        <is>
          <t>2003-06-03</t>
        </is>
      </c>
      <c r="Y1261" t="inlineStr">
        <is>
          <t>2003-06-03</t>
        </is>
      </c>
      <c r="Z1261" t="inlineStr">
        <is>
          <t>2003-06-03</t>
        </is>
      </c>
      <c r="AA1261" t="n">
        <v>324</v>
      </c>
      <c r="AB1261" t="n">
        <v>265</v>
      </c>
      <c r="AC1261" t="n">
        <v>497</v>
      </c>
      <c r="AD1261" t="n">
        <v>1</v>
      </c>
      <c r="AE1261" t="n">
        <v>3</v>
      </c>
      <c r="AF1261" t="n">
        <v>6</v>
      </c>
      <c r="AG1261" t="n">
        <v>15</v>
      </c>
      <c r="AH1261" t="n">
        <v>4</v>
      </c>
      <c r="AI1261" t="n">
        <v>6</v>
      </c>
      <c r="AJ1261" t="n">
        <v>1</v>
      </c>
      <c r="AK1261" t="n">
        <v>4</v>
      </c>
      <c r="AL1261" t="n">
        <v>2</v>
      </c>
      <c r="AM1261" t="n">
        <v>6</v>
      </c>
      <c r="AN1261" t="n">
        <v>0</v>
      </c>
      <c r="AO1261" t="n">
        <v>2</v>
      </c>
      <c r="AP1261" t="n">
        <v>0</v>
      </c>
      <c r="AQ1261" t="n">
        <v>0</v>
      </c>
      <c r="AR1261" t="inlineStr">
        <is>
          <t>No</t>
        </is>
      </c>
      <c r="AS1261" t="inlineStr">
        <is>
          <t>Yes</t>
        </is>
      </c>
      <c r="AT1261">
        <f>HYPERLINK("http://catalog.hathitrust.org/Record/004597959","HathiTrust Record")</f>
        <v/>
      </c>
      <c r="AU1261">
        <f>HYPERLINK("https://creighton-primo.hosted.exlibrisgroup.com/primo-explore/search?tab=default_tab&amp;search_scope=EVERYTHING&amp;vid=01CRU&amp;lang=en_US&amp;offset=0&amp;query=any,contains,991000348389702656","Catalog Record")</f>
        <v/>
      </c>
      <c r="AV1261">
        <f>HYPERLINK("http://www.worldcat.org/oclc/45002115","WorldCat Record")</f>
        <v/>
      </c>
      <c r="AW1261" t="inlineStr">
        <is>
          <t>876713:eng</t>
        </is>
      </c>
      <c r="AX1261" t="inlineStr">
        <is>
          <t>45002115</t>
        </is>
      </c>
      <c r="AY1261" t="inlineStr">
        <is>
          <t>991000348389702656</t>
        </is>
      </c>
      <c r="AZ1261" t="inlineStr">
        <is>
          <t>991000348389702656</t>
        </is>
      </c>
      <c r="BA1261" t="inlineStr">
        <is>
          <t>2272302210002656</t>
        </is>
      </c>
      <c r="BB1261" t="inlineStr">
        <is>
          <t>BOOK</t>
        </is>
      </c>
      <c r="BD1261" t="inlineStr">
        <is>
          <t>9780323011075</t>
        </is>
      </c>
      <c r="BE1261" t="inlineStr">
        <is>
          <t>30001004504421</t>
        </is>
      </c>
      <c r="BF1261" t="inlineStr">
        <is>
          <t>893827412</t>
        </is>
      </c>
    </row>
    <row r="1262">
      <c r="A1262" t="inlineStr">
        <is>
          <t>No</t>
        </is>
      </c>
      <c r="B1262" t="inlineStr">
        <is>
          <t>CUHSL</t>
        </is>
      </c>
      <c r="C1262" t="inlineStr">
        <is>
          <t>SHELVES</t>
        </is>
      </c>
      <c r="D1262" t="inlineStr">
        <is>
          <t>WY 115 R543h 1978</t>
        </is>
      </c>
      <c r="E1262" t="inlineStr">
        <is>
          <t>0                      WY 0115000R  543h        1978</t>
        </is>
      </c>
      <c r="F1262" t="inlineStr">
        <is>
          <t>A home health agency's approach to marketing / by Andrew J. Riddell.</t>
        </is>
      </c>
      <c r="H1262" t="inlineStr">
        <is>
          <t>No</t>
        </is>
      </c>
      <c r="I1262" t="inlineStr">
        <is>
          <t>1</t>
        </is>
      </c>
      <c r="J1262" t="inlineStr">
        <is>
          <t>No</t>
        </is>
      </c>
      <c r="K1262" t="inlineStr">
        <is>
          <t>No</t>
        </is>
      </c>
      <c r="L1262" t="inlineStr">
        <is>
          <t>0</t>
        </is>
      </c>
      <c r="M1262" t="inlineStr">
        <is>
          <t>Riddell, Andrew J.</t>
        </is>
      </c>
      <c r="N1262" t="inlineStr">
        <is>
          <t>New York : National League for Nursing, c1978.</t>
        </is>
      </c>
      <c r="O1262" t="inlineStr">
        <is>
          <t>1978</t>
        </is>
      </c>
      <c r="Q1262" t="inlineStr">
        <is>
          <t>eng</t>
        </is>
      </c>
      <c r="R1262" t="inlineStr">
        <is>
          <t>nyu</t>
        </is>
      </c>
      <c r="S1262" t="inlineStr">
        <is>
          <t>NLN pub. no. 21-1744</t>
        </is>
      </c>
      <c r="T1262" t="inlineStr">
        <is>
          <t xml:space="preserve">WY </t>
        </is>
      </c>
      <c r="U1262" t="n">
        <v>3</v>
      </c>
      <c r="V1262" t="n">
        <v>3</v>
      </c>
      <c r="W1262" t="inlineStr">
        <is>
          <t>1990-08-13</t>
        </is>
      </c>
      <c r="X1262" t="inlineStr">
        <is>
          <t>1990-08-13</t>
        </is>
      </c>
      <c r="Y1262" t="inlineStr">
        <is>
          <t>1987-11-04</t>
        </is>
      </c>
      <c r="Z1262" t="inlineStr">
        <is>
          <t>1987-11-04</t>
        </is>
      </c>
      <c r="AA1262" t="n">
        <v>67</v>
      </c>
      <c r="AB1262" t="n">
        <v>60</v>
      </c>
      <c r="AC1262" t="n">
        <v>60</v>
      </c>
      <c r="AD1262" t="n">
        <v>1</v>
      </c>
      <c r="AE1262" t="n">
        <v>1</v>
      </c>
      <c r="AF1262" t="n">
        <v>4</v>
      </c>
      <c r="AG1262" t="n">
        <v>4</v>
      </c>
      <c r="AH1262" t="n">
        <v>1</v>
      </c>
      <c r="AI1262" t="n">
        <v>1</v>
      </c>
      <c r="AJ1262" t="n">
        <v>1</v>
      </c>
      <c r="AK1262" t="n">
        <v>1</v>
      </c>
      <c r="AL1262" t="n">
        <v>3</v>
      </c>
      <c r="AM1262" t="n">
        <v>3</v>
      </c>
      <c r="AN1262" t="n">
        <v>0</v>
      </c>
      <c r="AO1262" t="n">
        <v>0</v>
      </c>
      <c r="AP1262" t="n">
        <v>0</v>
      </c>
      <c r="AQ1262" t="n">
        <v>0</v>
      </c>
      <c r="AR1262" t="inlineStr">
        <is>
          <t>No</t>
        </is>
      </c>
      <c r="AS1262" t="inlineStr">
        <is>
          <t>No</t>
        </is>
      </c>
      <c r="AU1262">
        <f>HYPERLINK("https://creighton-primo.hosted.exlibrisgroup.com/primo-explore/search?tab=default_tab&amp;search_scope=EVERYTHING&amp;vid=01CRU&amp;lang=en_US&amp;offset=0&amp;query=any,contains,991001387009702656","Catalog Record")</f>
        <v/>
      </c>
      <c r="AV1262">
        <f>HYPERLINK("http://www.worldcat.org/oclc/4335713","WorldCat Record")</f>
        <v/>
      </c>
      <c r="AW1262" t="inlineStr">
        <is>
          <t>14730576:eng</t>
        </is>
      </c>
      <c r="AX1262" t="inlineStr">
        <is>
          <t>4335713</t>
        </is>
      </c>
      <c r="AY1262" t="inlineStr">
        <is>
          <t>991001387009702656</t>
        </is>
      </c>
      <c r="AZ1262" t="inlineStr">
        <is>
          <t>991001387009702656</t>
        </is>
      </c>
      <c r="BA1262" t="inlineStr">
        <is>
          <t>2265259660002656</t>
        </is>
      </c>
      <c r="BB1262" t="inlineStr">
        <is>
          <t>BOOK</t>
        </is>
      </c>
      <c r="BE1262" t="inlineStr">
        <is>
          <t>30001000463952</t>
        </is>
      </c>
      <c r="BF1262" t="inlineStr">
        <is>
          <t>893287371</t>
        </is>
      </c>
    </row>
    <row r="1263">
      <c r="A1263" t="inlineStr">
        <is>
          <t>No</t>
        </is>
      </c>
      <c r="B1263" t="inlineStr">
        <is>
          <t>CUHSL</t>
        </is>
      </c>
      <c r="C1263" t="inlineStr">
        <is>
          <t>SHELVES</t>
        </is>
      </c>
      <c r="D1263" t="inlineStr">
        <is>
          <t>WY115 R815hp 1989</t>
        </is>
      </c>
      <c r="E1263" t="inlineStr">
        <is>
          <t>0                      WY 0115000R  815hp       1989</t>
        </is>
      </c>
      <c r="F1263" t="inlineStr">
        <is>
          <t>Home care : patient and family instructions / Deborah K. Zastocki, Christine A. Rovinski.</t>
        </is>
      </c>
      <c r="H1263" t="inlineStr">
        <is>
          <t>No</t>
        </is>
      </c>
      <c r="I1263" t="inlineStr">
        <is>
          <t>1</t>
        </is>
      </c>
      <c r="J1263" t="inlineStr">
        <is>
          <t>No</t>
        </is>
      </c>
      <c r="K1263" t="inlineStr">
        <is>
          <t>No</t>
        </is>
      </c>
      <c r="L1263" t="inlineStr">
        <is>
          <t>0</t>
        </is>
      </c>
      <c r="M1263" t="inlineStr">
        <is>
          <t>Rovinski-Wagner, Christine.</t>
        </is>
      </c>
      <c r="N1263" t="inlineStr">
        <is>
          <t>Philadelphia : W.B. Saunders Co., c1989.</t>
        </is>
      </c>
      <c r="O1263" t="inlineStr">
        <is>
          <t>1989</t>
        </is>
      </c>
      <c r="Q1263" t="inlineStr">
        <is>
          <t>eng</t>
        </is>
      </c>
      <c r="R1263" t="inlineStr">
        <is>
          <t>pau</t>
        </is>
      </c>
      <c r="T1263" t="inlineStr">
        <is>
          <t xml:space="preserve">WY </t>
        </is>
      </c>
      <c r="U1263" t="n">
        <v>44</v>
      </c>
      <c r="V1263" t="n">
        <v>44</v>
      </c>
      <c r="W1263" t="inlineStr">
        <is>
          <t>2002-03-12</t>
        </is>
      </c>
      <c r="X1263" t="inlineStr">
        <is>
          <t>2002-03-12</t>
        </is>
      </c>
      <c r="Y1263" t="inlineStr">
        <is>
          <t>1989-10-26</t>
        </is>
      </c>
      <c r="Z1263" t="inlineStr">
        <is>
          <t>1989-10-26</t>
        </is>
      </c>
      <c r="AA1263" t="n">
        <v>159</v>
      </c>
      <c r="AB1263" t="n">
        <v>125</v>
      </c>
      <c r="AC1263" t="n">
        <v>221</v>
      </c>
      <c r="AD1263" t="n">
        <v>3</v>
      </c>
      <c r="AE1263" t="n">
        <v>3</v>
      </c>
      <c r="AF1263" t="n">
        <v>3</v>
      </c>
      <c r="AG1263" t="n">
        <v>5</v>
      </c>
      <c r="AH1263" t="n">
        <v>1</v>
      </c>
      <c r="AI1263" t="n">
        <v>2</v>
      </c>
      <c r="AJ1263" t="n">
        <v>0</v>
      </c>
      <c r="AK1263" t="n">
        <v>0</v>
      </c>
      <c r="AL1263" t="n">
        <v>1</v>
      </c>
      <c r="AM1263" t="n">
        <v>2</v>
      </c>
      <c r="AN1263" t="n">
        <v>1</v>
      </c>
      <c r="AO1263" t="n">
        <v>1</v>
      </c>
      <c r="AP1263" t="n">
        <v>0</v>
      </c>
      <c r="AQ1263" t="n">
        <v>0</v>
      </c>
      <c r="AR1263" t="inlineStr">
        <is>
          <t>No</t>
        </is>
      </c>
      <c r="AS1263" t="inlineStr">
        <is>
          <t>Yes</t>
        </is>
      </c>
      <c r="AT1263">
        <f>HYPERLINK("http://catalog.hathitrust.org/Record/002451499","HathiTrust Record")</f>
        <v/>
      </c>
      <c r="AU1263">
        <f>HYPERLINK("https://creighton-primo.hosted.exlibrisgroup.com/primo-explore/search?tab=default_tab&amp;search_scope=EVERYTHING&amp;vid=01CRU&amp;lang=en_US&amp;offset=0&amp;query=any,contains,991001360499702656","Catalog Record")</f>
        <v/>
      </c>
      <c r="AV1263">
        <f>HYPERLINK("http://www.worldcat.org/oclc/18561138","WorldCat Record")</f>
        <v/>
      </c>
      <c r="AW1263" t="inlineStr">
        <is>
          <t>17461643:eng</t>
        </is>
      </c>
      <c r="AX1263" t="inlineStr">
        <is>
          <t>18561138</t>
        </is>
      </c>
      <c r="AY1263" t="inlineStr">
        <is>
          <t>991001360499702656</t>
        </is>
      </c>
      <c r="AZ1263" t="inlineStr">
        <is>
          <t>991001360499702656</t>
        </is>
      </c>
      <c r="BA1263" t="inlineStr">
        <is>
          <t>2272807330002656</t>
        </is>
      </c>
      <c r="BB1263" t="inlineStr">
        <is>
          <t>BOOK</t>
        </is>
      </c>
      <c r="BD1263" t="inlineStr">
        <is>
          <t>9780721625041</t>
        </is>
      </c>
      <c r="BE1263" t="inlineStr">
        <is>
          <t>30001001796574</t>
        </is>
      </c>
      <c r="BF1263" t="inlineStr">
        <is>
          <t>893279018</t>
        </is>
      </c>
    </row>
    <row r="1264">
      <c r="A1264" t="inlineStr">
        <is>
          <t>No</t>
        </is>
      </c>
      <c r="B1264" t="inlineStr">
        <is>
          <t>CUHSL</t>
        </is>
      </c>
      <c r="C1264" t="inlineStr">
        <is>
          <t>SHELVES</t>
        </is>
      </c>
      <c r="D1264" t="inlineStr">
        <is>
          <t>WY115 R875h 1989</t>
        </is>
      </c>
      <c r="E1264" t="inlineStr">
        <is>
          <t>0                      WY 0115000R  875h        1989</t>
        </is>
      </c>
      <c r="F1264" t="inlineStr">
        <is>
          <t>Home care : a technical manual for the professional nurse / Christine A. Rovinski, Deborah K. Zastocki.</t>
        </is>
      </c>
      <c r="H1264" t="inlineStr">
        <is>
          <t>No</t>
        </is>
      </c>
      <c r="I1264" t="inlineStr">
        <is>
          <t>1</t>
        </is>
      </c>
      <c r="J1264" t="inlineStr">
        <is>
          <t>No</t>
        </is>
      </c>
      <c r="K1264" t="inlineStr">
        <is>
          <t>No</t>
        </is>
      </c>
      <c r="L1264" t="inlineStr">
        <is>
          <t>0</t>
        </is>
      </c>
      <c r="M1264" t="inlineStr">
        <is>
          <t>Rovinski-Wagner, Christine.</t>
        </is>
      </c>
      <c r="N1264" t="inlineStr">
        <is>
          <t>Philadelphia : Saunders, c1989.</t>
        </is>
      </c>
      <c r="O1264" t="inlineStr">
        <is>
          <t>1989</t>
        </is>
      </c>
      <c r="Q1264" t="inlineStr">
        <is>
          <t>eng</t>
        </is>
      </c>
      <c r="R1264" t="inlineStr">
        <is>
          <t>xxu</t>
        </is>
      </c>
      <c r="T1264" t="inlineStr">
        <is>
          <t xml:space="preserve">WY </t>
        </is>
      </c>
      <c r="U1264" t="n">
        <v>30</v>
      </c>
      <c r="V1264" t="n">
        <v>30</v>
      </c>
      <c r="W1264" t="inlineStr">
        <is>
          <t>2001-05-12</t>
        </is>
      </c>
      <c r="X1264" t="inlineStr">
        <is>
          <t>2001-05-12</t>
        </is>
      </c>
      <c r="Y1264" t="inlineStr">
        <is>
          <t>1989-10-26</t>
        </is>
      </c>
      <c r="Z1264" t="inlineStr">
        <is>
          <t>1989-10-26</t>
        </is>
      </c>
      <c r="AA1264" t="n">
        <v>164</v>
      </c>
      <c r="AB1264" t="n">
        <v>124</v>
      </c>
      <c r="AC1264" t="n">
        <v>127</v>
      </c>
      <c r="AD1264" t="n">
        <v>2</v>
      </c>
      <c r="AE1264" t="n">
        <v>2</v>
      </c>
      <c r="AF1264" t="n">
        <v>4</v>
      </c>
      <c r="AG1264" t="n">
        <v>4</v>
      </c>
      <c r="AH1264" t="n">
        <v>2</v>
      </c>
      <c r="AI1264" t="n">
        <v>2</v>
      </c>
      <c r="AJ1264" t="n">
        <v>1</v>
      </c>
      <c r="AK1264" t="n">
        <v>1</v>
      </c>
      <c r="AL1264" t="n">
        <v>2</v>
      </c>
      <c r="AM1264" t="n">
        <v>2</v>
      </c>
      <c r="AN1264" t="n">
        <v>0</v>
      </c>
      <c r="AO1264" t="n">
        <v>0</v>
      </c>
      <c r="AP1264" t="n">
        <v>0</v>
      </c>
      <c r="AQ1264" t="n">
        <v>0</v>
      </c>
      <c r="AR1264" t="inlineStr">
        <is>
          <t>No</t>
        </is>
      </c>
      <c r="AS1264" t="inlineStr">
        <is>
          <t>Yes</t>
        </is>
      </c>
      <c r="AT1264">
        <f>HYPERLINK("http://catalog.hathitrust.org/Record/001292267","HathiTrust Record")</f>
        <v/>
      </c>
      <c r="AU1264">
        <f>HYPERLINK("https://creighton-primo.hosted.exlibrisgroup.com/primo-explore/search?tab=default_tab&amp;search_scope=EVERYTHING&amp;vid=01CRU&amp;lang=en_US&amp;offset=0&amp;query=any,contains,991001360449702656","Catalog Record")</f>
        <v/>
      </c>
      <c r="AV1264">
        <f>HYPERLINK("http://www.worldcat.org/oclc/18378702","WorldCat Record")</f>
        <v/>
      </c>
      <c r="AW1264" t="inlineStr">
        <is>
          <t>3372591836:eng</t>
        </is>
      </c>
      <c r="AX1264" t="inlineStr">
        <is>
          <t>18378702</t>
        </is>
      </c>
      <c r="AY1264" t="inlineStr">
        <is>
          <t>991001360449702656</t>
        </is>
      </c>
      <c r="AZ1264" t="inlineStr">
        <is>
          <t>991001360449702656</t>
        </is>
      </c>
      <c r="BA1264" t="inlineStr">
        <is>
          <t>2258730290002656</t>
        </is>
      </c>
      <c r="BB1264" t="inlineStr">
        <is>
          <t>BOOK</t>
        </is>
      </c>
      <c r="BD1264" t="inlineStr">
        <is>
          <t>9780721624495</t>
        </is>
      </c>
      <c r="BE1264" t="inlineStr">
        <is>
          <t>30001001796558</t>
        </is>
      </c>
      <c r="BF1264" t="inlineStr">
        <is>
          <t>893451108</t>
        </is>
      </c>
    </row>
    <row r="1265">
      <c r="A1265" t="inlineStr">
        <is>
          <t>No</t>
        </is>
      </c>
      <c r="B1265" t="inlineStr">
        <is>
          <t>CUHSL</t>
        </is>
      </c>
      <c r="C1265" t="inlineStr">
        <is>
          <t>SHELVES</t>
        </is>
      </c>
      <c r="D1265" t="inlineStr">
        <is>
          <t>WY 115 S628m 1979</t>
        </is>
      </c>
      <c r="E1265" t="inlineStr">
        <is>
          <t>0                      WY 0115000S  628m        1979</t>
        </is>
      </c>
      <c r="F1265" t="inlineStr">
        <is>
          <t>Marketing community health services / Patricia Skinner.</t>
        </is>
      </c>
      <c r="H1265" t="inlineStr">
        <is>
          <t>No</t>
        </is>
      </c>
      <c r="I1265" t="inlineStr">
        <is>
          <t>1</t>
        </is>
      </c>
      <c r="J1265" t="inlineStr">
        <is>
          <t>No</t>
        </is>
      </c>
      <c r="K1265" t="inlineStr">
        <is>
          <t>No</t>
        </is>
      </c>
      <c r="L1265" t="inlineStr">
        <is>
          <t>0</t>
        </is>
      </c>
      <c r="M1265" t="inlineStr">
        <is>
          <t>Skinner, Patricia.</t>
        </is>
      </c>
      <c r="N1265" t="inlineStr">
        <is>
          <t>New York : National League for Nursing, c1979.</t>
        </is>
      </c>
      <c r="O1265" t="inlineStr">
        <is>
          <t>1979</t>
        </is>
      </c>
      <c r="Q1265" t="inlineStr">
        <is>
          <t>eng</t>
        </is>
      </c>
      <c r="R1265" t="inlineStr">
        <is>
          <t>nyu</t>
        </is>
      </c>
      <c r="S1265" t="inlineStr">
        <is>
          <t>League exchange ; no. 121</t>
        </is>
      </c>
      <c r="T1265" t="inlineStr">
        <is>
          <t xml:space="preserve">WY </t>
        </is>
      </c>
      <c r="U1265" t="n">
        <v>3</v>
      </c>
      <c r="V1265" t="n">
        <v>3</v>
      </c>
      <c r="W1265" t="inlineStr">
        <is>
          <t>1990-08-13</t>
        </is>
      </c>
      <c r="X1265" t="inlineStr">
        <is>
          <t>1990-08-13</t>
        </is>
      </c>
      <c r="Y1265" t="inlineStr">
        <is>
          <t>1987-11-04</t>
        </is>
      </c>
      <c r="Z1265" t="inlineStr">
        <is>
          <t>1987-11-04</t>
        </is>
      </c>
      <c r="AA1265" t="n">
        <v>101</v>
      </c>
      <c r="AB1265" t="n">
        <v>92</v>
      </c>
      <c r="AC1265" t="n">
        <v>92</v>
      </c>
      <c r="AD1265" t="n">
        <v>1</v>
      </c>
      <c r="AE1265" t="n">
        <v>1</v>
      </c>
      <c r="AF1265" t="n">
        <v>5</v>
      </c>
      <c r="AG1265" t="n">
        <v>5</v>
      </c>
      <c r="AH1265" t="n">
        <v>1</v>
      </c>
      <c r="AI1265" t="n">
        <v>1</v>
      </c>
      <c r="AJ1265" t="n">
        <v>1</v>
      </c>
      <c r="AK1265" t="n">
        <v>1</v>
      </c>
      <c r="AL1265" t="n">
        <v>4</v>
      </c>
      <c r="AM1265" t="n">
        <v>4</v>
      </c>
      <c r="AN1265" t="n">
        <v>0</v>
      </c>
      <c r="AO1265" t="n">
        <v>0</v>
      </c>
      <c r="AP1265" t="n">
        <v>0</v>
      </c>
      <c r="AQ1265" t="n">
        <v>0</v>
      </c>
      <c r="AR1265" t="inlineStr">
        <is>
          <t>No</t>
        </is>
      </c>
      <c r="AS1265" t="inlineStr">
        <is>
          <t>No</t>
        </is>
      </c>
      <c r="AU1265">
        <f>HYPERLINK("https://creighton-primo.hosted.exlibrisgroup.com/primo-explore/search?tab=default_tab&amp;search_scope=EVERYTHING&amp;vid=01CRU&amp;lang=en_US&amp;offset=0&amp;query=any,contains,991001387099702656","Catalog Record")</f>
        <v/>
      </c>
      <c r="AV1265">
        <f>HYPERLINK("http://www.worldcat.org/oclc/4732359","WorldCat Record")</f>
        <v/>
      </c>
      <c r="AW1265" t="inlineStr">
        <is>
          <t>15055154:eng</t>
        </is>
      </c>
      <c r="AX1265" t="inlineStr">
        <is>
          <t>4732359</t>
        </is>
      </c>
      <c r="AY1265" t="inlineStr">
        <is>
          <t>991001387099702656</t>
        </is>
      </c>
      <c r="AZ1265" t="inlineStr">
        <is>
          <t>991001387099702656</t>
        </is>
      </c>
      <c r="BA1265" t="inlineStr">
        <is>
          <t>2262285770002656</t>
        </is>
      </c>
      <c r="BB1265" t="inlineStr">
        <is>
          <t>BOOK</t>
        </is>
      </c>
      <c r="BE1265" t="inlineStr">
        <is>
          <t>30001000463978</t>
        </is>
      </c>
      <c r="BF1265" t="inlineStr">
        <is>
          <t>893541316</t>
        </is>
      </c>
    </row>
    <row r="1266">
      <c r="A1266" t="inlineStr">
        <is>
          <t>No</t>
        </is>
      </c>
      <c r="B1266" t="inlineStr">
        <is>
          <t>CUHSL</t>
        </is>
      </c>
      <c r="C1266" t="inlineStr">
        <is>
          <t>SHELVES</t>
        </is>
      </c>
      <c r="D1266" t="inlineStr">
        <is>
          <t>WY 115 S755h 1987</t>
        </is>
      </c>
      <c r="E1266" t="inlineStr">
        <is>
          <t>0                      WY 0115000S  755h        1987</t>
        </is>
      </c>
      <c r="F1266" t="inlineStr">
        <is>
          <t>Home health care / Allen D. Spiegel.</t>
        </is>
      </c>
      <c r="H1266" t="inlineStr">
        <is>
          <t>No</t>
        </is>
      </c>
      <c r="I1266" t="inlineStr">
        <is>
          <t>1</t>
        </is>
      </c>
      <c r="J1266" t="inlineStr">
        <is>
          <t>No</t>
        </is>
      </c>
      <c r="K1266" t="inlineStr">
        <is>
          <t>No</t>
        </is>
      </c>
      <c r="L1266" t="inlineStr">
        <is>
          <t>0</t>
        </is>
      </c>
      <c r="M1266" t="inlineStr">
        <is>
          <t>Spiegel, Allen D.</t>
        </is>
      </c>
      <c r="N1266" t="inlineStr">
        <is>
          <t>Owings Mills, MD : National Health Pub., c1987.</t>
        </is>
      </c>
      <c r="O1266" t="inlineStr">
        <is>
          <t>1987</t>
        </is>
      </c>
      <c r="P1266" t="inlineStr">
        <is>
          <t>2nd ed.</t>
        </is>
      </c>
      <c r="Q1266" t="inlineStr">
        <is>
          <t>eng</t>
        </is>
      </c>
      <c r="R1266" t="inlineStr">
        <is>
          <t>xxu</t>
        </is>
      </c>
      <c r="T1266" t="inlineStr">
        <is>
          <t xml:space="preserve">WY </t>
        </is>
      </c>
      <c r="U1266" t="n">
        <v>26</v>
      </c>
      <c r="V1266" t="n">
        <v>26</v>
      </c>
      <c r="W1266" t="inlineStr">
        <is>
          <t>1997-04-24</t>
        </is>
      </c>
      <c r="X1266" t="inlineStr">
        <is>
          <t>1997-04-24</t>
        </is>
      </c>
      <c r="Y1266" t="inlineStr">
        <is>
          <t>1989-11-06</t>
        </is>
      </c>
      <c r="Z1266" t="inlineStr">
        <is>
          <t>1989-11-06</t>
        </is>
      </c>
      <c r="AA1266" t="n">
        <v>146</v>
      </c>
      <c r="AB1266" t="n">
        <v>143</v>
      </c>
      <c r="AC1266" t="n">
        <v>258</v>
      </c>
      <c r="AD1266" t="n">
        <v>4</v>
      </c>
      <c r="AE1266" t="n">
        <v>4</v>
      </c>
      <c r="AF1266" t="n">
        <v>4</v>
      </c>
      <c r="AG1266" t="n">
        <v>11</v>
      </c>
      <c r="AH1266" t="n">
        <v>0</v>
      </c>
      <c r="AI1266" t="n">
        <v>1</v>
      </c>
      <c r="AJ1266" t="n">
        <v>1</v>
      </c>
      <c r="AK1266" t="n">
        <v>5</v>
      </c>
      <c r="AL1266" t="n">
        <v>0</v>
      </c>
      <c r="AM1266" t="n">
        <v>6</v>
      </c>
      <c r="AN1266" t="n">
        <v>2</v>
      </c>
      <c r="AO1266" t="n">
        <v>2</v>
      </c>
      <c r="AP1266" t="n">
        <v>1</v>
      </c>
      <c r="AQ1266" t="n">
        <v>1</v>
      </c>
      <c r="AR1266" t="inlineStr">
        <is>
          <t>No</t>
        </is>
      </c>
      <c r="AS1266" t="inlineStr">
        <is>
          <t>No</t>
        </is>
      </c>
      <c r="AU1266">
        <f>HYPERLINK("https://creighton-primo.hosted.exlibrisgroup.com/primo-explore/search?tab=default_tab&amp;search_scope=EVERYTHING&amp;vid=01CRU&amp;lang=en_US&amp;offset=0&amp;query=any,contains,991001361259702656","Catalog Record")</f>
        <v/>
      </c>
      <c r="AV1266">
        <f>HYPERLINK("http://www.worldcat.org/oclc/15539592","WorldCat Record")</f>
        <v/>
      </c>
      <c r="AW1266" t="inlineStr">
        <is>
          <t>5173250:eng</t>
        </is>
      </c>
      <c r="AX1266" t="inlineStr">
        <is>
          <t>15539592</t>
        </is>
      </c>
      <c r="AY1266" t="inlineStr">
        <is>
          <t>991001361259702656</t>
        </is>
      </c>
      <c r="AZ1266" t="inlineStr">
        <is>
          <t>991001361259702656</t>
        </is>
      </c>
      <c r="BA1266" t="inlineStr">
        <is>
          <t>2263542340002656</t>
        </is>
      </c>
      <c r="BB1266" t="inlineStr">
        <is>
          <t>BOOK</t>
        </is>
      </c>
      <c r="BD1266" t="inlineStr">
        <is>
          <t>9780932500632</t>
        </is>
      </c>
      <c r="BE1266" t="inlineStr">
        <is>
          <t>30001001796749</t>
        </is>
      </c>
      <c r="BF1266" t="inlineStr">
        <is>
          <t>893161914</t>
        </is>
      </c>
    </row>
    <row r="1267">
      <c r="A1267" t="inlineStr">
        <is>
          <t>No</t>
        </is>
      </c>
      <c r="B1267" t="inlineStr">
        <is>
          <t>CUHSL</t>
        </is>
      </c>
      <c r="C1267" t="inlineStr">
        <is>
          <t>SHELVES</t>
        </is>
      </c>
      <c r="D1267" t="inlineStr">
        <is>
          <t>WY 115 T134h 1986</t>
        </is>
      </c>
      <c r="E1267" t="inlineStr">
        <is>
          <t>0                      WY 0115000T  134h        1986</t>
        </is>
      </c>
      <c r="F1267" t="inlineStr">
        <is>
          <t>Home nursing : basic rehabilitation care of adults / Frances Taira.</t>
        </is>
      </c>
      <c r="H1267" t="inlineStr">
        <is>
          <t>No</t>
        </is>
      </c>
      <c r="I1267" t="inlineStr">
        <is>
          <t>1</t>
        </is>
      </c>
      <c r="J1267" t="inlineStr">
        <is>
          <t>No</t>
        </is>
      </c>
      <c r="K1267" t="inlineStr">
        <is>
          <t>No</t>
        </is>
      </c>
      <c r="L1267" t="inlineStr">
        <is>
          <t>0</t>
        </is>
      </c>
      <c r="M1267" t="inlineStr">
        <is>
          <t>Taira, Frances.</t>
        </is>
      </c>
      <c r="N1267" t="inlineStr">
        <is>
          <t>Lancaster : Technomic Pub. Co., c1986.</t>
        </is>
      </c>
      <c r="O1267" t="inlineStr">
        <is>
          <t>1986</t>
        </is>
      </c>
      <c r="Q1267" t="inlineStr">
        <is>
          <t>eng</t>
        </is>
      </c>
      <c r="R1267" t="inlineStr">
        <is>
          <t>pau</t>
        </is>
      </c>
      <c r="T1267" t="inlineStr">
        <is>
          <t xml:space="preserve">WY </t>
        </is>
      </c>
      <c r="U1267" t="n">
        <v>7</v>
      </c>
      <c r="V1267" t="n">
        <v>7</v>
      </c>
      <c r="W1267" t="inlineStr">
        <is>
          <t>1991-11-10</t>
        </is>
      </c>
      <c r="X1267" t="inlineStr">
        <is>
          <t>1991-11-10</t>
        </is>
      </c>
      <c r="Y1267" t="inlineStr">
        <is>
          <t>1987-12-30</t>
        </is>
      </c>
      <c r="Z1267" t="inlineStr">
        <is>
          <t>1987-12-30</t>
        </is>
      </c>
      <c r="AA1267" t="n">
        <v>115</v>
      </c>
      <c r="AB1267" t="n">
        <v>109</v>
      </c>
      <c r="AC1267" t="n">
        <v>111</v>
      </c>
      <c r="AD1267" t="n">
        <v>1</v>
      </c>
      <c r="AE1267" t="n">
        <v>1</v>
      </c>
      <c r="AF1267" t="n">
        <v>2</v>
      </c>
      <c r="AG1267" t="n">
        <v>2</v>
      </c>
      <c r="AH1267" t="n">
        <v>1</v>
      </c>
      <c r="AI1267" t="n">
        <v>1</v>
      </c>
      <c r="AJ1267" t="n">
        <v>0</v>
      </c>
      <c r="AK1267" t="n">
        <v>0</v>
      </c>
      <c r="AL1267" t="n">
        <v>1</v>
      </c>
      <c r="AM1267" t="n">
        <v>1</v>
      </c>
      <c r="AN1267" t="n">
        <v>0</v>
      </c>
      <c r="AO1267" t="n">
        <v>0</v>
      </c>
      <c r="AP1267" t="n">
        <v>0</v>
      </c>
      <c r="AQ1267" t="n">
        <v>0</v>
      </c>
      <c r="AR1267" t="inlineStr">
        <is>
          <t>No</t>
        </is>
      </c>
      <c r="AS1267" t="inlineStr">
        <is>
          <t>Yes</t>
        </is>
      </c>
      <c r="AT1267">
        <f>HYPERLINK("http://catalog.hathitrust.org/Record/012275868","HathiTrust Record")</f>
        <v/>
      </c>
      <c r="AU1267">
        <f>HYPERLINK("https://creighton-primo.hosted.exlibrisgroup.com/primo-explore/search?tab=default_tab&amp;search_scope=EVERYTHING&amp;vid=01CRU&amp;lang=en_US&amp;offset=0&amp;query=any,contains,991001202279702656","Catalog Record")</f>
        <v/>
      </c>
      <c r="AV1267">
        <f>HYPERLINK("http://www.worldcat.org/oclc/13312016","WorldCat Record")</f>
        <v/>
      </c>
      <c r="AW1267" t="inlineStr">
        <is>
          <t>294292852:eng</t>
        </is>
      </c>
      <c r="AX1267" t="inlineStr">
        <is>
          <t>13312016</t>
        </is>
      </c>
      <c r="AY1267" t="inlineStr">
        <is>
          <t>991001202279702656</t>
        </is>
      </c>
      <c r="AZ1267" t="inlineStr">
        <is>
          <t>991001202279702656</t>
        </is>
      </c>
      <c r="BA1267" t="inlineStr">
        <is>
          <t>2269606510002656</t>
        </is>
      </c>
      <c r="BB1267" t="inlineStr">
        <is>
          <t>BOOK</t>
        </is>
      </c>
      <c r="BD1267" t="inlineStr">
        <is>
          <t>9780877624226</t>
        </is>
      </c>
      <c r="BE1267" t="inlineStr">
        <is>
          <t>30001000317299</t>
        </is>
      </c>
      <c r="BF1267" t="inlineStr">
        <is>
          <t>893467846</t>
        </is>
      </c>
    </row>
    <row r="1268">
      <c r="A1268" t="inlineStr">
        <is>
          <t>No</t>
        </is>
      </c>
      <c r="B1268" t="inlineStr">
        <is>
          <t>CUHSL</t>
        </is>
      </c>
      <c r="C1268" t="inlineStr">
        <is>
          <t>SHELVES</t>
        </is>
      </c>
      <c r="D1268" t="inlineStr">
        <is>
          <t>WY 115 W225m 1987</t>
        </is>
      </c>
      <c r="E1268" t="inlineStr">
        <is>
          <t>0                      WY 0115000W  225m        1987</t>
        </is>
      </c>
      <c r="F1268" t="inlineStr">
        <is>
          <t>Manual of home health care nursing / Joleen Walsh, Carol Batten Persons, Lynn Wieck.</t>
        </is>
      </c>
      <c r="H1268" t="inlineStr">
        <is>
          <t>No</t>
        </is>
      </c>
      <c r="I1268" t="inlineStr">
        <is>
          <t>1</t>
        </is>
      </c>
      <c r="J1268" t="inlineStr">
        <is>
          <t>No</t>
        </is>
      </c>
      <c r="K1268" t="inlineStr">
        <is>
          <t>No</t>
        </is>
      </c>
      <c r="L1268" t="inlineStr">
        <is>
          <t>0</t>
        </is>
      </c>
      <c r="M1268" t="inlineStr">
        <is>
          <t>Walsh, Joleen.</t>
        </is>
      </c>
      <c r="N1268" t="inlineStr">
        <is>
          <t>Philadelphia : Lippincott, c1987.</t>
        </is>
      </c>
      <c r="O1268" t="inlineStr">
        <is>
          <t>1987</t>
        </is>
      </c>
      <c r="Q1268" t="inlineStr">
        <is>
          <t>eng</t>
        </is>
      </c>
      <c r="R1268" t="inlineStr">
        <is>
          <t>xxu</t>
        </is>
      </c>
      <c r="T1268" t="inlineStr">
        <is>
          <t xml:space="preserve">WY </t>
        </is>
      </c>
      <c r="U1268" t="n">
        <v>17</v>
      </c>
      <c r="V1268" t="n">
        <v>17</v>
      </c>
      <c r="W1268" t="inlineStr">
        <is>
          <t>1999-02-16</t>
        </is>
      </c>
      <c r="X1268" t="inlineStr">
        <is>
          <t>1999-02-16</t>
        </is>
      </c>
      <c r="Y1268" t="inlineStr">
        <is>
          <t>1987-11-17</t>
        </is>
      </c>
      <c r="Z1268" t="inlineStr">
        <is>
          <t>1987-11-17</t>
        </is>
      </c>
      <c r="AA1268" t="n">
        <v>179</v>
      </c>
      <c r="AB1268" t="n">
        <v>158</v>
      </c>
      <c r="AC1268" t="n">
        <v>159</v>
      </c>
      <c r="AD1268" t="n">
        <v>1</v>
      </c>
      <c r="AE1268" t="n">
        <v>1</v>
      </c>
      <c r="AF1268" t="n">
        <v>5</v>
      </c>
      <c r="AG1268" t="n">
        <v>5</v>
      </c>
      <c r="AH1268" t="n">
        <v>1</v>
      </c>
      <c r="AI1268" t="n">
        <v>1</v>
      </c>
      <c r="AJ1268" t="n">
        <v>2</v>
      </c>
      <c r="AK1268" t="n">
        <v>2</v>
      </c>
      <c r="AL1268" t="n">
        <v>3</v>
      </c>
      <c r="AM1268" t="n">
        <v>3</v>
      </c>
      <c r="AN1268" t="n">
        <v>0</v>
      </c>
      <c r="AO1268" t="n">
        <v>0</v>
      </c>
      <c r="AP1268" t="n">
        <v>0</v>
      </c>
      <c r="AQ1268" t="n">
        <v>0</v>
      </c>
      <c r="AR1268" t="inlineStr">
        <is>
          <t>No</t>
        </is>
      </c>
      <c r="AS1268" t="inlineStr">
        <is>
          <t>Yes</t>
        </is>
      </c>
      <c r="AT1268">
        <f>HYPERLINK("http://catalog.hathitrust.org/Record/000826707","HathiTrust Record")</f>
        <v/>
      </c>
      <c r="AU1268">
        <f>HYPERLINK("https://creighton-primo.hosted.exlibrisgroup.com/primo-explore/search?tab=default_tab&amp;search_scope=EVERYTHING&amp;vid=01CRU&amp;lang=en_US&amp;offset=0&amp;query=any,contains,991001530479702656","Catalog Record")</f>
        <v/>
      </c>
      <c r="AV1268">
        <f>HYPERLINK("http://www.worldcat.org/oclc/14067643","WorldCat Record")</f>
        <v/>
      </c>
      <c r="AW1268" t="inlineStr">
        <is>
          <t>7199543:eng</t>
        </is>
      </c>
      <c r="AX1268" t="inlineStr">
        <is>
          <t>14067643</t>
        </is>
      </c>
      <c r="AY1268" t="inlineStr">
        <is>
          <t>991001530479702656</t>
        </is>
      </c>
      <c r="AZ1268" t="inlineStr">
        <is>
          <t>991001530479702656</t>
        </is>
      </c>
      <c r="BA1268" t="inlineStr">
        <is>
          <t>2256785590002656</t>
        </is>
      </c>
      <c r="BB1268" t="inlineStr">
        <is>
          <t>BOOK</t>
        </is>
      </c>
      <c r="BD1268" t="inlineStr">
        <is>
          <t>9780397546169</t>
        </is>
      </c>
      <c r="BE1268" t="inlineStr">
        <is>
          <t>30001000621369</t>
        </is>
      </c>
      <c r="BF1268" t="inlineStr">
        <is>
          <t>893736688</t>
        </is>
      </c>
    </row>
    <row r="1269">
      <c r="A1269" t="inlineStr">
        <is>
          <t>No</t>
        </is>
      </c>
      <c r="B1269" t="inlineStr">
        <is>
          <t>CUHSL</t>
        </is>
      </c>
      <c r="C1269" t="inlineStr">
        <is>
          <t>SHELVES</t>
        </is>
      </c>
      <c r="D1269" t="inlineStr">
        <is>
          <t>WY 115 W319h 1990</t>
        </is>
      </c>
      <c r="E1269" t="inlineStr">
        <is>
          <t>0                      WY 0115000W  319h        1990</t>
        </is>
      </c>
      <c r="F1269" t="inlineStr">
        <is>
          <t>Home visiting : procedures for helping families / Barbara Hanna Wasik, Donna M. Bryant, Claudia M. Lyons ; foreword by Richard N. Roberts.</t>
        </is>
      </c>
      <c r="H1269" t="inlineStr">
        <is>
          <t>No</t>
        </is>
      </c>
      <c r="I1269" t="inlineStr">
        <is>
          <t>1</t>
        </is>
      </c>
      <c r="J1269" t="inlineStr">
        <is>
          <t>No</t>
        </is>
      </c>
      <c r="K1269" t="inlineStr">
        <is>
          <t>No</t>
        </is>
      </c>
      <c r="L1269" t="inlineStr">
        <is>
          <t>1</t>
        </is>
      </c>
      <c r="M1269" t="inlineStr">
        <is>
          <t>Wasik, Barbara Hanna.</t>
        </is>
      </c>
      <c r="N1269" t="inlineStr">
        <is>
          <t>Newbury Park, Calif. : Sage Publications, c1990.</t>
        </is>
      </c>
      <c r="O1269" t="inlineStr">
        <is>
          <t>1990</t>
        </is>
      </c>
      <c r="Q1269" t="inlineStr">
        <is>
          <t>eng</t>
        </is>
      </c>
      <c r="R1269" t="inlineStr">
        <is>
          <t>cau</t>
        </is>
      </c>
      <c r="T1269" t="inlineStr">
        <is>
          <t xml:space="preserve">WY </t>
        </is>
      </c>
      <c r="U1269" t="n">
        <v>5</v>
      </c>
      <c r="V1269" t="n">
        <v>5</v>
      </c>
      <c r="W1269" t="inlineStr">
        <is>
          <t>1997-02-20</t>
        </is>
      </c>
      <c r="X1269" t="inlineStr">
        <is>
          <t>1997-02-20</t>
        </is>
      </c>
      <c r="Y1269" t="inlineStr">
        <is>
          <t>1992-08-21</t>
        </is>
      </c>
      <c r="Z1269" t="inlineStr">
        <is>
          <t>1992-08-21</t>
        </is>
      </c>
      <c r="AA1269" t="n">
        <v>390</v>
      </c>
      <c r="AB1269" t="n">
        <v>313</v>
      </c>
      <c r="AC1269" t="n">
        <v>1134</v>
      </c>
      <c r="AD1269" t="n">
        <v>4</v>
      </c>
      <c r="AE1269" t="n">
        <v>16</v>
      </c>
      <c r="AF1269" t="n">
        <v>19</v>
      </c>
      <c r="AG1269" t="n">
        <v>43</v>
      </c>
      <c r="AH1269" t="n">
        <v>6</v>
      </c>
      <c r="AI1269" t="n">
        <v>12</v>
      </c>
      <c r="AJ1269" t="n">
        <v>5</v>
      </c>
      <c r="AK1269" t="n">
        <v>9</v>
      </c>
      <c r="AL1269" t="n">
        <v>9</v>
      </c>
      <c r="AM1269" t="n">
        <v>14</v>
      </c>
      <c r="AN1269" t="n">
        <v>3</v>
      </c>
      <c r="AO1269" t="n">
        <v>14</v>
      </c>
      <c r="AP1269" t="n">
        <v>0</v>
      </c>
      <c r="AQ1269" t="n">
        <v>1</v>
      </c>
      <c r="AR1269" t="inlineStr">
        <is>
          <t>No</t>
        </is>
      </c>
      <c r="AS1269" t="inlineStr">
        <is>
          <t>Yes</t>
        </is>
      </c>
      <c r="AT1269">
        <f>HYPERLINK("http://catalog.hathitrust.org/Record/002057829","HathiTrust Record")</f>
        <v/>
      </c>
      <c r="AU1269">
        <f>HYPERLINK("https://creighton-primo.hosted.exlibrisgroup.com/primo-explore/search?tab=default_tab&amp;search_scope=EVERYTHING&amp;vid=01CRU&amp;lang=en_US&amp;offset=0&amp;query=any,contains,991001340649702656","Catalog Record")</f>
        <v/>
      </c>
      <c r="AV1269">
        <f>HYPERLINK("http://www.worldcat.org/oclc/20530668","WorldCat Record")</f>
        <v/>
      </c>
      <c r="AW1269" t="inlineStr">
        <is>
          <t>22496595:eng</t>
        </is>
      </c>
      <c r="AX1269" t="inlineStr">
        <is>
          <t>20530668</t>
        </is>
      </c>
      <c r="AY1269" t="inlineStr">
        <is>
          <t>991001340649702656</t>
        </is>
      </c>
      <c r="AZ1269" t="inlineStr">
        <is>
          <t>991001340649702656</t>
        </is>
      </c>
      <c r="BA1269" t="inlineStr">
        <is>
          <t>2271556180002656</t>
        </is>
      </c>
      <c r="BB1269" t="inlineStr">
        <is>
          <t>BOOK</t>
        </is>
      </c>
      <c r="BD1269" t="inlineStr">
        <is>
          <t>9780803935419</t>
        </is>
      </c>
      <c r="BE1269" t="inlineStr">
        <is>
          <t>30001002455576</t>
        </is>
      </c>
      <c r="BF1269" t="inlineStr">
        <is>
          <t>893149103</t>
        </is>
      </c>
    </row>
    <row r="1270">
      <c r="A1270" t="inlineStr">
        <is>
          <t>No</t>
        </is>
      </c>
      <c r="B1270" t="inlineStr">
        <is>
          <t>CUHSL</t>
        </is>
      </c>
      <c r="C1270" t="inlineStr">
        <is>
          <t>SHELVES</t>
        </is>
      </c>
      <c r="D1270" t="inlineStr">
        <is>
          <t>WY 115 W629 1976</t>
        </is>
      </c>
      <c r="E1270" t="inlineStr">
        <is>
          <t>0                      WY 0115000W  629         1976</t>
        </is>
      </c>
      <c r="F1270" t="inlineStr">
        <is>
          <t>Why experiment with health care delivery?</t>
        </is>
      </c>
      <c r="H1270" t="inlineStr">
        <is>
          <t>No</t>
        </is>
      </c>
      <c r="I1270" t="inlineStr">
        <is>
          <t>1</t>
        </is>
      </c>
      <c r="J1270" t="inlineStr">
        <is>
          <t>No</t>
        </is>
      </c>
      <c r="K1270" t="inlineStr">
        <is>
          <t>No</t>
        </is>
      </c>
      <c r="L1270" t="inlineStr">
        <is>
          <t>0</t>
        </is>
      </c>
      <c r="N1270" t="inlineStr">
        <is>
          <t>New York : National League for Nursing, c1976.</t>
        </is>
      </c>
      <c r="O1270" t="inlineStr">
        <is>
          <t>1976</t>
        </is>
      </c>
      <c r="Q1270" t="inlineStr">
        <is>
          <t>eng</t>
        </is>
      </c>
      <c r="R1270" t="inlineStr">
        <is>
          <t>nyu</t>
        </is>
      </c>
      <c r="S1270" t="inlineStr">
        <is>
          <t>NLN pub. no. 21-1651</t>
        </is>
      </c>
      <c r="T1270" t="inlineStr">
        <is>
          <t xml:space="preserve">WY </t>
        </is>
      </c>
      <c r="U1270" t="n">
        <v>1</v>
      </c>
      <c r="V1270" t="n">
        <v>1</v>
      </c>
      <c r="W1270" t="inlineStr">
        <is>
          <t>1990-08-13</t>
        </is>
      </c>
      <c r="X1270" t="inlineStr">
        <is>
          <t>1990-08-13</t>
        </is>
      </c>
      <c r="Y1270" t="inlineStr">
        <is>
          <t>1987-11-04</t>
        </is>
      </c>
      <c r="Z1270" t="inlineStr">
        <is>
          <t>1987-11-04</t>
        </is>
      </c>
      <c r="AA1270" t="n">
        <v>72</v>
      </c>
      <c r="AB1270" t="n">
        <v>62</v>
      </c>
      <c r="AC1270" t="n">
        <v>64</v>
      </c>
      <c r="AD1270" t="n">
        <v>2</v>
      </c>
      <c r="AE1270" t="n">
        <v>2</v>
      </c>
      <c r="AF1270" t="n">
        <v>3</v>
      </c>
      <c r="AG1270" t="n">
        <v>3</v>
      </c>
      <c r="AH1270" t="n">
        <v>0</v>
      </c>
      <c r="AI1270" t="n">
        <v>0</v>
      </c>
      <c r="AJ1270" t="n">
        <v>0</v>
      </c>
      <c r="AK1270" t="n">
        <v>0</v>
      </c>
      <c r="AL1270" t="n">
        <v>2</v>
      </c>
      <c r="AM1270" t="n">
        <v>2</v>
      </c>
      <c r="AN1270" t="n">
        <v>1</v>
      </c>
      <c r="AO1270" t="n">
        <v>1</v>
      </c>
      <c r="AP1270" t="n">
        <v>0</v>
      </c>
      <c r="AQ1270" t="n">
        <v>0</v>
      </c>
      <c r="AR1270" t="inlineStr">
        <is>
          <t>No</t>
        </is>
      </c>
      <c r="AS1270" t="inlineStr">
        <is>
          <t>Yes</t>
        </is>
      </c>
      <c r="AT1270">
        <f>HYPERLINK("http://catalog.hathitrust.org/Record/001545331","HathiTrust Record")</f>
        <v/>
      </c>
      <c r="AU1270">
        <f>HYPERLINK("https://creighton-primo.hosted.exlibrisgroup.com/primo-explore/search?tab=default_tab&amp;search_scope=EVERYTHING&amp;vid=01CRU&amp;lang=en_US&amp;offset=0&amp;query=any,contains,991001386639702656","Catalog Record")</f>
        <v/>
      </c>
      <c r="AV1270">
        <f>HYPERLINK("http://www.worldcat.org/oclc/2801798","WorldCat Record")</f>
        <v/>
      </c>
      <c r="AW1270" t="inlineStr">
        <is>
          <t>5971614:eng</t>
        </is>
      </c>
      <c r="AX1270" t="inlineStr">
        <is>
          <t>2801798</t>
        </is>
      </c>
      <c r="AY1270" t="inlineStr">
        <is>
          <t>991001386639702656</t>
        </is>
      </c>
      <c r="AZ1270" t="inlineStr">
        <is>
          <t>991001386639702656</t>
        </is>
      </c>
      <c r="BA1270" t="inlineStr">
        <is>
          <t>2261813070002656</t>
        </is>
      </c>
      <c r="BB1270" t="inlineStr">
        <is>
          <t>BOOK</t>
        </is>
      </c>
      <c r="BE1270" t="inlineStr">
        <is>
          <t>30001000463879</t>
        </is>
      </c>
      <c r="BF1270" t="inlineStr">
        <is>
          <t>893465449</t>
        </is>
      </c>
    </row>
    <row r="1271">
      <c r="A1271" t="inlineStr">
        <is>
          <t>No</t>
        </is>
      </c>
      <c r="B1271" t="inlineStr">
        <is>
          <t>CUHSL</t>
        </is>
      </c>
      <c r="C1271" t="inlineStr">
        <is>
          <t>SHELVES</t>
        </is>
      </c>
      <c r="D1271" t="inlineStr">
        <is>
          <t>WY125 A425c 2001</t>
        </is>
      </c>
      <c r="E1271" t="inlineStr">
        <is>
          <t>0                      WY 0125000A  425c        2001</t>
        </is>
      </c>
      <c r="F1271" t="inlineStr">
        <is>
          <t>The changing shape of nursing practice : the role of nurses in the hospital division of labour / Davina Allen.</t>
        </is>
      </c>
      <c r="H1271" t="inlineStr">
        <is>
          <t>No</t>
        </is>
      </c>
      <c r="I1271" t="inlineStr">
        <is>
          <t>1</t>
        </is>
      </c>
      <c r="J1271" t="inlineStr">
        <is>
          <t>No</t>
        </is>
      </c>
      <c r="K1271" t="inlineStr">
        <is>
          <t>No</t>
        </is>
      </c>
      <c r="L1271" t="inlineStr">
        <is>
          <t>1</t>
        </is>
      </c>
      <c r="M1271" t="inlineStr">
        <is>
          <t>Allen, Davina, 1963-</t>
        </is>
      </c>
      <c r="N1271" t="inlineStr">
        <is>
          <t>London ; New York : Routledge, 2001.</t>
        </is>
      </c>
      <c r="O1271" t="inlineStr">
        <is>
          <t>2001</t>
        </is>
      </c>
      <c r="Q1271" t="inlineStr">
        <is>
          <t>eng</t>
        </is>
      </c>
      <c r="R1271" t="inlineStr">
        <is>
          <t>enk</t>
        </is>
      </c>
      <c r="T1271" t="inlineStr">
        <is>
          <t xml:space="preserve">WY </t>
        </is>
      </c>
      <c r="U1271" t="n">
        <v>0</v>
      </c>
      <c r="V1271" t="n">
        <v>0</v>
      </c>
      <c r="W1271" t="inlineStr">
        <is>
          <t>2003-05-27</t>
        </is>
      </c>
      <c r="X1271" t="inlineStr">
        <is>
          <t>2003-05-27</t>
        </is>
      </c>
      <c r="Y1271" t="inlineStr">
        <is>
          <t>2002-06-28</t>
        </is>
      </c>
      <c r="Z1271" t="inlineStr">
        <is>
          <t>2002-06-28</t>
        </is>
      </c>
      <c r="AA1271" t="n">
        <v>189</v>
      </c>
      <c r="AB1271" t="n">
        <v>89</v>
      </c>
      <c r="AC1271" t="n">
        <v>1605</v>
      </c>
      <c r="AD1271" t="n">
        <v>1</v>
      </c>
      <c r="AE1271" t="n">
        <v>15</v>
      </c>
      <c r="AF1271" t="n">
        <v>3</v>
      </c>
      <c r="AG1271" t="n">
        <v>45</v>
      </c>
      <c r="AH1271" t="n">
        <v>0</v>
      </c>
      <c r="AI1271" t="n">
        <v>14</v>
      </c>
      <c r="AJ1271" t="n">
        <v>1</v>
      </c>
      <c r="AK1271" t="n">
        <v>9</v>
      </c>
      <c r="AL1271" t="n">
        <v>2</v>
      </c>
      <c r="AM1271" t="n">
        <v>14</v>
      </c>
      <c r="AN1271" t="n">
        <v>0</v>
      </c>
      <c r="AO1271" t="n">
        <v>13</v>
      </c>
      <c r="AP1271" t="n">
        <v>0</v>
      </c>
      <c r="AQ1271" t="n">
        <v>2</v>
      </c>
      <c r="AR1271" t="inlineStr">
        <is>
          <t>No</t>
        </is>
      </c>
      <c r="AS1271" t="inlineStr">
        <is>
          <t>No</t>
        </is>
      </c>
      <c r="AU1271">
        <f>HYPERLINK("https://creighton-primo.hosted.exlibrisgroup.com/primo-explore/search?tab=default_tab&amp;search_scope=EVERYTHING&amp;vid=01CRU&amp;lang=en_US&amp;offset=0&amp;query=any,contains,991000319469702656","Catalog Record")</f>
        <v/>
      </c>
      <c r="AV1271">
        <f>HYPERLINK("http://www.worldcat.org/oclc/43936768","WorldCat Record")</f>
        <v/>
      </c>
      <c r="AW1271" t="inlineStr">
        <is>
          <t>793844196:eng</t>
        </is>
      </c>
      <c r="AX1271" t="inlineStr">
        <is>
          <t>43936768</t>
        </is>
      </c>
      <c r="AY1271" t="inlineStr">
        <is>
          <t>991000319469702656</t>
        </is>
      </c>
      <c r="AZ1271" t="inlineStr">
        <is>
          <t>991000319469702656</t>
        </is>
      </c>
      <c r="BA1271" t="inlineStr">
        <is>
          <t>2257873180002656</t>
        </is>
      </c>
      <c r="BB1271" t="inlineStr">
        <is>
          <t>BOOK</t>
        </is>
      </c>
      <c r="BD1271" t="inlineStr">
        <is>
          <t>9780415216487</t>
        </is>
      </c>
      <c r="BE1271" t="inlineStr">
        <is>
          <t>30001004239598</t>
        </is>
      </c>
      <c r="BF1271" t="inlineStr">
        <is>
          <t>893359438</t>
        </is>
      </c>
    </row>
    <row r="1272">
      <c r="A1272" t="inlineStr">
        <is>
          <t>No</t>
        </is>
      </c>
      <c r="B1272" t="inlineStr">
        <is>
          <t>CUHSL</t>
        </is>
      </c>
      <c r="C1272" t="inlineStr">
        <is>
          <t>SHELVES</t>
        </is>
      </c>
      <c r="D1272" t="inlineStr">
        <is>
          <t>WY 125 B344e 1966</t>
        </is>
      </c>
      <c r="E1272" t="inlineStr">
        <is>
          <t>0                      WY 0125000B  344e        1966</t>
        </is>
      </c>
      <c r="F1272" t="inlineStr">
        <is>
          <t>An experimental in-service program for implementing team nursing / by Annabel Bernice Bauer.</t>
        </is>
      </c>
      <c r="H1272" t="inlineStr">
        <is>
          <t>No</t>
        </is>
      </c>
      <c r="I1272" t="inlineStr">
        <is>
          <t>1</t>
        </is>
      </c>
      <c r="J1272" t="inlineStr">
        <is>
          <t>No</t>
        </is>
      </c>
      <c r="K1272" t="inlineStr">
        <is>
          <t>No</t>
        </is>
      </c>
      <c r="L1272" t="inlineStr">
        <is>
          <t>0</t>
        </is>
      </c>
      <c r="M1272" t="inlineStr">
        <is>
          <t>Bauer, Annabel Bernice.</t>
        </is>
      </c>
      <c r="N1272" t="inlineStr">
        <is>
          <t>New York : National League for Nursing, 1966.</t>
        </is>
      </c>
      <c r="O1272" t="inlineStr">
        <is>
          <t>1966</t>
        </is>
      </c>
      <c r="Q1272" t="inlineStr">
        <is>
          <t>eng</t>
        </is>
      </c>
      <c r="R1272" t="inlineStr">
        <is>
          <t>nyu</t>
        </is>
      </c>
      <c r="S1272" t="inlineStr">
        <is>
          <t>League Exchange ; no. 75</t>
        </is>
      </c>
      <c r="T1272" t="inlineStr">
        <is>
          <t xml:space="preserve">WY </t>
        </is>
      </c>
      <c r="U1272" t="n">
        <v>1</v>
      </c>
      <c r="V1272" t="n">
        <v>1</v>
      </c>
      <c r="W1272" t="inlineStr">
        <is>
          <t>1990-05-04</t>
        </is>
      </c>
      <c r="X1272" t="inlineStr">
        <is>
          <t>1990-05-04</t>
        </is>
      </c>
      <c r="Y1272" t="inlineStr">
        <is>
          <t>1987-11-04</t>
        </is>
      </c>
      <c r="Z1272" t="inlineStr">
        <is>
          <t>1987-11-04</t>
        </is>
      </c>
      <c r="AA1272" t="n">
        <v>35</v>
      </c>
      <c r="AB1272" t="n">
        <v>33</v>
      </c>
      <c r="AC1272" t="n">
        <v>33</v>
      </c>
      <c r="AD1272" t="n">
        <v>1</v>
      </c>
      <c r="AE1272" t="n">
        <v>1</v>
      </c>
      <c r="AF1272" t="n">
        <v>2</v>
      </c>
      <c r="AG1272" t="n">
        <v>2</v>
      </c>
      <c r="AH1272" t="n">
        <v>0</v>
      </c>
      <c r="AI1272" t="n">
        <v>0</v>
      </c>
      <c r="AJ1272" t="n">
        <v>0</v>
      </c>
      <c r="AK1272" t="n">
        <v>0</v>
      </c>
      <c r="AL1272" t="n">
        <v>2</v>
      </c>
      <c r="AM1272" t="n">
        <v>2</v>
      </c>
      <c r="AN1272" t="n">
        <v>0</v>
      </c>
      <c r="AO1272" t="n">
        <v>0</v>
      </c>
      <c r="AP1272" t="n">
        <v>0</v>
      </c>
      <c r="AQ1272" t="n">
        <v>0</v>
      </c>
      <c r="AR1272" t="inlineStr">
        <is>
          <t>No</t>
        </is>
      </c>
      <c r="AS1272" t="inlineStr">
        <is>
          <t>No</t>
        </is>
      </c>
      <c r="AU1272">
        <f>HYPERLINK("https://creighton-primo.hosted.exlibrisgroup.com/primo-explore/search?tab=default_tab&amp;search_scope=EVERYTHING&amp;vid=01CRU&amp;lang=en_US&amp;offset=0&amp;query=any,contains,991001384039702656","Catalog Record")</f>
        <v/>
      </c>
      <c r="AV1272">
        <f>HYPERLINK("http://www.worldcat.org/oclc/1925807","WorldCat Record")</f>
        <v/>
      </c>
      <c r="AW1272" t="inlineStr">
        <is>
          <t>1780537424:eng</t>
        </is>
      </c>
      <c r="AX1272" t="inlineStr">
        <is>
          <t>1925807</t>
        </is>
      </c>
      <c r="AY1272" t="inlineStr">
        <is>
          <t>991001384039702656</t>
        </is>
      </c>
      <c r="AZ1272" t="inlineStr">
        <is>
          <t>991001384039702656</t>
        </is>
      </c>
      <c r="BA1272" t="inlineStr">
        <is>
          <t>2263316610002656</t>
        </is>
      </c>
      <c r="BB1272" t="inlineStr">
        <is>
          <t>BOOK</t>
        </is>
      </c>
      <c r="BE1272" t="inlineStr">
        <is>
          <t>30001000463325</t>
        </is>
      </c>
      <c r="BF1272" t="inlineStr">
        <is>
          <t>893364042</t>
        </is>
      </c>
    </row>
    <row r="1273">
      <c r="A1273" t="inlineStr">
        <is>
          <t>No</t>
        </is>
      </c>
      <c r="B1273" t="inlineStr">
        <is>
          <t>CUHSL</t>
        </is>
      </c>
      <c r="C1273" t="inlineStr">
        <is>
          <t>SHELVES</t>
        </is>
      </c>
      <c r="D1273" t="inlineStr">
        <is>
          <t>WY 125 B658 1962</t>
        </is>
      </c>
      <c r="E1273" t="inlineStr">
        <is>
          <t>0                      WY 0125000B  658         1962</t>
        </is>
      </c>
      <c r="F1273" t="inlineStr">
        <is>
          <t>Blueprint for progress in hospital nursing : proceedings of the 1962 regional conferences / sponsored by the Department of Hospital Nursing, National League for Nursing, and the Regional Councils of State Leagues for Nursing.</t>
        </is>
      </c>
      <c r="H1273" t="inlineStr">
        <is>
          <t>No</t>
        </is>
      </c>
      <c r="I1273" t="inlineStr">
        <is>
          <t>1</t>
        </is>
      </c>
      <c r="J1273" t="inlineStr">
        <is>
          <t>No</t>
        </is>
      </c>
      <c r="K1273" t="inlineStr">
        <is>
          <t>No</t>
        </is>
      </c>
      <c r="L1273" t="inlineStr">
        <is>
          <t>0</t>
        </is>
      </c>
      <c r="N1273" t="inlineStr">
        <is>
          <t>New York : Department of Hospital Nursing, National League for Nursing, 1963.</t>
        </is>
      </c>
      <c r="O1273" t="inlineStr">
        <is>
          <t>1962</t>
        </is>
      </c>
      <c r="Q1273" t="inlineStr">
        <is>
          <t>eng</t>
        </is>
      </c>
      <c r="R1273" t="inlineStr">
        <is>
          <t>nyu</t>
        </is>
      </c>
      <c r="S1273" t="inlineStr">
        <is>
          <t>NLN pub. no. 20-1084</t>
        </is>
      </c>
      <c r="T1273" t="inlineStr">
        <is>
          <t xml:space="preserve">WY </t>
        </is>
      </c>
      <c r="U1273" t="n">
        <v>1</v>
      </c>
      <c r="V1273" t="n">
        <v>1</v>
      </c>
      <c r="W1273" t="inlineStr">
        <is>
          <t>1990-07-03</t>
        </is>
      </c>
      <c r="X1273" t="inlineStr">
        <is>
          <t>1990-07-03</t>
        </is>
      </c>
      <c r="Y1273" t="inlineStr">
        <is>
          <t>1987-11-04</t>
        </is>
      </c>
      <c r="Z1273" t="inlineStr">
        <is>
          <t>1987-11-04</t>
        </is>
      </c>
      <c r="AA1273" t="n">
        <v>60</v>
      </c>
      <c r="AB1273" t="n">
        <v>56</v>
      </c>
      <c r="AC1273" t="n">
        <v>58</v>
      </c>
      <c r="AD1273" t="n">
        <v>1</v>
      </c>
      <c r="AE1273" t="n">
        <v>1</v>
      </c>
      <c r="AF1273" t="n">
        <v>3</v>
      </c>
      <c r="AG1273" t="n">
        <v>3</v>
      </c>
      <c r="AH1273" t="n">
        <v>0</v>
      </c>
      <c r="AI1273" t="n">
        <v>0</v>
      </c>
      <c r="AJ1273" t="n">
        <v>0</v>
      </c>
      <c r="AK1273" t="n">
        <v>0</v>
      </c>
      <c r="AL1273" t="n">
        <v>3</v>
      </c>
      <c r="AM1273" t="n">
        <v>3</v>
      </c>
      <c r="AN1273" t="n">
        <v>0</v>
      </c>
      <c r="AO1273" t="n">
        <v>0</v>
      </c>
      <c r="AP1273" t="n">
        <v>0</v>
      </c>
      <c r="AQ1273" t="n">
        <v>0</v>
      </c>
      <c r="AR1273" t="inlineStr">
        <is>
          <t>No</t>
        </is>
      </c>
      <c r="AS1273" t="inlineStr">
        <is>
          <t>No</t>
        </is>
      </c>
      <c r="AT1273">
        <f>HYPERLINK("http://catalog.hathitrust.org/Record/002071245","HathiTrust Record")</f>
        <v/>
      </c>
      <c r="AU1273">
        <f>HYPERLINK("https://creighton-primo.hosted.exlibrisgroup.com/primo-explore/search?tab=default_tab&amp;search_scope=EVERYTHING&amp;vid=01CRU&amp;lang=en_US&amp;offset=0&amp;query=any,contains,991001383859702656","Catalog Record")</f>
        <v/>
      </c>
      <c r="AV1273">
        <f>HYPERLINK("http://www.worldcat.org/oclc/1687575","WorldCat Record")</f>
        <v/>
      </c>
      <c r="AW1273" t="inlineStr">
        <is>
          <t>4020108874:eng</t>
        </is>
      </c>
      <c r="AX1273" t="inlineStr">
        <is>
          <t>1687575</t>
        </is>
      </c>
      <c r="AY1273" t="inlineStr">
        <is>
          <t>991001383859702656</t>
        </is>
      </c>
      <c r="AZ1273" t="inlineStr">
        <is>
          <t>991001383859702656</t>
        </is>
      </c>
      <c r="BA1273" t="inlineStr">
        <is>
          <t>2270172100002656</t>
        </is>
      </c>
      <c r="BB1273" t="inlineStr">
        <is>
          <t>BOOK</t>
        </is>
      </c>
      <c r="BE1273" t="inlineStr">
        <is>
          <t>30001000463283</t>
        </is>
      </c>
      <c r="BF1273" t="inlineStr">
        <is>
          <t>893731963</t>
        </is>
      </c>
    </row>
    <row r="1274">
      <c r="A1274" t="inlineStr">
        <is>
          <t>No</t>
        </is>
      </c>
      <c r="B1274" t="inlineStr">
        <is>
          <t>CUHSL</t>
        </is>
      </c>
      <c r="C1274" t="inlineStr">
        <is>
          <t>SHELVES</t>
        </is>
      </c>
      <c r="D1274" t="inlineStr">
        <is>
          <t>WY 125 B966 1982</t>
        </is>
      </c>
      <c r="E1274" t="inlineStr">
        <is>
          <t>0                      WY 0125000B  966         1982</t>
        </is>
      </c>
      <c r="F1274" t="inlineStr">
        <is>
          <t>Burnout in the nursing profession : coping strategies, causes, and costs / [edited by] Edwina A. McConnell.</t>
        </is>
      </c>
      <c r="H1274" t="inlineStr">
        <is>
          <t>No</t>
        </is>
      </c>
      <c r="I1274" t="inlineStr">
        <is>
          <t>1</t>
        </is>
      </c>
      <c r="J1274" t="inlineStr">
        <is>
          <t>No</t>
        </is>
      </c>
      <c r="K1274" t="inlineStr">
        <is>
          <t>No</t>
        </is>
      </c>
      <c r="L1274" t="inlineStr">
        <is>
          <t>0</t>
        </is>
      </c>
      <c r="N1274" t="inlineStr">
        <is>
          <t>St. Louis : Mosby, c1982.</t>
        </is>
      </c>
      <c r="O1274" t="inlineStr">
        <is>
          <t>1982</t>
        </is>
      </c>
      <c r="Q1274" t="inlineStr">
        <is>
          <t>eng</t>
        </is>
      </c>
      <c r="R1274" t="inlineStr">
        <is>
          <t>xxu</t>
        </is>
      </c>
      <c r="T1274" t="inlineStr">
        <is>
          <t xml:space="preserve">WY </t>
        </is>
      </c>
      <c r="U1274" t="n">
        <v>9</v>
      </c>
      <c r="V1274" t="n">
        <v>9</v>
      </c>
      <c r="W1274" t="inlineStr">
        <is>
          <t>1994-12-03</t>
        </is>
      </c>
      <c r="X1274" t="inlineStr">
        <is>
          <t>1994-12-03</t>
        </is>
      </c>
      <c r="Y1274" t="inlineStr">
        <is>
          <t>1987-12-30</t>
        </is>
      </c>
      <c r="Z1274" t="inlineStr">
        <is>
          <t>1987-12-30</t>
        </is>
      </c>
      <c r="AA1274" t="n">
        <v>293</v>
      </c>
      <c r="AB1274" t="n">
        <v>221</v>
      </c>
      <c r="AC1274" t="n">
        <v>223</v>
      </c>
      <c r="AD1274" t="n">
        <v>1</v>
      </c>
      <c r="AE1274" t="n">
        <v>1</v>
      </c>
      <c r="AF1274" t="n">
        <v>7</v>
      </c>
      <c r="AG1274" t="n">
        <v>7</v>
      </c>
      <c r="AH1274" t="n">
        <v>3</v>
      </c>
      <c r="AI1274" t="n">
        <v>3</v>
      </c>
      <c r="AJ1274" t="n">
        <v>1</v>
      </c>
      <c r="AK1274" t="n">
        <v>1</v>
      </c>
      <c r="AL1274" t="n">
        <v>4</v>
      </c>
      <c r="AM1274" t="n">
        <v>4</v>
      </c>
      <c r="AN1274" t="n">
        <v>0</v>
      </c>
      <c r="AO1274" t="n">
        <v>0</v>
      </c>
      <c r="AP1274" t="n">
        <v>0</v>
      </c>
      <c r="AQ1274" t="n">
        <v>0</v>
      </c>
      <c r="AR1274" t="inlineStr">
        <is>
          <t>No</t>
        </is>
      </c>
      <c r="AS1274" t="inlineStr">
        <is>
          <t>Yes</t>
        </is>
      </c>
      <c r="AT1274">
        <f>HYPERLINK("http://catalog.hathitrust.org/Record/000198734","HathiTrust Record")</f>
        <v/>
      </c>
      <c r="AU1274">
        <f>HYPERLINK("https://creighton-primo.hosted.exlibrisgroup.com/primo-explore/search?tab=default_tab&amp;search_scope=EVERYTHING&amp;vid=01CRU&amp;lang=en_US&amp;offset=0&amp;query=any,contains,991001084229702656","Catalog Record")</f>
        <v/>
      </c>
      <c r="AV1274">
        <f>HYPERLINK("http://www.worldcat.org/oclc/7946387","WorldCat Record")</f>
        <v/>
      </c>
      <c r="AW1274" t="inlineStr">
        <is>
          <t>894520084:eng</t>
        </is>
      </c>
      <c r="AX1274" t="inlineStr">
        <is>
          <t>7946387</t>
        </is>
      </c>
      <c r="AY1274" t="inlineStr">
        <is>
          <t>991001084229702656</t>
        </is>
      </c>
      <c r="AZ1274" t="inlineStr">
        <is>
          <t>991001084229702656</t>
        </is>
      </c>
      <c r="BA1274" t="inlineStr">
        <is>
          <t>2264068120002656</t>
        </is>
      </c>
      <c r="BB1274" t="inlineStr">
        <is>
          <t>BOOK</t>
        </is>
      </c>
      <c r="BD1274" t="inlineStr">
        <is>
          <t>9780801632235</t>
        </is>
      </c>
      <c r="BE1274" t="inlineStr">
        <is>
          <t>30001000258485</t>
        </is>
      </c>
      <c r="BF1274" t="inlineStr">
        <is>
          <t>893148850</t>
        </is>
      </c>
    </row>
    <row r="1275">
      <c r="A1275" t="inlineStr">
        <is>
          <t>No</t>
        </is>
      </c>
      <c r="B1275" t="inlineStr">
        <is>
          <t>CUHSL</t>
        </is>
      </c>
      <c r="C1275" t="inlineStr">
        <is>
          <t>SHELVES</t>
        </is>
      </c>
      <c r="D1275" t="inlineStr">
        <is>
          <t>WY 125 C976 1990</t>
        </is>
      </c>
      <c r="E1275" t="inlineStr">
        <is>
          <t>0                      WY 0125000C  976         1990</t>
        </is>
      </c>
      <c r="F1275" t="inlineStr">
        <is>
          <t>Current issues and perspectives on differentiated practice / American Organization of Nurse Executives.</t>
        </is>
      </c>
      <c r="H1275" t="inlineStr">
        <is>
          <t>No</t>
        </is>
      </c>
      <c r="I1275" t="inlineStr">
        <is>
          <t>1</t>
        </is>
      </c>
      <c r="J1275" t="inlineStr">
        <is>
          <t>No</t>
        </is>
      </c>
      <c r="K1275" t="inlineStr">
        <is>
          <t>No</t>
        </is>
      </c>
      <c r="L1275" t="inlineStr">
        <is>
          <t>0</t>
        </is>
      </c>
      <c r="N1275" t="inlineStr">
        <is>
          <t>Chicago, Ill. : American Hospital Association, c1990.</t>
        </is>
      </c>
      <c r="O1275" t="inlineStr">
        <is>
          <t>1990</t>
        </is>
      </c>
      <c r="Q1275" t="inlineStr">
        <is>
          <t>eng</t>
        </is>
      </c>
      <c r="R1275" t="inlineStr">
        <is>
          <t>ilu</t>
        </is>
      </c>
      <c r="T1275" t="inlineStr">
        <is>
          <t xml:space="preserve">WY </t>
        </is>
      </c>
      <c r="U1275" t="n">
        <v>4</v>
      </c>
      <c r="V1275" t="n">
        <v>4</v>
      </c>
      <c r="W1275" t="inlineStr">
        <is>
          <t>1991-12-17</t>
        </is>
      </c>
      <c r="X1275" t="inlineStr">
        <is>
          <t>1991-12-17</t>
        </is>
      </c>
      <c r="Y1275" t="inlineStr">
        <is>
          <t>1990-07-05</t>
        </is>
      </c>
      <c r="Z1275" t="inlineStr">
        <is>
          <t>1990-07-05</t>
        </is>
      </c>
      <c r="AA1275" t="n">
        <v>79</v>
      </c>
      <c r="AB1275" t="n">
        <v>69</v>
      </c>
      <c r="AC1275" t="n">
        <v>71</v>
      </c>
      <c r="AD1275" t="n">
        <v>1</v>
      </c>
      <c r="AE1275" t="n">
        <v>1</v>
      </c>
      <c r="AF1275" t="n">
        <v>3</v>
      </c>
      <c r="AG1275" t="n">
        <v>3</v>
      </c>
      <c r="AH1275" t="n">
        <v>0</v>
      </c>
      <c r="AI1275" t="n">
        <v>0</v>
      </c>
      <c r="AJ1275" t="n">
        <v>1</v>
      </c>
      <c r="AK1275" t="n">
        <v>1</v>
      </c>
      <c r="AL1275" t="n">
        <v>2</v>
      </c>
      <c r="AM1275" t="n">
        <v>2</v>
      </c>
      <c r="AN1275" t="n">
        <v>0</v>
      </c>
      <c r="AO1275" t="n">
        <v>0</v>
      </c>
      <c r="AP1275" t="n">
        <v>0</v>
      </c>
      <c r="AQ1275" t="n">
        <v>0</v>
      </c>
      <c r="AR1275" t="inlineStr">
        <is>
          <t>No</t>
        </is>
      </c>
      <c r="AS1275" t="inlineStr">
        <is>
          <t>Yes</t>
        </is>
      </c>
      <c r="AT1275">
        <f>HYPERLINK("http://catalog.hathitrust.org/Record/004498703","HathiTrust Record")</f>
        <v/>
      </c>
      <c r="AU1275">
        <f>HYPERLINK("https://creighton-primo.hosted.exlibrisgroup.com/primo-explore/search?tab=default_tab&amp;search_scope=EVERYTHING&amp;vid=01CRU&amp;lang=en_US&amp;offset=0&amp;query=any,contains,991001450779702656","Catalog Record")</f>
        <v/>
      </c>
      <c r="AV1275">
        <f>HYPERLINK("http://www.worldcat.org/oclc/23838499","WorldCat Record")</f>
        <v/>
      </c>
      <c r="AW1275" t="inlineStr">
        <is>
          <t>55330923:eng</t>
        </is>
      </c>
      <c r="AX1275" t="inlineStr">
        <is>
          <t>23838499</t>
        </is>
      </c>
      <c r="AY1275" t="inlineStr">
        <is>
          <t>991001450779702656</t>
        </is>
      </c>
      <c r="AZ1275" t="inlineStr">
        <is>
          <t>991001450779702656</t>
        </is>
      </c>
      <c r="BA1275" t="inlineStr">
        <is>
          <t>2270284770002656</t>
        </is>
      </c>
      <c r="BB1275" t="inlineStr">
        <is>
          <t>BOOK</t>
        </is>
      </c>
      <c r="BD1275" t="inlineStr">
        <is>
          <t>9780872585355</t>
        </is>
      </c>
      <c r="BE1275" t="inlineStr">
        <is>
          <t>30001001882853</t>
        </is>
      </c>
      <c r="BF1275" t="inlineStr">
        <is>
          <t>893460613</t>
        </is>
      </c>
    </row>
    <row r="1276">
      <c r="A1276" t="inlineStr">
        <is>
          <t>No</t>
        </is>
      </c>
      <c r="B1276" t="inlineStr">
        <is>
          <t>CUHSL</t>
        </is>
      </c>
      <c r="C1276" t="inlineStr">
        <is>
          <t>SHELVES</t>
        </is>
      </c>
      <c r="D1276" t="inlineStr">
        <is>
          <t>WY 125 D252a 1974 Suppl.</t>
        </is>
      </c>
      <c r="E1276" t="inlineStr">
        <is>
          <t>0                      WY 0125000D  252a        1974                                        Suppl.</t>
        </is>
      </c>
      <c r="F1276" t="inlineStr">
        <is>
          <t>The associate degree practitioner and nursing service needs : [by Grace E. Davidson] : supplement / Eva Jean Law.</t>
        </is>
      </c>
      <c r="G1276" t="inlineStr">
        <is>
          <t>Suppl.*</t>
        </is>
      </c>
      <c r="H1276" t="inlineStr">
        <is>
          <t>No</t>
        </is>
      </c>
      <c r="I1276" t="inlineStr">
        <is>
          <t>1</t>
        </is>
      </c>
      <c r="J1276" t="inlineStr">
        <is>
          <t>No</t>
        </is>
      </c>
      <c r="K1276" t="inlineStr">
        <is>
          <t>No</t>
        </is>
      </c>
      <c r="L1276" t="inlineStr">
        <is>
          <t>0</t>
        </is>
      </c>
      <c r="M1276" t="inlineStr">
        <is>
          <t>Law, Eva Jean.</t>
        </is>
      </c>
      <c r="N1276" t="inlineStr">
        <is>
          <t>New York : Council of Hospital and Related Institutional Nursing Services, National League for Nursing, c1974.</t>
        </is>
      </c>
      <c r="O1276" t="inlineStr">
        <is>
          <t>1974</t>
        </is>
      </c>
      <c r="Q1276" t="inlineStr">
        <is>
          <t>eng</t>
        </is>
      </c>
      <c r="R1276" t="inlineStr">
        <is>
          <t>xxu</t>
        </is>
      </c>
      <c r="S1276" t="inlineStr">
        <is>
          <t>NLN pub. no. 20-1504S</t>
        </is>
      </c>
      <c r="T1276" t="inlineStr">
        <is>
          <t xml:space="preserve">WY </t>
        </is>
      </c>
      <c r="U1276" t="n">
        <v>2</v>
      </c>
      <c r="V1276" t="n">
        <v>2</v>
      </c>
      <c r="W1276" t="inlineStr">
        <is>
          <t>1990-05-04</t>
        </is>
      </c>
      <c r="X1276" t="inlineStr">
        <is>
          <t>1990-05-04</t>
        </is>
      </c>
      <c r="Y1276" t="inlineStr">
        <is>
          <t>1987-11-04</t>
        </is>
      </c>
      <c r="Z1276" t="inlineStr">
        <is>
          <t>1987-11-04</t>
        </is>
      </c>
      <c r="AA1276" t="n">
        <v>26</v>
      </c>
      <c r="AB1276" t="n">
        <v>25</v>
      </c>
      <c r="AC1276" t="n">
        <v>27</v>
      </c>
      <c r="AD1276" t="n">
        <v>1</v>
      </c>
      <c r="AE1276" t="n">
        <v>1</v>
      </c>
      <c r="AF1276" t="n">
        <v>1</v>
      </c>
      <c r="AG1276" t="n">
        <v>1</v>
      </c>
      <c r="AH1276" t="n">
        <v>0</v>
      </c>
      <c r="AI1276" t="n">
        <v>0</v>
      </c>
      <c r="AJ1276" t="n">
        <v>0</v>
      </c>
      <c r="AK1276" t="n">
        <v>0</v>
      </c>
      <c r="AL1276" t="n">
        <v>1</v>
      </c>
      <c r="AM1276" t="n">
        <v>1</v>
      </c>
      <c r="AN1276" t="n">
        <v>0</v>
      </c>
      <c r="AO1276" t="n">
        <v>0</v>
      </c>
      <c r="AP1276" t="n">
        <v>0</v>
      </c>
      <c r="AQ1276" t="n">
        <v>0</v>
      </c>
      <c r="AR1276" t="inlineStr">
        <is>
          <t>No</t>
        </is>
      </c>
      <c r="AS1276" t="inlineStr">
        <is>
          <t>No</t>
        </is>
      </c>
      <c r="AU1276">
        <f>HYPERLINK("https://creighton-primo.hosted.exlibrisgroup.com/primo-explore/search?tab=default_tab&amp;search_scope=EVERYTHING&amp;vid=01CRU&amp;lang=en_US&amp;offset=0&amp;query=any,contains,991001384539702656","Catalog Record")</f>
        <v/>
      </c>
      <c r="AV1276">
        <f>HYPERLINK("http://www.worldcat.org/oclc/14427253","WorldCat Record")</f>
        <v/>
      </c>
      <c r="AW1276" t="inlineStr">
        <is>
          <t>1839007:eng</t>
        </is>
      </c>
      <c r="AX1276" t="inlineStr">
        <is>
          <t>14427253</t>
        </is>
      </c>
      <c r="AY1276" t="inlineStr">
        <is>
          <t>991001384539702656</t>
        </is>
      </c>
      <c r="AZ1276" t="inlineStr">
        <is>
          <t>991001384539702656</t>
        </is>
      </c>
      <c r="BA1276" t="inlineStr">
        <is>
          <t>2267767160002656</t>
        </is>
      </c>
      <c r="BB1276" t="inlineStr">
        <is>
          <t>BOOK</t>
        </is>
      </c>
      <c r="BE1276" t="inlineStr">
        <is>
          <t>30001000463432</t>
        </is>
      </c>
      <c r="BF1276" t="inlineStr">
        <is>
          <t>893816343</t>
        </is>
      </c>
    </row>
    <row r="1277">
      <c r="A1277" t="inlineStr">
        <is>
          <t>No</t>
        </is>
      </c>
      <c r="B1277" t="inlineStr">
        <is>
          <t>CUHSL</t>
        </is>
      </c>
      <c r="C1277" t="inlineStr">
        <is>
          <t>SHELVES</t>
        </is>
      </c>
      <c r="D1277" t="inlineStr">
        <is>
          <t>WY 125 F716u 1965</t>
        </is>
      </c>
      <c r="E1277" t="inlineStr">
        <is>
          <t>0                      WY 0125000F  716u        1965</t>
        </is>
      </c>
      <c r="F1277" t="inlineStr">
        <is>
          <t>The utilization of associate degree nursing graduates in general hospitals.</t>
        </is>
      </c>
      <c r="H1277" t="inlineStr">
        <is>
          <t>No</t>
        </is>
      </c>
      <c r="I1277" t="inlineStr">
        <is>
          <t>1</t>
        </is>
      </c>
      <c r="J1277" t="inlineStr">
        <is>
          <t>No</t>
        </is>
      </c>
      <c r="K1277" t="inlineStr">
        <is>
          <t>No</t>
        </is>
      </c>
      <c r="L1277" t="inlineStr">
        <is>
          <t>0</t>
        </is>
      </c>
      <c r="M1277" t="inlineStr">
        <is>
          <t>Forest, Betty Lucille.</t>
        </is>
      </c>
      <c r="N1277" t="inlineStr">
        <is>
          <t>New York : National League for Nursing, Dept. of Associate Degree Programs, 1968 [c1965]</t>
        </is>
      </c>
      <c r="O1277" t="inlineStr">
        <is>
          <t>1968</t>
        </is>
      </c>
      <c r="Q1277" t="inlineStr">
        <is>
          <t>eng</t>
        </is>
      </c>
      <c r="R1277" t="inlineStr">
        <is>
          <t>nyu</t>
        </is>
      </c>
      <c r="S1277" t="inlineStr">
        <is>
          <t>League exchange ; no. 82</t>
        </is>
      </c>
      <c r="T1277" t="inlineStr">
        <is>
          <t xml:space="preserve">WY </t>
        </is>
      </c>
      <c r="U1277" t="n">
        <v>1</v>
      </c>
      <c r="V1277" t="n">
        <v>1</v>
      </c>
      <c r="W1277" t="inlineStr">
        <is>
          <t>1990-08-20</t>
        </is>
      </c>
      <c r="X1277" t="inlineStr">
        <is>
          <t>1990-08-20</t>
        </is>
      </c>
      <c r="Y1277" t="inlineStr">
        <is>
          <t>1987-11-05</t>
        </is>
      </c>
      <c r="Z1277" t="inlineStr">
        <is>
          <t>1987-11-05</t>
        </is>
      </c>
      <c r="AA1277" t="n">
        <v>60</v>
      </c>
      <c r="AB1277" t="n">
        <v>52</v>
      </c>
      <c r="AC1277" t="n">
        <v>66</v>
      </c>
      <c r="AD1277" t="n">
        <v>1</v>
      </c>
      <c r="AE1277" t="n">
        <v>1</v>
      </c>
      <c r="AF1277" t="n">
        <v>3</v>
      </c>
      <c r="AG1277" t="n">
        <v>3</v>
      </c>
      <c r="AH1277" t="n">
        <v>0</v>
      </c>
      <c r="AI1277" t="n">
        <v>0</v>
      </c>
      <c r="AJ1277" t="n">
        <v>0</v>
      </c>
      <c r="AK1277" t="n">
        <v>0</v>
      </c>
      <c r="AL1277" t="n">
        <v>3</v>
      </c>
      <c r="AM1277" t="n">
        <v>3</v>
      </c>
      <c r="AN1277" t="n">
        <v>0</v>
      </c>
      <c r="AO1277" t="n">
        <v>0</v>
      </c>
      <c r="AP1277" t="n">
        <v>0</v>
      </c>
      <c r="AQ1277" t="n">
        <v>0</v>
      </c>
      <c r="AR1277" t="inlineStr">
        <is>
          <t>No</t>
        </is>
      </c>
      <c r="AS1277" t="inlineStr">
        <is>
          <t>No</t>
        </is>
      </c>
      <c r="AU1277">
        <f>HYPERLINK("https://creighton-primo.hosted.exlibrisgroup.com/primo-explore/search?tab=default_tab&amp;search_scope=EVERYTHING&amp;vid=01CRU&amp;lang=en_US&amp;offset=0&amp;query=any,contains,991001387559702656","Catalog Record")</f>
        <v/>
      </c>
      <c r="AV1277">
        <f>HYPERLINK("http://www.worldcat.org/oclc/138918","WorldCat Record")</f>
        <v/>
      </c>
      <c r="AW1277" t="inlineStr">
        <is>
          <t>1296107:eng</t>
        </is>
      </c>
      <c r="AX1277" t="inlineStr">
        <is>
          <t>138918</t>
        </is>
      </c>
      <c r="AY1277" t="inlineStr">
        <is>
          <t>991001387559702656</t>
        </is>
      </c>
      <c r="AZ1277" t="inlineStr">
        <is>
          <t>991001387559702656</t>
        </is>
      </c>
      <c r="BA1277" t="inlineStr">
        <is>
          <t>2258264550002656</t>
        </is>
      </c>
      <c r="BB1277" t="inlineStr">
        <is>
          <t>BOOK</t>
        </is>
      </c>
      <c r="BE1277" t="inlineStr">
        <is>
          <t>30001000464083</t>
        </is>
      </c>
      <c r="BF1277" t="inlineStr">
        <is>
          <t>893467937</t>
        </is>
      </c>
    </row>
    <row r="1278">
      <c r="A1278" t="inlineStr">
        <is>
          <t>No</t>
        </is>
      </c>
      <c r="B1278" t="inlineStr">
        <is>
          <t>CUHSL</t>
        </is>
      </c>
      <c r="C1278" t="inlineStr">
        <is>
          <t>SHELVES</t>
        </is>
      </c>
      <c r="D1278" t="inlineStr">
        <is>
          <t>WY 125 G946 1961</t>
        </is>
      </c>
      <c r="E1278" t="inlineStr">
        <is>
          <t>0                      WY 0125000G  946         1961</t>
        </is>
      </c>
      <c r="F1278" t="inlineStr">
        <is>
          <t>Guide for leadership in team nursing / by Helen G. Beltran ... [et al.].</t>
        </is>
      </c>
      <c r="H1278" t="inlineStr">
        <is>
          <t>No</t>
        </is>
      </c>
      <c r="I1278" t="inlineStr">
        <is>
          <t>1</t>
        </is>
      </c>
      <c r="J1278" t="inlineStr">
        <is>
          <t>No</t>
        </is>
      </c>
      <c r="K1278" t="inlineStr">
        <is>
          <t>No</t>
        </is>
      </c>
      <c r="L1278" t="inlineStr">
        <is>
          <t>0</t>
        </is>
      </c>
      <c r="N1278" t="inlineStr">
        <is>
          <t>New York : National League for Nursing, 1961.</t>
        </is>
      </c>
      <c r="O1278" t="inlineStr">
        <is>
          <t>1961</t>
        </is>
      </c>
      <c r="Q1278" t="inlineStr">
        <is>
          <t>eng</t>
        </is>
      </c>
      <c r="R1278" t="inlineStr">
        <is>
          <t>nyu</t>
        </is>
      </c>
      <c r="S1278" t="inlineStr">
        <is>
          <t>League exchange ; no. 54</t>
        </is>
      </c>
      <c r="T1278" t="inlineStr">
        <is>
          <t xml:space="preserve">WY </t>
        </is>
      </c>
      <c r="U1278" t="n">
        <v>1</v>
      </c>
      <c r="V1278" t="n">
        <v>1</v>
      </c>
      <c r="W1278" t="inlineStr">
        <is>
          <t>1990-06-25</t>
        </is>
      </c>
      <c r="X1278" t="inlineStr">
        <is>
          <t>1990-06-25</t>
        </is>
      </c>
      <c r="Y1278" t="inlineStr">
        <is>
          <t>1987-11-04</t>
        </is>
      </c>
      <c r="Z1278" t="inlineStr">
        <is>
          <t>1987-11-04</t>
        </is>
      </c>
      <c r="AA1278" t="n">
        <v>17</v>
      </c>
      <c r="AB1278" t="n">
        <v>14</v>
      </c>
      <c r="AC1278" t="n">
        <v>51</v>
      </c>
      <c r="AD1278" t="n">
        <v>1</v>
      </c>
      <c r="AE1278" t="n">
        <v>1</v>
      </c>
      <c r="AF1278" t="n">
        <v>0</v>
      </c>
      <c r="AG1278" t="n">
        <v>2</v>
      </c>
      <c r="AH1278" t="n">
        <v>0</v>
      </c>
      <c r="AI1278" t="n">
        <v>0</v>
      </c>
      <c r="AJ1278" t="n">
        <v>0</v>
      </c>
      <c r="AK1278" t="n">
        <v>0</v>
      </c>
      <c r="AL1278" t="n">
        <v>0</v>
      </c>
      <c r="AM1278" t="n">
        <v>2</v>
      </c>
      <c r="AN1278" t="n">
        <v>0</v>
      </c>
      <c r="AO1278" t="n">
        <v>0</v>
      </c>
      <c r="AP1278" t="n">
        <v>0</v>
      </c>
      <c r="AQ1278" t="n">
        <v>0</v>
      </c>
      <c r="AR1278" t="inlineStr">
        <is>
          <t>No</t>
        </is>
      </c>
      <c r="AS1278" t="inlineStr">
        <is>
          <t>No</t>
        </is>
      </c>
      <c r="AT1278">
        <f>HYPERLINK("http://catalog.hathitrust.org/Record/002071706","HathiTrust Record")</f>
        <v/>
      </c>
      <c r="AU1278">
        <f>HYPERLINK("https://creighton-primo.hosted.exlibrisgroup.com/primo-explore/search?tab=default_tab&amp;search_scope=EVERYTHING&amp;vid=01CRU&amp;lang=en_US&amp;offset=0&amp;query=any,contains,991001383639702656","Catalog Record")</f>
        <v/>
      </c>
      <c r="AV1278">
        <f>HYPERLINK("http://www.worldcat.org/oclc/21486575","WorldCat Record")</f>
        <v/>
      </c>
      <c r="AW1278" t="inlineStr">
        <is>
          <t>53946354:eng</t>
        </is>
      </c>
      <c r="AX1278" t="inlineStr">
        <is>
          <t>21486575</t>
        </is>
      </c>
      <c r="AY1278" t="inlineStr">
        <is>
          <t>991001383639702656</t>
        </is>
      </c>
      <c r="AZ1278" t="inlineStr">
        <is>
          <t>991001383639702656</t>
        </is>
      </c>
      <c r="BA1278" t="inlineStr">
        <is>
          <t>2263990460002656</t>
        </is>
      </c>
      <c r="BB1278" t="inlineStr">
        <is>
          <t>BOOK</t>
        </is>
      </c>
      <c r="BE1278" t="inlineStr">
        <is>
          <t>30001000463242</t>
        </is>
      </c>
      <c r="BF1278" t="inlineStr">
        <is>
          <t>893727524</t>
        </is>
      </c>
    </row>
    <row r="1279">
      <c r="A1279" t="inlineStr">
        <is>
          <t>No</t>
        </is>
      </c>
      <c r="B1279" t="inlineStr">
        <is>
          <t>CUHSL</t>
        </is>
      </c>
      <c r="C1279" t="inlineStr">
        <is>
          <t>SHELVES</t>
        </is>
      </c>
      <c r="D1279" t="inlineStr">
        <is>
          <t>WY 125 M196 1983</t>
        </is>
      </c>
      <c r="E1279" t="inlineStr">
        <is>
          <t>0                      WY 0125000M  196         1983</t>
        </is>
      </c>
      <c r="F1279" t="inlineStr">
        <is>
          <t>Magnet hospitals : attraction and retention of professional nurses / Task Force on Nursing Practice in Hospitals, American Academy of Nursing.</t>
        </is>
      </c>
      <c r="H1279" t="inlineStr">
        <is>
          <t>No</t>
        </is>
      </c>
      <c r="I1279" t="inlineStr">
        <is>
          <t>1</t>
        </is>
      </c>
      <c r="J1279" t="inlineStr">
        <is>
          <t>No</t>
        </is>
      </c>
      <c r="K1279" t="inlineStr">
        <is>
          <t>No</t>
        </is>
      </c>
      <c r="L1279" t="inlineStr">
        <is>
          <t>0</t>
        </is>
      </c>
      <c r="O1279" t="inlineStr">
        <is>
          <t>1983</t>
        </is>
      </c>
      <c r="Q1279" t="inlineStr">
        <is>
          <t>eng</t>
        </is>
      </c>
      <c r="R1279" t="inlineStr">
        <is>
          <t>mou</t>
        </is>
      </c>
      <c r="S1279" t="inlineStr">
        <is>
          <t>ANA. G-160</t>
        </is>
      </c>
      <c r="T1279" t="inlineStr">
        <is>
          <t xml:space="preserve">WY </t>
        </is>
      </c>
      <c r="U1279" t="n">
        <v>2</v>
      </c>
      <c r="V1279" t="n">
        <v>2</v>
      </c>
      <c r="W1279" t="inlineStr">
        <is>
          <t>1991-10-16</t>
        </is>
      </c>
      <c r="X1279" t="inlineStr">
        <is>
          <t>1991-10-16</t>
        </is>
      </c>
      <c r="Y1279" t="inlineStr">
        <is>
          <t>1989-03-13</t>
        </is>
      </c>
      <c r="Z1279" t="inlineStr">
        <is>
          <t>1989-03-13</t>
        </is>
      </c>
      <c r="AA1279" t="n">
        <v>127</v>
      </c>
      <c r="AB1279" t="n">
        <v>117</v>
      </c>
      <c r="AC1279" t="n">
        <v>243</v>
      </c>
      <c r="AD1279" t="n">
        <v>1</v>
      </c>
      <c r="AE1279" t="n">
        <v>2</v>
      </c>
      <c r="AF1279" t="n">
        <v>3</v>
      </c>
      <c r="AG1279" t="n">
        <v>10</v>
      </c>
      <c r="AH1279" t="n">
        <v>0</v>
      </c>
      <c r="AI1279" t="n">
        <v>3</v>
      </c>
      <c r="AJ1279" t="n">
        <v>1</v>
      </c>
      <c r="AK1279" t="n">
        <v>1</v>
      </c>
      <c r="AL1279" t="n">
        <v>2</v>
      </c>
      <c r="AM1279" t="n">
        <v>5</v>
      </c>
      <c r="AN1279" t="n">
        <v>0</v>
      </c>
      <c r="AO1279" t="n">
        <v>1</v>
      </c>
      <c r="AP1279" t="n">
        <v>0</v>
      </c>
      <c r="AQ1279" t="n">
        <v>0</v>
      </c>
      <c r="AR1279" t="inlineStr">
        <is>
          <t>No</t>
        </is>
      </c>
      <c r="AS1279" t="inlineStr">
        <is>
          <t>Yes</t>
        </is>
      </c>
      <c r="AT1279">
        <f>HYPERLINK("http://catalog.hathitrust.org/Record/000246323","HathiTrust Record")</f>
        <v/>
      </c>
      <c r="AU1279">
        <f>HYPERLINK("https://creighton-primo.hosted.exlibrisgroup.com/primo-explore/search?tab=default_tab&amp;search_scope=EVERYTHING&amp;vid=01CRU&amp;lang=en_US&amp;offset=0&amp;query=any,contains,991001084339702656","Catalog Record")</f>
        <v/>
      </c>
      <c r="AV1279">
        <f>HYPERLINK("http://www.worldcat.org/oclc/9393045","WorldCat Record")</f>
        <v/>
      </c>
      <c r="AW1279" t="inlineStr">
        <is>
          <t>364214081:eng</t>
        </is>
      </c>
      <c r="AX1279" t="inlineStr">
        <is>
          <t>9393045</t>
        </is>
      </c>
      <c r="AY1279" t="inlineStr">
        <is>
          <t>991001084339702656</t>
        </is>
      </c>
      <c r="AZ1279" t="inlineStr">
        <is>
          <t>991001084339702656</t>
        </is>
      </c>
      <c r="BA1279" t="inlineStr">
        <is>
          <t>2266048010002656</t>
        </is>
      </c>
      <c r="BB1279" t="inlineStr">
        <is>
          <t>BOOK</t>
        </is>
      </c>
      <c r="BE1279" t="inlineStr">
        <is>
          <t>30001000258543</t>
        </is>
      </c>
      <c r="BF1279" t="inlineStr">
        <is>
          <t>893148851</t>
        </is>
      </c>
    </row>
    <row r="1280">
      <c r="A1280" t="inlineStr">
        <is>
          <t>No</t>
        </is>
      </c>
      <c r="B1280" t="inlineStr">
        <is>
          <t>CUHSL</t>
        </is>
      </c>
      <c r="C1280" t="inlineStr">
        <is>
          <t>SHELVES</t>
        </is>
      </c>
      <c r="D1280" t="inlineStr">
        <is>
          <t>WY 125 N277b 1964</t>
        </is>
      </c>
      <c r="E1280" t="inlineStr">
        <is>
          <t>0                      WY 0125000N  277b        1964</t>
        </is>
      </c>
      <c r="F1280" t="inlineStr">
        <is>
          <t>Blueprint for action in hospital nursing : proceedings of the 1964 regional conferences sponsored by the Department of Hospital Nursing, National League for Nursing, and the Regional Councils of State Leagues for Nursing.</t>
        </is>
      </c>
      <c r="H1280" t="inlineStr">
        <is>
          <t>No</t>
        </is>
      </c>
      <c r="I1280" t="inlineStr">
        <is>
          <t>1</t>
        </is>
      </c>
      <c r="J1280" t="inlineStr">
        <is>
          <t>No</t>
        </is>
      </c>
      <c r="K1280" t="inlineStr">
        <is>
          <t>No</t>
        </is>
      </c>
      <c r="L1280" t="inlineStr">
        <is>
          <t>0</t>
        </is>
      </c>
      <c r="M1280" t="inlineStr">
        <is>
          <t>National League for Nursing. Department of Hospital Nursing.</t>
        </is>
      </c>
      <c r="N1280" t="inlineStr">
        <is>
          <t>New York : National League for Nursing, c1964.</t>
        </is>
      </c>
      <c r="O1280" t="inlineStr">
        <is>
          <t>1964</t>
        </is>
      </c>
      <c r="Q1280" t="inlineStr">
        <is>
          <t>eng</t>
        </is>
      </c>
      <c r="R1280" t="inlineStr">
        <is>
          <t xml:space="preserve">xx </t>
        </is>
      </c>
      <c r="S1280" t="inlineStr">
        <is>
          <t>NLN pub. no. 20-1164</t>
        </is>
      </c>
      <c r="T1280" t="inlineStr">
        <is>
          <t xml:space="preserve">WY </t>
        </is>
      </c>
      <c r="U1280" t="n">
        <v>1</v>
      </c>
      <c r="V1280" t="n">
        <v>1</v>
      </c>
      <c r="W1280" t="inlineStr">
        <is>
          <t>1990-04-20</t>
        </is>
      </c>
      <c r="X1280" t="inlineStr">
        <is>
          <t>1990-04-20</t>
        </is>
      </c>
      <c r="Y1280" t="inlineStr">
        <is>
          <t>1987-10-13</t>
        </is>
      </c>
      <c r="Z1280" t="inlineStr">
        <is>
          <t>1987-10-13</t>
        </is>
      </c>
      <c r="AA1280" t="n">
        <v>53</v>
      </c>
      <c r="AB1280" t="n">
        <v>48</v>
      </c>
      <c r="AC1280" t="n">
        <v>50</v>
      </c>
      <c r="AD1280" t="n">
        <v>1</v>
      </c>
      <c r="AE1280" t="n">
        <v>1</v>
      </c>
      <c r="AF1280" t="n">
        <v>0</v>
      </c>
      <c r="AG1280" t="n">
        <v>0</v>
      </c>
      <c r="AH1280" t="n">
        <v>0</v>
      </c>
      <c r="AI1280" t="n">
        <v>0</v>
      </c>
      <c r="AJ1280" t="n">
        <v>0</v>
      </c>
      <c r="AK1280" t="n">
        <v>0</v>
      </c>
      <c r="AL1280" t="n">
        <v>0</v>
      </c>
      <c r="AM1280" t="n">
        <v>0</v>
      </c>
      <c r="AN1280" t="n">
        <v>0</v>
      </c>
      <c r="AO1280" t="n">
        <v>0</v>
      </c>
      <c r="AP1280" t="n">
        <v>0</v>
      </c>
      <c r="AQ1280" t="n">
        <v>0</v>
      </c>
      <c r="AR1280" t="inlineStr">
        <is>
          <t>No</t>
        </is>
      </c>
      <c r="AS1280" t="inlineStr">
        <is>
          <t>Yes</t>
        </is>
      </c>
      <c r="AT1280">
        <f>HYPERLINK("http://catalog.hathitrust.org/Record/002071247","HathiTrust Record")</f>
        <v/>
      </c>
      <c r="AU1280">
        <f>HYPERLINK("https://creighton-primo.hosted.exlibrisgroup.com/primo-explore/search?tab=default_tab&amp;search_scope=EVERYTHING&amp;vid=01CRU&amp;lang=en_US&amp;offset=0&amp;query=any,contains,991001361769702656","Catalog Record")</f>
        <v/>
      </c>
      <c r="AV1280">
        <f>HYPERLINK("http://www.worldcat.org/oclc/5144179","WorldCat Record")</f>
        <v/>
      </c>
      <c r="AW1280" t="inlineStr">
        <is>
          <t>16911458:eng</t>
        </is>
      </c>
      <c r="AX1280" t="inlineStr">
        <is>
          <t>5144179</t>
        </is>
      </c>
      <c r="AY1280" t="inlineStr">
        <is>
          <t>991001361769702656</t>
        </is>
      </c>
      <c r="AZ1280" t="inlineStr">
        <is>
          <t>991001361769702656</t>
        </is>
      </c>
      <c r="BA1280" t="inlineStr">
        <is>
          <t>2260943620002656</t>
        </is>
      </c>
      <c r="BB1280" t="inlineStr">
        <is>
          <t>BOOK</t>
        </is>
      </c>
      <c r="BE1280" t="inlineStr">
        <is>
          <t>30001000460875</t>
        </is>
      </c>
      <c r="BF1280" t="inlineStr">
        <is>
          <t>893834651</t>
        </is>
      </c>
    </row>
    <row r="1281">
      <c r="A1281" t="inlineStr">
        <is>
          <t>No</t>
        </is>
      </c>
      <c r="B1281" t="inlineStr">
        <is>
          <t>CUHSL</t>
        </is>
      </c>
      <c r="C1281" t="inlineStr">
        <is>
          <t>SHELVES</t>
        </is>
      </c>
      <c r="D1281" t="inlineStr">
        <is>
          <t>WY125 N277c 1965</t>
        </is>
      </c>
      <c r="E1281" t="inlineStr">
        <is>
          <t>0                      WY 0125000N  277c        1965</t>
        </is>
      </c>
      <c r="F1281" t="inlineStr">
        <is>
          <t>Criteria for evaluating a hospital department of nursing service / National League for Nursing, Dept. of Hospital Nursing.</t>
        </is>
      </c>
      <c r="H1281" t="inlineStr">
        <is>
          <t>No</t>
        </is>
      </c>
      <c r="I1281" t="inlineStr">
        <is>
          <t>1</t>
        </is>
      </c>
      <c r="J1281" t="inlineStr">
        <is>
          <t>No</t>
        </is>
      </c>
      <c r="K1281" t="inlineStr">
        <is>
          <t>No</t>
        </is>
      </c>
      <c r="L1281" t="inlineStr">
        <is>
          <t>0</t>
        </is>
      </c>
      <c r="N1281" t="inlineStr">
        <is>
          <t>New York : National League for Nursing, c1965.</t>
        </is>
      </c>
      <c r="O1281" t="inlineStr">
        <is>
          <t>1965</t>
        </is>
      </c>
      <c r="Q1281" t="inlineStr">
        <is>
          <t>eng</t>
        </is>
      </c>
      <c r="R1281" t="inlineStr">
        <is>
          <t>xxu</t>
        </is>
      </c>
      <c r="S1281" t="inlineStr">
        <is>
          <t>NLN pub. no. 20-1168</t>
        </is>
      </c>
      <c r="T1281" t="inlineStr">
        <is>
          <t xml:space="preserve">WY </t>
        </is>
      </c>
      <c r="U1281" t="n">
        <v>1</v>
      </c>
      <c r="V1281" t="n">
        <v>1</v>
      </c>
      <c r="W1281" t="inlineStr">
        <is>
          <t>1990-05-04</t>
        </is>
      </c>
      <c r="X1281" t="inlineStr">
        <is>
          <t>1990-05-04</t>
        </is>
      </c>
      <c r="Y1281" t="inlineStr">
        <is>
          <t>1987-11-04</t>
        </is>
      </c>
      <c r="Z1281" t="inlineStr">
        <is>
          <t>1987-11-04</t>
        </is>
      </c>
      <c r="AA1281" t="n">
        <v>37</v>
      </c>
      <c r="AB1281" t="n">
        <v>34</v>
      </c>
      <c r="AC1281" t="n">
        <v>37</v>
      </c>
      <c r="AD1281" t="n">
        <v>1</v>
      </c>
      <c r="AE1281" t="n">
        <v>1</v>
      </c>
      <c r="AF1281" t="n">
        <v>1</v>
      </c>
      <c r="AG1281" t="n">
        <v>1</v>
      </c>
      <c r="AH1281" t="n">
        <v>0</v>
      </c>
      <c r="AI1281" t="n">
        <v>0</v>
      </c>
      <c r="AJ1281" t="n">
        <v>0</v>
      </c>
      <c r="AK1281" t="n">
        <v>0</v>
      </c>
      <c r="AL1281" t="n">
        <v>1</v>
      </c>
      <c r="AM1281" t="n">
        <v>1</v>
      </c>
      <c r="AN1281" t="n">
        <v>0</v>
      </c>
      <c r="AO1281" t="n">
        <v>0</v>
      </c>
      <c r="AP1281" t="n">
        <v>0</v>
      </c>
      <c r="AQ1281" t="n">
        <v>0</v>
      </c>
      <c r="AR1281" t="inlineStr">
        <is>
          <t>No</t>
        </is>
      </c>
      <c r="AS1281" t="inlineStr">
        <is>
          <t>Yes</t>
        </is>
      </c>
      <c r="AT1281">
        <f>HYPERLINK("http://catalog.hathitrust.org/Record/006755186","HathiTrust Record")</f>
        <v/>
      </c>
      <c r="AU1281">
        <f>HYPERLINK("https://creighton-primo.hosted.exlibrisgroup.com/primo-explore/search?tab=default_tab&amp;search_scope=EVERYTHING&amp;vid=01CRU&amp;lang=en_US&amp;offset=0&amp;query=any,contains,991001383839702656","Catalog Record")</f>
        <v/>
      </c>
      <c r="AV1281">
        <f>HYPERLINK("http://www.worldcat.org/oclc/6706904","WorldCat Record")</f>
        <v/>
      </c>
      <c r="AW1281" t="inlineStr">
        <is>
          <t>23647564:eng</t>
        </is>
      </c>
      <c r="AX1281" t="inlineStr">
        <is>
          <t>6706904</t>
        </is>
      </c>
      <c r="AY1281" t="inlineStr">
        <is>
          <t>991001383839702656</t>
        </is>
      </c>
      <c r="AZ1281" t="inlineStr">
        <is>
          <t>991001383839702656</t>
        </is>
      </c>
      <c r="BA1281" t="inlineStr">
        <is>
          <t>2257226330002656</t>
        </is>
      </c>
      <c r="BB1281" t="inlineStr">
        <is>
          <t>BOOK</t>
        </is>
      </c>
      <c r="BE1281" t="inlineStr">
        <is>
          <t>30001000463291</t>
        </is>
      </c>
      <c r="BF1281" t="inlineStr">
        <is>
          <t>893633007</t>
        </is>
      </c>
    </row>
    <row r="1282">
      <c r="A1282" t="inlineStr">
        <is>
          <t>No</t>
        </is>
      </c>
      <c r="B1282" t="inlineStr">
        <is>
          <t>CUHSL</t>
        </is>
      </c>
      <c r="C1282" t="inlineStr">
        <is>
          <t>SHELVES</t>
        </is>
      </c>
      <c r="D1282" t="inlineStr">
        <is>
          <t>WY 125 N974 1964</t>
        </is>
      </c>
      <c r="E1282" t="inlineStr">
        <is>
          <t>0                      WY 0125000N  974         1964</t>
        </is>
      </c>
      <c r="F1282" t="inlineStr">
        <is>
          <t>The Nurse consultant and hospital nursing service : papers presented at the conference held in Chicago, Illinois, May 18-21, 1964.</t>
        </is>
      </c>
      <c r="H1282" t="inlineStr">
        <is>
          <t>No</t>
        </is>
      </c>
      <c r="I1282" t="inlineStr">
        <is>
          <t>1</t>
        </is>
      </c>
      <c r="J1282" t="inlineStr">
        <is>
          <t>No</t>
        </is>
      </c>
      <c r="K1282" t="inlineStr">
        <is>
          <t>No</t>
        </is>
      </c>
      <c r="L1282" t="inlineStr">
        <is>
          <t>0</t>
        </is>
      </c>
      <c r="N1282" t="inlineStr">
        <is>
          <t>New York : National League for Nursing, 1965.</t>
        </is>
      </c>
      <c r="O1282" t="inlineStr">
        <is>
          <t>1964</t>
        </is>
      </c>
      <c r="Q1282" t="inlineStr">
        <is>
          <t>eng</t>
        </is>
      </c>
      <c r="R1282" t="inlineStr">
        <is>
          <t xml:space="preserve">jo </t>
        </is>
      </c>
      <c r="S1282" t="inlineStr">
        <is>
          <t>NLN pub. no. 20-1184</t>
        </is>
      </c>
      <c r="T1282" t="inlineStr">
        <is>
          <t xml:space="preserve">WY </t>
        </is>
      </c>
      <c r="U1282" t="n">
        <v>1</v>
      </c>
      <c r="V1282" t="n">
        <v>1</v>
      </c>
      <c r="W1282" t="inlineStr">
        <is>
          <t>1990-05-04</t>
        </is>
      </c>
      <c r="X1282" t="inlineStr">
        <is>
          <t>1990-05-04</t>
        </is>
      </c>
      <c r="Y1282" t="inlineStr">
        <is>
          <t>1987-11-04</t>
        </is>
      </c>
      <c r="Z1282" t="inlineStr">
        <is>
          <t>1987-11-04</t>
        </is>
      </c>
      <c r="AA1282" t="n">
        <v>21</v>
      </c>
      <c r="AB1282" t="n">
        <v>19</v>
      </c>
      <c r="AC1282" t="n">
        <v>22</v>
      </c>
      <c r="AD1282" t="n">
        <v>1</v>
      </c>
      <c r="AE1282" t="n">
        <v>1</v>
      </c>
      <c r="AF1282" t="n">
        <v>1</v>
      </c>
      <c r="AG1282" t="n">
        <v>1</v>
      </c>
      <c r="AH1282" t="n">
        <v>0</v>
      </c>
      <c r="AI1282" t="n">
        <v>0</v>
      </c>
      <c r="AJ1282" t="n">
        <v>0</v>
      </c>
      <c r="AK1282" t="n">
        <v>0</v>
      </c>
      <c r="AL1282" t="n">
        <v>1</v>
      </c>
      <c r="AM1282" t="n">
        <v>1</v>
      </c>
      <c r="AN1282" t="n">
        <v>0</v>
      </c>
      <c r="AO1282" t="n">
        <v>0</v>
      </c>
      <c r="AP1282" t="n">
        <v>0</v>
      </c>
      <c r="AQ1282" t="n">
        <v>0</v>
      </c>
      <c r="AR1282" t="inlineStr">
        <is>
          <t>No</t>
        </is>
      </c>
      <c r="AS1282" t="inlineStr">
        <is>
          <t>Yes</t>
        </is>
      </c>
      <c r="AT1282">
        <f>HYPERLINK("http://catalog.hathitrust.org/Record/002071644","HathiTrust Record")</f>
        <v/>
      </c>
      <c r="AU1282">
        <f>HYPERLINK("https://creighton-primo.hosted.exlibrisgroup.com/primo-explore/search?tab=default_tab&amp;search_scope=EVERYTHING&amp;vid=01CRU&amp;lang=en_US&amp;offset=0&amp;query=any,contains,991001383969702656","Catalog Record")</f>
        <v/>
      </c>
      <c r="AV1282">
        <f>HYPERLINK("http://www.worldcat.org/oclc/7494322","WorldCat Record")</f>
        <v/>
      </c>
      <c r="AW1282" t="inlineStr">
        <is>
          <t>42765267:eng</t>
        </is>
      </c>
      <c r="AX1282" t="inlineStr">
        <is>
          <t>7494322</t>
        </is>
      </c>
      <c r="AY1282" t="inlineStr">
        <is>
          <t>991001383969702656</t>
        </is>
      </c>
      <c r="AZ1282" t="inlineStr">
        <is>
          <t>991001383969702656</t>
        </is>
      </c>
      <c r="BA1282" t="inlineStr">
        <is>
          <t>2271265850002656</t>
        </is>
      </c>
      <c r="BB1282" t="inlineStr">
        <is>
          <t>BOOK</t>
        </is>
      </c>
      <c r="BE1282" t="inlineStr">
        <is>
          <t>30001000463309</t>
        </is>
      </c>
      <c r="BF1282" t="inlineStr">
        <is>
          <t>893465445</t>
        </is>
      </c>
    </row>
    <row r="1283">
      <c r="A1283" t="inlineStr">
        <is>
          <t>No</t>
        </is>
      </c>
      <c r="B1283" t="inlineStr">
        <is>
          <t>CUHSL</t>
        </is>
      </c>
      <c r="C1283" t="inlineStr">
        <is>
          <t>SHELVES</t>
        </is>
      </c>
      <c r="D1283" t="inlineStr">
        <is>
          <t>WY 125 O89t 1963</t>
        </is>
      </c>
      <c r="E1283" t="inlineStr">
        <is>
          <t>0                      WY 0125000O  89t         1963</t>
        </is>
      </c>
      <c r="F1283" t="inlineStr">
        <is>
          <t>To make a good assignment / by Laura Jean Ott.</t>
        </is>
      </c>
      <c r="H1283" t="inlineStr">
        <is>
          <t>No</t>
        </is>
      </c>
      <c r="I1283" t="inlineStr">
        <is>
          <t>1</t>
        </is>
      </c>
      <c r="J1283" t="inlineStr">
        <is>
          <t>No</t>
        </is>
      </c>
      <c r="K1283" t="inlineStr">
        <is>
          <t>No</t>
        </is>
      </c>
      <c r="L1283" t="inlineStr">
        <is>
          <t>0</t>
        </is>
      </c>
      <c r="M1283" t="inlineStr">
        <is>
          <t>Ott, Laura Jean.</t>
        </is>
      </c>
      <c r="N1283" t="inlineStr">
        <is>
          <t>New York : National League for Nursing, 1963.</t>
        </is>
      </c>
      <c r="O1283" t="inlineStr">
        <is>
          <t>1963</t>
        </is>
      </c>
      <c r="Q1283" t="inlineStr">
        <is>
          <t>eng</t>
        </is>
      </c>
      <c r="R1283" t="inlineStr">
        <is>
          <t>nyu</t>
        </is>
      </c>
      <c r="S1283" t="inlineStr">
        <is>
          <t>League exchange ; no. [63]</t>
        </is>
      </c>
      <c r="T1283" t="inlineStr">
        <is>
          <t xml:space="preserve">WY </t>
        </is>
      </c>
      <c r="U1283" t="n">
        <v>1</v>
      </c>
      <c r="V1283" t="n">
        <v>1</v>
      </c>
      <c r="W1283" t="inlineStr">
        <is>
          <t>1990-06-25</t>
        </is>
      </c>
      <c r="X1283" t="inlineStr">
        <is>
          <t>1990-06-25</t>
        </is>
      </c>
      <c r="Y1283" t="inlineStr">
        <is>
          <t>1987-11-04</t>
        </is>
      </c>
      <c r="Z1283" t="inlineStr">
        <is>
          <t>1987-11-04</t>
        </is>
      </c>
      <c r="AA1283" t="n">
        <v>34</v>
      </c>
      <c r="AB1283" t="n">
        <v>28</v>
      </c>
      <c r="AC1283" t="n">
        <v>28</v>
      </c>
      <c r="AD1283" t="n">
        <v>1</v>
      </c>
      <c r="AE1283" t="n">
        <v>1</v>
      </c>
      <c r="AF1283" t="n">
        <v>1</v>
      </c>
      <c r="AG1283" t="n">
        <v>1</v>
      </c>
      <c r="AH1283" t="n">
        <v>0</v>
      </c>
      <c r="AI1283" t="n">
        <v>0</v>
      </c>
      <c r="AJ1283" t="n">
        <v>0</v>
      </c>
      <c r="AK1283" t="n">
        <v>0</v>
      </c>
      <c r="AL1283" t="n">
        <v>1</v>
      </c>
      <c r="AM1283" t="n">
        <v>1</v>
      </c>
      <c r="AN1283" t="n">
        <v>0</v>
      </c>
      <c r="AO1283" t="n">
        <v>0</v>
      </c>
      <c r="AP1283" t="n">
        <v>0</v>
      </c>
      <c r="AQ1283" t="n">
        <v>0</v>
      </c>
      <c r="AR1283" t="inlineStr">
        <is>
          <t>No</t>
        </is>
      </c>
      <c r="AS1283" t="inlineStr">
        <is>
          <t>No</t>
        </is>
      </c>
      <c r="AU1283">
        <f>HYPERLINK("https://creighton-primo.hosted.exlibrisgroup.com/primo-explore/search?tab=default_tab&amp;search_scope=EVERYTHING&amp;vid=01CRU&amp;lang=en_US&amp;offset=0&amp;query=any,contains,991001383799702656","Catalog Record")</f>
        <v/>
      </c>
      <c r="AV1283">
        <f>HYPERLINK("http://www.worldcat.org/oclc/3937961","WorldCat Record")</f>
        <v/>
      </c>
      <c r="AW1283" t="inlineStr">
        <is>
          <t>1780537220:eng</t>
        </is>
      </c>
      <c r="AX1283" t="inlineStr">
        <is>
          <t>3937961</t>
        </is>
      </c>
      <c r="AY1283" t="inlineStr">
        <is>
          <t>991001383799702656</t>
        </is>
      </c>
      <c r="AZ1283" t="inlineStr">
        <is>
          <t>991001383799702656</t>
        </is>
      </c>
      <c r="BA1283" t="inlineStr">
        <is>
          <t>2264916570002656</t>
        </is>
      </c>
      <c r="BB1283" t="inlineStr">
        <is>
          <t>BOOK</t>
        </is>
      </c>
      <c r="BE1283" t="inlineStr">
        <is>
          <t>30001000463275</t>
        </is>
      </c>
      <c r="BF1283" t="inlineStr">
        <is>
          <t>893161926</t>
        </is>
      </c>
    </row>
    <row r="1284">
      <c r="A1284" t="inlineStr">
        <is>
          <t>No</t>
        </is>
      </c>
      <c r="B1284" t="inlineStr">
        <is>
          <t>CUHSL</t>
        </is>
      </c>
      <c r="C1284" t="inlineStr">
        <is>
          <t>SHELVES</t>
        </is>
      </c>
      <c r="D1284" t="inlineStr">
        <is>
          <t>WY 125 Q15 1985</t>
        </is>
      </c>
      <c r="E1284" t="inlineStr">
        <is>
          <t>0                      WY 0125000Q  15          1985</t>
        </is>
      </c>
      <c r="F1284" t="inlineStr">
        <is>
          <t>Quality assurance : a complete guide to effective programs / edited by Claire Gavin Meisenheimer.</t>
        </is>
      </c>
      <c r="H1284" t="inlineStr">
        <is>
          <t>No</t>
        </is>
      </c>
      <c r="I1284" t="inlineStr">
        <is>
          <t>1</t>
        </is>
      </c>
      <c r="J1284" t="inlineStr">
        <is>
          <t>Yes</t>
        </is>
      </c>
      <c r="K1284" t="inlineStr">
        <is>
          <t>No</t>
        </is>
      </c>
      <c r="L1284" t="inlineStr">
        <is>
          <t>0</t>
        </is>
      </c>
      <c r="N1284" t="inlineStr">
        <is>
          <t>Rockville, Md. : Aspen Systems Corp., c1985.</t>
        </is>
      </c>
      <c r="O1284" t="inlineStr">
        <is>
          <t>1985</t>
        </is>
      </c>
      <c r="Q1284" t="inlineStr">
        <is>
          <t>eng</t>
        </is>
      </c>
      <c r="R1284" t="inlineStr">
        <is>
          <t>xxu</t>
        </is>
      </c>
      <c r="T1284" t="inlineStr">
        <is>
          <t xml:space="preserve">WY </t>
        </is>
      </c>
      <c r="U1284" t="n">
        <v>6</v>
      </c>
      <c r="V1284" t="n">
        <v>6</v>
      </c>
      <c r="W1284" t="inlineStr">
        <is>
          <t>2001-12-02</t>
        </is>
      </c>
      <c r="X1284" t="inlineStr">
        <is>
          <t>2001-12-02</t>
        </is>
      </c>
      <c r="Y1284" t="inlineStr">
        <is>
          <t>1991-10-25</t>
        </is>
      </c>
      <c r="Z1284" t="inlineStr">
        <is>
          <t>1991-10-25</t>
        </is>
      </c>
      <c r="AA1284" t="n">
        <v>304</v>
      </c>
      <c r="AB1284" t="n">
        <v>279</v>
      </c>
      <c r="AC1284" t="n">
        <v>286</v>
      </c>
      <c r="AD1284" t="n">
        <v>4</v>
      </c>
      <c r="AE1284" t="n">
        <v>4</v>
      </c>
      <c r="AF1284" t="n">
        <v>13</v>
      </c>
      <c r="AG1284" t="n">
        <v>13</v>
      </c>
      <c r="AH1284" t="n">
        <v>2</v>
      </c>
      <c r="AI1284" t="n">
        <v>2</v>
      </c>
      <c r="AJ1284" t="n">
        <v>3</v>
      </c>
      <c r="AK1284" t="n">
        <v>3</v>
      </c>
      <c r="AL1284" t="n">
        <v>6</v>
      </c>
      <c r="AM1284" t="n">
        <v>6</v>
      </c>
      <c r="AN1284" t="n">
        <v>2</v>
      </c>
      <c r="AO1284" t="n">
        <v>2</v>
      </c>
      <c r="AP1284" t="n">
        <v>1</v>
      </c>
      <c r="AQ1284" t="n">
        <v>1</v>
      </c>
      <c r="AR1284" t="inlineStr">
        <is>
          <t>No</t>
        </is>
      </c>
      <c r="AS1284" t="inlineStr">
        <is>
          <t>Yes</t>
        </is>
      </c>
      <c r="AT1284">
        <f>HYPERLINK("http://catalog.hathitrust.org/Record/000571090","HathiTrust Record")</f>
        <v/>
      </c>
      <c r="AU1284">
        <f>HYPERLINK("https://creighton-primo.hosted.exlibrisgroup.com/primo-explore/search?tab=default_tab&amp;search_scope=EVERYTHING&amp;vid=01CRU&amp;lang=en_US&amp;offset=0&amp;query=any,contains,991001019849702656","Catalog Record")</f>
        <v/>
      </c>
      <c r="AV1284">
        <f>HYPERLINK("http://www.worldcat.org/oclc/11786179","WorldCat Record")</f>
        <v/>
      </c>
      <c r="AW1284" t="inlineStr">
        <is>
          <t>4645212:eng</t>
        </is>
      </c>
      <c r="AX1284" t="inlineStr">
        <is>
          <t>11786179</t>
        </is>
      </c>
      <c r="AY1284" t="inlineStr">
        <is>
          <t>991001019849702656</t>
        </is>
      </c>
      <c r="AZ1284" t="inlineStr">
        <is>
          <t>991001019849702656</t>
        </is>
      </c>
      <c r="BA1284" t="inlineStr">
        <is>
          <t>2261795930002656</t>
        </is>
      </c>
      <c r="BB1284" t="inlineStr">
        <is>
          <t>BOOK</t>
        </is>
      </c>
      <c r="BD1284" t="inlineStr">
        <is>
          <t>9780871890962</t>
        </is>
      </c>
      <c r="BE1284" t="inlineStr">
        <is>
          <t>30001002241406</t>
        </is>
      </c>
      <c r="BF1284" t="inlineStr">
        <is>
          <t>893377055</t>
        </is>
      </c>
    </row>
    <row r="1285">
      <c r="A1285" t="inlineStr">
        <is>
          <t>No</t>
        </is>
      </c>
      <c r="B1285" t="inlineStr">
        <is>
          <t>CUHSL</t>
        </is>
      </c>
      <c r="C1285" t="inlineStr">
        <is>
          <t>SHELVES</t>
        </is>
      </c>
      <c r="D1285" t="inlineStr">
        <is>
          <t>WY 125 S465 1962</t>
        </is>
      </c>
      <c r="E1285" t="inlineStr">
        <is>
          <t>0                      WY 0125000S  465         1962</t>
        </is>
      </c>
      <c r="F1285" t="inlineStr">
        <is>
          <t>Self-evaluation guide for hospital nursing service, medication safety / Department of Hospital Nursing, National League for Nursing.</t>
        </is>
      </c>
      <c r="H1285" t="inlineStr">
        <is>
          <t>No</t>
        </is>
      </c>
      <c r="I1285" t="inlineStr">
        <is>
          <t>1</t>
        </is>
      </c>
      <c r="J1285" t="inlineStr">
        <is>
          <t>No</t>
        </is>
      </c>
      <c r="K1285" t="inlineStr">
        <is>
          <t>No</t>
        </is>
      </c>
      <c r="L1285" t="inlineStr">
        <is>
          <t>0</t>
        </is>
      </c>
      <c r="N1285" t="inlineStr">
        <is>
          <t>New York : National League for Nursing, 1962.</t>
        </is>
      </c>
      <c r="O1285" t="inlineStr">
        <is>
          <t>1962</t>
        </is>
      </c>
      <c r="Q1285" t="inlineStr">
        <is>
          <t>eng</t>
        </is>
      </c>
      <c r="R1285" t="inlineStr">
        <is>
          <t>nyu</t>
        </is>
      </c>
      <c r="S1285" t="inlineStr">
        <is>
          <t>NLN pub. no. 20-1017</t>
        </is>
      </c>
      <c r="T1285" t="inlineStr">
        <is>
          <t xml:space="preserve">WY </t>
        </is>
      </c>
      <c r="U1285" t="n">
        <v>1</v>
      </c>
      <c r="V1285" t="n">
        <v>1</v>
      </c>
      <c r="W1285" t="inlineStr">
        <is>
          <t>1990-06-25</t>
        </is>
      </c>
      <c r="X1285" t="inlineStr">
        <is>
          <t>1990-06-25</t>
        </is>
      </c>
      <c r="Y1285" t="inlineStr">
        <is>
          <t>1987-11-04</t>
        </is>
      </c>
      <c r="Z1285" t="inlineStr">
        <is>
          <t>1987-11-04</t>
        </is>
      </c>
      <c r="AA1285" t="n">
        <v>40</v>
      </c>
      <c r="AB1285" t="n">
        <v>34</v>
      </c>
      <c r="AC1285" t="n">
        <v>34</v>
      </c>
      <c r="AD1285" t="n">
        <v>1</v>
      </c>
      <c r="AE1285" t="n">
        <v>1</v>
      </c>
      <c r="AF1285" t="n">
        <v>3</v>
      </c>
      <c r="AG1285" t="n">
        <v>3</v>
      </c>
      <c r="AH1285" t="n">
        <v>0</v>
      </c>
      <c r="AI1285" t="n">
        <v>0</v>
      </c>
      <c r="AJ1285" t="n">
        <v>1</v>
      </c>
      <c r="AK1285" t="n">
        <v>1</v>
      </c>
      <c r="AL1285" t="n">
        <v>3</v>
      </c>
      <c r="AM1285" t="n">
        <v>3</v>
      </c>
      <c r="AN1285" t="n">
        <v>0</v>
      </c>
      <c r="AO1285" t="n">
        <v>0</v>
      </c>
      <c r="AP1285" t="n">
        <v>0</v>
      </c>
      <c r="AQ1285" t="n">
        <v>0</v>
      </c>
      <c r="AR1285" t="inlineStr">
        <is>
          <t>No</t>
        </is>
      </c>
      <c r="AS1285" t="inlineStr">
        <is>
          <t>No</t>
        </is>
      </c>
      <c r="AU1285">
        <f>HYPERLINK("https://creighton-primo.hosted.exlibrisgroup.com/primo-explore/search?tab=default_tab&amp;search_scope=EVERYTHING&amp;vid=01CRU&amp;lang=en_US&amp;offset=0&amp;query=any,contains,991001383669702656","Catalog Record")</f>
        <v/>
      </c>
      <c r="AV1285">
        <f>HYPERLINK("http://www.worldcat.org/oclc/2304047","WorldCat Record")</f>
        <v/>
      </c>
      <c r="AW1285" t="inlineStr">
        <is>
          <t>4163190407:eng</t>
        </is>
      </c>
      <c r="AX1285" t="inlineStr">
        <is>
          <t>2304047</t>
        </is>
      </c>
      <c r="AY1285" t="inlineStr">
        <is>
          <t>991001383669702656</t>
        </is>
      </c>
      <c r="AZ1285" t="inlineStr">
        <is>
          <t>991001383669702656</t>
        </is>
      </c>
      <c r="BA1285" t="inlineStr">
        <is>
          <t>2262688880002656</t>
        </is>
      </c>
      <c r="BB1285" t="inlineStr">
        <is>
          <t>BOOK</t>
        </is>
      </c>
      <c r="BE1285" t="inlineStr">
        <is>
          <t>30001000463267</t>
        </is>
      </c>
      <c r="BF1285" t="inlineStr">
        <is>
          <t>893369340</t>
        </is>
      </c>
    </row>
    <row r="1286">
      <c r="A1286" t="inlineStr">
        <is>
          <t>No</t>
        </is>
      </c>
      <c r="B1286" t="inlineStr">
        <is>
          <t>CUHSL</t>
        </is>
      </c>
      <c r="C1286" t="inlineStr">
        <is>
          <t>SHELVES</t>
        </is>
      </c>
      <c r="D1286" t="inlineStr">
        <is>
          <t>WY 125 W629 1974</t>
        </is>
      </c>
      <c r="E1286" t="inlineStr">
        <is>
          <t>0                      WY 0125000W  629         1974</t>
        </is>
      </c>
      <c r="F1286" t="inlineStr">
        <is>
          <t>Who is taking care of the patient? : papers presented at the eighth annual meeting of the Council of Hospital and Related Institutional Nursing Services held October 3-4, 1974 at Philadelphia, Pa.</t>
        </is>
      </c>
      <c r="H1286" t="inlineStr">
        <is>
          <t>No</t>
        </is>
      </c>
      <c r="I1286" t="inlineStr">
        <is>
          <t>1</t>
        </is>
      </c>
      <c r="J1286" t="inlineStr">
        <is>
          <t>No</t>
        </is>
      </c>
      <c r="K1286" t="inlineStr">
        <is>
          <t>No</t>
        </is>
      </c>
      <c r="L1286" t="inlineStr">
        <is>
          <t>0</t>
        </is>
      </c>
      <c r="N1286" t="inlineStr">
        <is>
          <t>New York : National League for Nursing, c1975.</t>
        </is>
      </c>
      <c r="O1286" t="inlineStr">
        <is>
          <t>1975</t>
        </is>
      </c>
      <c r="Q1286" t="inlineStr">
        <is>
          <t>eng</t>
        </is>
      </c>
      <c r="R1286" t="inlineStr">
        <is>
          <t>xxu</t>
        </is>
      </c>
      <c r="S1286" t="inlineStr">
        <is>
          <t>NLN pub. no. 20-1557</t>
        </is>
      </c>
      <c r="T1286" t="inlineStr">
        <is>
          <t xml:space="preserve">WY </t>
        </is>
      </c>
      <c r="U1286" t="n">
        <v>1</v>
      </c>
      <c r="V1286" t="n">
        <v>1</v>
      </c>
      <c r="W1286" t="inlineStr">
        <is>
          <t>1990-06-12</t>
        </is>
      </c>
      <c r="X1286" t="inlineStr">
        <is>
          <t>1990-06-12</t>
        </is>
      </c>
      <c r="Y1286" t="inlineStr">
        <is>
          <t>1987-11-04</t>
        </is>
      </c>
      <c r="Z1286" t="inlineStr">
        <is>
          <t>1987-11-04</t>
        </is>
      </c>
      <c r="AA1286" t="n">
        <v>83</v>
      </c>
      <c r="AB1286" t="n">
        <v>74</v>
      </c>
      <c r="AC1286" t="n">
        <v>78</v>
      </c>
      <c r="AD1286" t="n">
        <v>3</v>
      </c>
      <c r="AE1286" t="n">
        <v>3</v>
      </c>
      <c r="AF1286" t="n">
        <v>2</v>
      </c>
      <c r="AG1286" t="n">
        <v>2</v>
      </c>
      <c r="AH1286" t="n">
        <v>0</v>
      </c>
      <c r="AI1286" t="n">
        <v>0</v>
      </c>
      <c r="AJ1286" t="n">
        <v>0</v>
      </c>
      <c r="AK1286" t="n">
        <v>0</v>
      </c>
      <c r="AL1286" t="n">
        <v>1</v>
      </c>
      <c r="AM1286" t="n">
        <v>1</v>
      </c>
      <c r="AN1286" t="n">
        <v>1</v>
      </c>
      <c r="AO1286" t="n">
        <v>1</v>
      </c>
      <c r="AP1286" t="n">
        <v>0</v>
      </c>
      <c r="AQ1286" t="n">
        <v>0</v>
      </c>
      <c r="AR1286" t="inlineStr">
        <is>
          <t>No</t>
        </is>
      </c>
      <c r="AS1286" t="inlineStr">
        <is>
          <t>Yes</t>
        </is>
      </c>
      <c r="AT1286">
        <f>HYPERLINK("http://catalog.hathitrust.org/Record/000017887","HathiTrust Record")</f>
        <v/>
      </c>
      <c r="AU1286">
        <f>HYPERLINK("https://creighton-primo.hosted.exlibrisgroup.com/primo-explore/search?tab=default_tab&amp;search_scope=EVERYTHING&amp;vid=01CRU&amp;lang=en_US&amp;offset=0&amp;query=any,contains,991001384569702656","Catalog Record")</f>
        <v/>
      </c>
      <c r="AV1286">
        <f>HYPERLINK("http://www.worldcat.org/oclc/1365360","WorldCat Record")</f>
        <v/>
      </c>
      <c r="AW1286" t="inlineStr">
        <is>
          <t>315328294:eng</t>
        </is>
      </c>
      <c r="AX1286" t="inlineStr">
        <is>
          <t>1365360</t>
        </is>
      </c>
      <c r="AY1286" t="inlineStr">
        <is>
          <t>991001384569702656</t>
        </is>
      </c>
      <c r="AZ1286" t="inlineStr">
        <is>
          <t>991001384569702656</t>
        </is>
      </c>
      <c r="BA1286" t="inlineStr">
        <is>
          <t>2268735960002656</t>
        </is>
      </c>
      <c r="BB1286" t="inlineStr">
        <is>
          <t>BOOK</t>
        </is>
      </c>
      <c r="BE1286" t="inlineStr">
        <is>
          <t>30001000463457</t>
        </is>
      </c>
      <c r="BF1286" t="inlineStr">
        <is>
          <t>893557921</t>
        </is>
      </c>
    </row>
    <row r="1287">
      <c r="A1287" t="inlineStr">
        <is>
          <t>No</t>
        </is>
      </c>
      <c r="B1287" t="inlineStr">
        <is>
          <t>CUHSL</t>
        </is>
      </c>
      <c r="C1287" t="inlineStr">
        <is>
          <t>SHELVES</t>
        </is>
      </c>
      <c r="D1287" t="inlineStr">
        <is>
          <t>WY 127 A975n 1988</t>
        </is>
      </c>
      <c r="E1287" t="inlineStr">
        <is>
          <t>0                      WY 0127000A  975n        1988</t>
        </is>
      </c>
      <c r="F1287" t="inlineStr">
        <is>
          <t>Nurses in private practice : characteristics, organizational arrangements, and reimbursement policy / Myrtle K. Aydelotte, Mary A. Hardy, Kathryn L. Hope.</t>
        </is>
      </c>
      <c r="H1287" t="inlineStr">
        <is>
          <t>No</t>
        </is>
      </c>
      <c r="I1287" t="inlineStr">
        <is>
          <t>1</t>
        </is>
      </c>
      <c r="J1287" t="inlineStr">
        <is>
          <t>No</t>
        </is>
      </c>
      <c r="K1287" t="inlineStr">
        <is>
          <t>No</t>
        </is>
      </c>
      <c r="L1287" t="inlineStr">
        <is>
          <t>0</t>
        </is>
      </c>
      <c r="M1287" t="inlineStr">
        <is>
          <t>Aydelotte, Myrtle K. (Myrtle Kitchell)</t>
        </is>
      </c>
      <c r="N1287" t="inlineStr">
        <is>
          <t>Kansas City, Mo. : American Nurses' Foundation, Inc., c1988.</t>
        </is>
      </c>
      <c r="O1287" t="inlineStr">
        <is>
          <t>1988</t>
        </is>
      </c>
      <c r="Q1287" t="inlineStr">
        <is>
          <t>eng</t>
        </is>
      </c>
      <c r="R1287" t="inlineStr">
        <is>
          <t>mou</t>
        </is>
      </c>
      <c r="T1287" t="inlineStr">
        <is>
          <t xml:space="preserve">WY </t>
        </is>
      </c>
      <c r="U1287" t="n">
        <v>5</v>
      </c>
      <c r="V1287" t="n">
        <v>5</v>
      </c>
      <c r="W1287" t="inlineStr">
        <is>
          <t>2005-04-03</t>
        </is>
      </c>
      <c r="X1287" t="inlineStr">
        <is>
          <t>2005-04-03</t>
        </is>
      </c>
      <c r="Y1287" t="inlineStr">
        <is>
          <t>1988-09-17</t>
        </is>
      </c>
      <c r="Z1287" t="inlineStr">
        <is>
          <t>1988-09-17</t>
        </is>
      </c>
      <c r="AA1287" t="n">
        <v>107</v>
      </c>
      <c r="AB1287" t="n">
        <v>103</v>
      </c>
      <c r="AC1287" t="n">
        <v>114</v>
      </c>
      <c r="AD1287" t="n">
        <v>2</v>
      </c>
      <c r="AE1287" t="n">
        <v>2</v>
      </c>
      <c r="AF1287" t="n">
        <v>3</v>
      </c>
      <c r="AG1287" t="n">
        <v>3</v>
      </c>
      <c r="AH1287" t="n">
        <v>1</v>
      </c>
      <c r="AI1287" t="n">
        <v>1</v>
      </c>
      <c r="AJ1287" t="n">
        <v>0</v>
      </c>
      <c r="AK1287" t="n">
        <v>0</v>
      </c>
      <c r="AL1287" t="n">
        <v>2</v>
      </c>
      <c r="AM1287" t="n">
        <v>2</v>
      </c>
      <c r="AN1287" t="n">
        <v>0</v>
      </c>
      <c r="AO1287" t="n">
        <v>0</v>
      </c>
      <c r="AP1287" t="n">
        <v>0</v>
      </c>
      <c r="AQ1287" t="n">
        <v>0</v>
      </c>
      <c r="AR1287" t="inlineStr">
        <is>
          <t>No</t>
        </is>
      </c>
      <c r="AS1287" t="inlineStr">
        <is>
          <t>Yes</t>
        </is>
      </c>
      <c r="AT1287">
        <f>HYPERLINK("http://catalog.hathitrust.org/Record/000950661","HathiTrust Record")</f>
        <v/>
      </c>
      <c r="AU1287">
        <f>HYPERLINK("https://creighton-primo.hosted.exlibrisgroup.com/primo-explore/search?tab=default_tab&amp;search_scope=EVERYTHING&amp;vid=01CRU&amp;lang=en_US&amp;offset=0&amp;query=any,contains,991001423599702656","Catalog Record")</f>
        <v/>
      </c>
      <c r="AV1287">
        <f>HYPERLINK("http://www.worldcat.org/oclc/18343461","WorldCat Record")</f>
        <v/>
      </c>
      <c r="AW1287" t="inlineStr">
        <is>
          <t>444771924:eng</t>
        </is>
      </c>
      <c r="AX1287" t="inlineStr">
        <is>
          <t>18343461</t>
        </is>
      </c>
      <c r="AY1287" t="inlineStr">
        <is>
          <t>991001423599702656</t>
        </is>
      </c>
      <c r="AZ1287" t="inlineStr">
        <is>
          <t>991001423599702656</t>
        </is>
      </c>
      <c r="BA1287" t="inlineStr">
        <is>
          <t>2272200750002656</t>
        </is>
      </c>
      <c r="BB1287" t="inlineStr">
        <is>
          <t>BOOK</t>
        </is>
      </c>
      <c r="BE1287" t="inlineStr">
        <is>
          <t>30001001183351</t>
        </is>
      </c>
      <c r="BF1287" t="inlineStr">
        <is>
          <t>893727554</t>
        </is>
      </c>
    </row>
    <row r="1288">
      <c r="A1288" t="inlineStr">
        <is>
          <t>No</t>
        </is>
      </c>
      <c r="B1288" t="inlineStr">
        <is>
          <t>CUHSL</t>
        </is>
      </c>
      <c r="C1288" t="inlineStr">
        <is>
          <t>SHELVES</t>
        </is>
      </c>
      <c r="D1288" t="inlineStr">
        <is>
          <t>WY 128 A5128s 1987</t>
        </is>
      </c>
      <c r="E1288" t="inlineStr">
        <is>
          <t>0                      WY 0128000A  5128s       1987</t>
        </is>
      </c>
      <c r="F1288" t="inlineStr">
        <is>
          <t>Standards of practice for the primary health care nurse practitioner / American Nurses' Association.</t>
        </is>
      </c>
      <c r="H1288" t="inlineStr">
        <is>
          <t>No</t>
        </is>
      </c>
      <c r="I1288" t="inlineStr">
        <is>
          <t>1</t>
        </is>
      </c>
      <c r="J1288" t="inlineStr">
        <is>
          <t>No</t>
        </is>
      </c>
      <c r="K1288" t="inlineStr">
        <is>
          <t>No</t>
        </is>
      </c>
      <c r="L1288" t="inlineStr">
        <is>
          <t>0</t>
        </is>
      </c>
      <c r="M1288" t="inlineStr">
        <is>
          <t>American Nurses Association. Task Force on Standards of Practice for Primary Health Care Nurse Practitioners.</t>
        </is>
      </c>
      <c r="N1288" t="inlineStr">
        <is>
          <t>Kansas City, Mo. (2420 Pershing Rd, Kansas City 64108) : American Nurses' Association, c1987.</t>
        </is>
      </c>
      <c r="O1288" t="inlineStr">
        <is>
          <t>1987</t>
        </is>
      </c>
      <c r="Q1288" t="inlineStr">
        <is>
          <t>eng</t>
        </is>
      </c>
      <c r="R1288" t="inlineStr">
        <is>
          <t>xxu</t>
        </is>
      </c>
      <c r="S1288" t="inlineStr">
        <is>
          <t>ANA pub ; no. NP-71</t>
        </is>
      </c>
      <c r="T1288" t="inlineStr">
        <is>
          <t xml:space="preserve">WY </t>
        </is>
      </c>
      <c r="U1288" t="n">
        <v>6</v>
      </c>
      <c r="V1288" t="n">
        <v>6</v>
      </c>
      <c r="W1288" t="inlineStr">
        <is>
          <t>1997-01-31</t>
        </is>
      </c>
      <c r="X1288" t="inlineStr">
        <is>
          <t>1997-01-31</t>
        </is>
      </c>
      <c r="Y1288" t="inlineStr">
        <is>
          <t>1987-12-10</t>
        </is>
      </c>
      <c r="Z1288" t="inlineStr">
        <is>
          <t>1987-12-10</t>
        </is>
      </c>
      <c r="AA1288" t="n">
        <v>153</v>
      </c>
      <c r="AB1288" t="n">
        <v>141</v>
      </c>
      <c r="AC1288" t="n">
        <v>152</v>
      </c>
      <c r="AD1288" t="n">
        <v>1</v>
      </c>
      <c r="AE1288" t="n">
        <v>1</v>
      </c>
      <c r="AF1288" t="n">
        <v>7</v>
      </c>
      <c r="AG1288" t="n">
        <v>7</v>
      </c>
      <c r="AH1288" t="n">
        <v>3</v>
      </c>
      <c r="AI1288" t="n">
        <v>3</v>
      </c>
      <c r="AJ1288" t="n">
        <v>1</v>
      </c>
      <c r="AK1288" t="n">
        <v>1</v>
      </c>
      <c r="AL1288" t="n">
        <v>4</v>
      </c>
      <c r="AM1288" t="n">
        <v>4</v>
      </c>
      <c r="AN1288" t="n">
        <v>0</v>
      </c>
      <c r="AO1288" t="n">
        <v>0</v>
      </c>
      <c r="AP1288" t="n">
        <v>0</v>
      </c>
      <c r="AQ1288" t="n">
        <v>0</v>
      </c>
      <c r="AR1288" t="inlineStr">
        <is>
          <t>No</t>
        </is>
      </c>
      <c r="AS1288" t="inlineStr">
        <is>
          <t>Yes</t>
        </is>
      </c>
      <c r="AT1288">
        <f>HYPERLINK("http://catalog.hathitrust.org/Record/000846164","HathiTrust Record")</f>
        <v/>
      </c>
      <c r="AU1288">
        <f>HYPERLINK("https://creighton-primo.hosted.exlibrisgroup.com/primo-explore/search?tab=default_tab&amp;search_scope=EVERYTHING&amp;vid=01CRU&amp;lang=en_US&amp;offset=0&amp;query=any,contains,991001528339702656","Catalog Record")</f>
        <v/>
      </c>
      <c r="AV1288">
        <f>HYPERLINK("http://www.worldcat.org/oclc/15697048","WorldCat Record")</f>
        <v/>
      </c>
      <c r="AW1288" t="inlineStr">
        <is>
          <t>3855607695:eng</t>
        </is>
      </c>
      <c r="AX1288" t="inlineStr">
        <is>
          <t>15697048</t>
        </is>
      </c>
      <c r="AY1288" t="inlineStr">
        <is>
          <t>991001528339702656</t>
        </is>
      </c>
      <c r="AZ1288" t="inlineStr">
        <is>
          <t>991001528339702656</t>
        </is>
      </c>
      <c r="BA1288" t="inlineStr">
        <is>
          <t>2264065700002656</t>
        </is>
      </c>
      <c r="BB1288" t="inlineStr">
        <is>
          <t>BOOK</t>
        </is>
      </c>
      <c r="BE1288" t="inlineStr">
        <is>
          <t>30001000620643</t>
        </is>
      </c>
      <c r="BF1288" t="inlineStr">
        <is>
          <t>893741222</t>
        </is>
      </c>
    </row>
    <row r="1289">
      <c r="A1289" t="inlineStr">
        <is>
          <t>No</t>
        </is>
      </c>
      <c r="B1289" t="inlineStr">
        <is>
          <t>CUHSL</t>
        </is>
      </c>
      <c r="C1289" t="inlineStr">
        <is>
          <t>SHELVES</t>
        </is>
      </c>
      <c r="D1289" t="inlineStr">
        <is>
          <t>WY 128 B944n 1999</t>
        </is>
      </c>
      <c r="E1289" t="inlineStr">
        <is>
          <t>0                      WY 0128000B  944n        1999</t>
        </is>
      </c>
      <c r="F1289" t="inlineStr">
        <is>
          <t>Nurse practitioner's business practice and legal guide / Carolyn Buppert.</t>
        </is>
      </c>
      <c r="H1289" t="inlineStr">
        <is>
          <t>No</t>
        </is>
      </c>
      <c r="I1289" t="inlineStr">
        <is>
          <t>1</t>
        </is>
      </c>
      <c r="J1289" t="inlineStr">
        <is>
          <t>No</t>
        </is>
      </c>
      <c r="K1289" t="inlineStr">
        <is>
          <t>Yes</t>
        </is>
      </c>
      <c r="L1289" t="inlineStr">
        <is>
          <t>0</t>
        </is>
      </c>
      <c r="M1289" t="inlineStr">
        <is>
          <t>Buppert, Carolyn.</t>
        </is>
      </c>
      <c r="N1289" t="inlineStr">
        <is>
          <t>Gaithersburg, Md. : Aspen Publishers, c1999.</t>
        </is>
      </c>
      <c r="O1289" t="inlineStr">
        <is>
          <t>1999</t>
        </is>
      </c>
      <c r="Q1289" t="inlineStr">
        <is>
          <t>eng</t>
        </is>
      </c>
      <c r="R1289" t="inlineStr">
        <is>
          <t>mdu</t>
        </is>
      </c>
      <c r="T1289" t="inlineStr">
        <is>
          <t xml:space="preserve">WY </t>
        </is>
      </c>
      <c r="U1289" t="n">
        <v>9</v>
      </c>
      <c r="V1289" t="n">
        <v>9</v>
      </c>
      <c r="W1289" t="inlineStr">
        <is>
          <t>2005-04-03</t>
        </is>
      </c>
      <c r="X1289" t="inlineStr">
        <is>
          <t>2005-04-03</t>
        </is>
      </c>
      <c r="Y1289" t="inlineStr">
        <is>
          <t>1999-09-24</t>
        </is>
      </c>
      <c r="Z1289" t="inlineStr">
        <is>
          <t>1999-09-24</t>
        </is>
      </c>
      <c r="AA1289" t="n">
        <v>183</v>
      </c>
      <c r="AB1289" t="n">
        <v>171</v>
      </c>
      <c r="AC1289" t="n">
        <v>670</v>
      </c>
      <c r="AD1289" t="n">
        <v>1</v>
      </c>
      <c r="AE1289" t="n">
        <v>3</v>
      </c>
      <c r="AF1289" t="n">
        <v>3</v>
      </c>
      <c r="AG1289" t="n">
        <v>32</v>
      </c>
      <c r="AH1289" t="n">
        <v>0</v>
      </c>
      <c r="AI1289" t="n">
        <v>11</v>
      </c>
      <c r="AJ1289" t="n">
        <v>0</v>
      </c>
      <c r="AK1289" t="n">
        <v>5</v>
      </c>
      <c r="AL1289" t="n">
        <v>2</v>
      </c>
      <c r="AM1289" t="n">
        <v>15</v>
      </c>
      <c r="AN1289" t="n">
        <v>0</v>
      </c>
      <c r="AO1289" t="n">
        <v>2</v>
      </c>
      <c r="AP1289" t="n">
        <v>1</v>
      </c>
      <c r="AQ1289" t="n">
        <v>5</v>
      </c>
      <c r="AR1289" t="inlineStr">
        <is>
          <t>No</t>
        </is>
      </c>
      <c r="AS1289" t="inlineStr">
        <is>
          <t>Yes</t>
        </is>
      </c>
      <c r="AT1289">
        <f>HYPERLINK("http://catalog.hathitrust.org/Record/004011237","HathiTrust Record")</f>
        <v/>
      </c>
      <c r="AU1289">
        <f>HYPERLINK("https://creighton-primo.hosted.exlibrisgroup.com/primo-explore/search?tab=default_tab&amp;search_scope=EVERYTHING&amp;vid=01CRU&amp;lang=en_US&amp;offset=0&amp;query=any,contains,991001338219702656","Catalog Record")</f>
        <v/>
      </c>
      <c r="AV1289">
        <f>HYPERLINK("http://www.worldcat.org/oclc/39658252","WorldCat Record")</f>
        <v/>
      </c>
      <c r="AW1289" t="inlineStr">
        <is>
          <t>758403:eng</t>
        </is>
      </c>
      <c r="AX1289" t="inlineStr">
        <is>
          <t>39658252</t>
        </is>
      </c>
      <c r="AY1289" t="inlineStr">
        <is>
          <t>991001338219702656</t>
        </is>
      </c>
      <c r="AZ1289" t="inlineStr">
        <is>
          <t>991001338219702656</t>
        </is>
      </c>
      <c r="BA1289" t="inlineStr">
        <is>
          <t>2265840030002656</t>
        </is>
      </c>
      <c r="BB1289" t="inlineStr">
        <is>
          <t>BOOK</t>
        </is>
      </c>
      <c r="BD1289" t="inlineStr">
        <is>
          <t>9780834211858</t>
        </is>
      </c>
      <c r="BE1289" t="inlineStr">
        <is>
          <t>30001003790864</t>
        </is>
      </c>
      <c r="BF1289" t="inlineStr">
        <is>
          <t>893358488</t>
        </is>
      </c>
    </row>
    <row r="1290">
      <c r="A1290" t="inlineStr">
        <is>
          <t>No</t>
        </is>
      </c>
      <c r="B1290" t="inlineStr">
        <is>
          <t>CUHSL</t>
        </is>
      </c>
      <c r="C1290" t="inlineStr">
        <is>
          <t>SHELVES</t>
        </is>
      </c>
      <c r="D1290" t="inlineStr">
        <is>
          <t>WY 128 C6385 1990</t>
        </is>
      </c>
      <c r="E1290" t="inlineStr">
        <is>
          <t>0                      WY 0128000C  6385        1990</t>
        </is>
      </c>
      <c r="F1290" t="inlineStr">
        <is>
          <t>The Clinical nurse specialist : implementation and impact / editors, Patricia S.A. Sparacino, Diane M. Cooper, Pamela A. Minarik.</t>
        </is>
      </c>
      <c r="H1290" t="inlineStr">
        <is>
          <t>No</t>
        </is>
      </c>
      <c r="I1290" t="inlineStr">
        <is>
          <t>1</t>
        </is>
      </c>
      <c r="J1290" t="inlineStr">
        <is>
          <t>No</t>
        </is>
      </c>
      <c r="K1290" t="inlineStr">
        <is>
          <t>No</t>
        </is>
      </c>
      <c r="L1290" t="inlineStr">
        <is>
          <t>0</t>
        </is>
      </c>
      <c r="N1290" t="inlineStr">
        <is>
          <t>Norwalk, Conn. : Appleton &amp; Lange, c1990.</t>
        </is>
      </c>
      <c r="O1290" t="inlineStr">
        <is>
          <t>1990</t>
        </is>
      </c>
      <c r="Q1290" t="inlineStr">
        <is>
          <t>eng</t>
        </is>
      </c>
      <c r="R1290" t="inlineStr">
        <is>
          <t>xxu</t>
        </is>
      </c>
      <c r="T1290" t="inlineStr">
        <is>
          <t xml:space="preserve">WY </t>
        </is>
      </c>
      <c r="U1290" t="n">
        <v>26</v>
      </c>
      <c r="V1290" t="n">
        <v>26</v>
      </c>
      <c r="W1290" t="inlineStr">
        <is>
          <t>2006-03-21</t>
        </is>
      </c>
      <c r="X1290" t="inlineStr">
        <is>
          <t>2006-03-21</t>
        </is>
      </c>
      <c r="Y1290" t="inlineStr">
        <is>
          <t>1991-07-26</t>
        </is>
      </c>
      <c r="Z1290" t="inlineStr">
        <is>
          <t>1991-07-26</t>
        </is>
      </c>
      <c r="AA1290" t="n">
        <v>282</v>
      </c>
      <c r="AB1290" t="n">
        <v>227</v>
      </c>
      <c r="AC1290" t="n">
        <v>237</v>
      </c>
      <c r="AD1290" t="n">
        <v>2</v>
      </c>
      <c r="AE1290" t="n">
        <v>2</v>
      </c>
      <c r="AF1290" t="n">
        <v>14</v>
      </c>
      <c r="AG1290" t="n">
        <v>14</v>
      </c>
      <c r="AH1290" t="n">
        <v>5</v>
      </c>
      <c r="AI1290" t="n">
        <v>5</v>
      </c>
      <c r="AJ1290" t="n">
        <v>3</v>
      </c>
      <c r="AK1290" t="n">
        <v>3</v>
      </c>
      <c r="AL1290" t="n">
        <v>9</v>
      </c>
      <c r="AM1290" t="n">
        <v>9</v>
      </c>
      <c r="AN1290" t="n">
        <v>1</v>
      </c>
      <c r="AO1290" t="n">
        <v>1</v>
      </c>
      <c r="AP1290" t="n">
        <v>0</v>
      </c>
      <c r="AQ1290" t="n">
        <v>0</v>
      </c>
      <c r="AR1290" t="inlineStr">
        <is>
          <t>No</t>
        </is>
      </c>
      <c r="AS1290" t="inlineStr">
        <is>
          <t>Yes</t>
        </is>
      </c>
      <c r="AT1290">
        <f>HYPERLINK("http://catalog.hathitrust.org/Record/001826522","HathiTrust Record")</f>
        <v/>
      </c>
      <c r="AU1290">
        <f>HYPERLINK("https://creighton-primo.hosted.exlibrisgroup.com/primo-explore/search?tab=default_tab&amp;search_scope=EVERYTHING&amp;vid=01CRU&amp;lang=en_US&amp;offset=0&amp;query=any,contains,991000944309702656","Catalog Record")</f>
        <v/>
      </c>
      <c r="AV1290">
        <f>HYPERLINK("http://www.worldcat.org/oclc/19517334","WorldCat Record")</f>
        <v/>
      </c>
      <c r="AW1290" t="inlineStr">
        <is>
          <t>836887039:eng</t>
        </is>
      </c>
      <c r="AX1290" t="inlineStr">
        <is>
          <t>19517334</t>
        </is>
      </c>
      <c r="AY1290" t="inlineStr">
        <is>
          <t>991000944309702656</t>
        </is>
      </c>
      <c r="AZ1290" t="inlineStr">
        <is>
          <t>991000944309702656</t>
        </is>
      </c>
      <c r="BA1290" t="inlineStr">
        <is>
          <t>2264298300002656</t>
        </is>
      </c>
      <c r="BB1290" t="inlineStr">
        <is>
          <t>BOOK</t>
        </is>
      </c>
      <c r="BD1290" t="inlineStr">
        <is>
          <t>9780838512784</t>
        </is>
      </c>
      <c r="BE1290" t="inlineStr">
        <is>
          <t>30001002193326</t>
        </is>
      </c>
      <c r="BF1290" t="inlineStr">
        <is>
          <t>893287131</t>
        </is>
      </c>
    </row>
    <row r="1291">
      <c r="A1291" t="inlineStr">
        <is>
          <t>No</t>
        </is>
      </c>
      <c r="B1291" t="inlineStr">
        <is>
          <t>CUHSL</t>
        </is>
      </c>
      <c r="C1291" t="inlineStr">
        <is>
          <t>SHELVES</t>
        </is>
      </c>
      <c r="D1291" t="inlineStr">
        <is>
          <t>WY 128 C639 1989</t>
        </is>
      </c>
      <c r="E1291" t="inlineStr">
        <is>
          <t>0                      WY 0128000C  639         1989</t>
        </is>
      </c>
      <c r="F1291" t="inlineStr">
        <is>
          <t>The Clinical nurse specialist in theory and practice / edited by Ann B. Hamric, Judith A. Spross.</t>
        </is>
      </c>
      <c r="H1291" t="inlineStr">
        <is>
          <t>No</t>
        </is>
      </c>
      <c r="I1291" t="inlineStr">
        <is>
          <t>1</t>
        </is>
      </c>
      <c r="J1291" t="inlineStr">
        <is>
          <t>No</t>
        </is>
      </c>
      <c r="K1291" t="inlineStr">
        <is>
          <t>No</t>
        </is>
      </c>
      <c r="L1291" t="inlineStr">
        <is>
          <t>0</t>
        </is>
      </c>
      <c r="N1291" t="inlineStr">
        <is>
          <t>Philadelphia : Saunders, c1989.</t>
        </is>
      </c>
      <c r="O1291" t="inlineStr">
        <is>
          <t>1989</t>
        </is>
      </c>
      <c r="P1291" t="inlineStr">
        <is>
          <t>2nd ed.</t>
        </is>
      </c>
      <c r="Q1291" t="inlineStr">
        <is>
          <t>eng</t>
        </is>
      </c>
      <c r="R1291" t="inlineStr">
        <is>
          <t>pau</t>
        </is>
      </c>
      <c r="T1291" t="inlineStr">
        <is>
          <t xml:space="preserve">WY </t>
        </is>
      </c>
      <c r="U1291" t="n">
        <v>54</v>
      </c>
      <c r="V1291" t="n">
        <v>54</v>
      </c>
      <c r="W1291" t="inlineStr">
        <is>
          <t>2006-03-21</t>
        </is>
      </c>
      <c r="X1291" t="inlineStr">
        <is>
          <t>2006-03-21</t>
        </is>
      </c>
      <c r="Y1291" t="inlineStr">
        <is>
          <t>1994-11-30</t>
        </is>
      </c>
      <c r="Z1291" t="inlineStr">
        <is>
          <t>1994-11-30</t>
        </is>
      </c>
      <c r="AA1291" t="n">
        <v>344</v>
      </c>
      <c r="AB1291" t="n">
        <v>236</v>
      </c>
      <c r="AC1291" t="n">
        <v>328</v>
      </c>
      <c r="AD1291" t="n">
        <v>2</v>
      </c>
      <c r="AE1291" t="n">
        <v>2</v>
      </c>
      <c r="AF1291" t="n">
        <v>12</v>
      </c>
      <c r="AG1291" t="n">
        <v>16</v>
      </c>
      <c r="AH1291" t="n">
        <v>4</v>
      </c>
      <c r="AI1291" t="n">
        <v>7</v>
      </c>
      <c r="AJ1291" t="n">
        <v>3</v>
      </c>
      <c r="AK1291" t="n">
        <v>3</v>
      </c>
      <c r="AL1291" t="n">
        <v>6</v>
      </c>
      <c r="AM1291" t="n">
        <v>9</v>
      </c>
      <c r="AN1291" t="n">
        <v>1</v>
      </c>
      <c r="AO1291" t="n">
        <v>1</v>
      </c>
      <c r="AP1291" t="n">
        <v>0</v>
      </c>
      <c r="AQ1291" t="n">
        <v>0</v>
      </c>
      <c r="AR1291" t="inlineStr">
        <is>
          <t>No</t>
        </is>
      </c>
      <c r="AS1291" t="inlineStr">
        <is>
          <t>Yes</t>
        </is>
      </c>
      <c r="AT1291">
        <f>HYPERLINK("http://catalog.hathitrust.org/Record/001085652","HathiTrust Record")</f>
        <v/>
      </c>
      <c r="AU1291">
        <f>HYPERLINK("https://creighton-primo.hosted.exlibrisgroup.com/primo-explore/search?tab=default_tab&amp;search_scope=EVERYTHING&amp;vid=01CRU&amp;lang=en_US&amp;offset=0&amp;query=any,contains,991000682559702656","Catalog Record")</f>
        <v/>
      </c>
      <c r="AV1291">
        <f>HYPERLINK("http://www.worldcat.org/oclc/18557615","WorldCat Record")</f>
        <v/>
      </c>
      <c r="AW1291" t="inlineStr">
        <is>
          <t>372821168:eng</t>
        </is>
      </c>
      <c r="AX1291" t="inlineStr">
        <is>
          <t>18557615</t>
        </is>
      </c>
      <c r="AY1291" t="inlineStr">
        <is>
          <t>991000682559702656</t>
        </is>
      </c>
      <c r="AZ1291" t="inlineStr">
        <is>
          <t>991000682559702656</t>
        </is>
      </c>
      <c r="BA1291" t="inlineStr">
        <is>
          <t>2264037360002656</t>
        </is>
      </c>
      <c r="BB1291" t="inlineStr">
        <is>
          <t>BOOK</t>
        </is>
      </c>
      <c r="BD1291" t="inlineStr">
        <is>
          <t>9780721644868</t>
        </is>
      </c>
      <c r="BE1291" t="inlineStr">
        <is>
          <t>30001002698001</t>
        </is>
      </c>
      <c r="BF1291" t="inlineStr">
        <is>
          <t>893362789</t>
        </is>
      </c>
    </row>
    <row r="1292">
      <c r="A1292" t="inlineStr">
        <is>
          <t>No</t>
        </is>
      </c>
      <c r="B1292" t="inlineStr">
        <is>
          <t>CUHSL</t>
        </is>
      </c>
      <c r="C1292" t="inlineStr">
        <is>
          <t>SHELVES</t>
        </is>
      </c>
      <c r="D1292" t="inlineStr">
        <is>
          <t>WY 128 F341p 1997</t>
        </is>
      </c>
      <c r="E1292" t="inlineStr">
        <is>
          <t>0                      WY 0128000F  341p        1997</t>
        </is>
      </c>
      <c r="F1292" t="inlineStr">
        <is>
          <t>Practice guidelines for family nurse practitioners / Karen Fenstermacher, Barbara Toni Hudson.</t>
        </is>
      </c>
      <c r="H1292" t="inlineStr">
        <is>
          <t>No</t>
        </is>
      </c>
      <c r="I1292" t="inlineStr">
        <is>
          <t>1</t>
        </is>
      </c>
      <c r="J1292" t="inlineStr">
        <is>
          <t>No</t>
        </is>
      </c>
      <c r="K1292" t="inlineStr">
        <is>
          <t>Yes</t>
        </is>
      </c>
      <c r="L1292" t="inlineStr">
        <is>
          <t>0</t>
        </is>
      </c>
      <c r="M1292" t="inlineStr">
        <is>
          <t>Fenstermacher, Karen.</t>
        </is>
      </c>
      <c r="N1292" t="inlineStr">
        <is>
          <t>Philadelphia : W.B. Saunders, c1997.</t>
        </is>
      </c>
      <c r="O1292" t="inlineStr">
        <is>
          <t>1997</t>
        </is>
      </c>
      <c r="Q1292" t="inlineStr">
        <is>
          <t>eng</t>
        </is>
      </c>
      <c r="R1292" t="inlineStr">
        <is>
          <t>pau</t>
        </is>
      </c>
      <c r="T1292" t="inlineStr">
        <is>
          <t xml:space="preserve">WY </t>
        </is>
      </c>
      <c r="U1292" t="n">
        <v>17</v>
      </c>
      <c r="V1292" t="n">
        <v>17</v>
      </c>
      <c r="W1292" t="inlineStr">
        <is>
          <t>2001-04-22</t>
        </is>
      </c>
      <c r="X1292" t="inlineStr">
        <is>
          <t>2001-04-22</t>
        </is>
      </c>
      <c r="Y1292" t="inlineStr">
        <is>
          <t>1998-01-14</t>
        </is>
      </c>
      <c r="Z1292" t="inlineStr">
        <is>
          <t>1998-01-14</t>
        </is>
      </c>
      <c r="AA1292" t="n">
        <v>175</v>
      </c>
      <c r="AB1292" t="n">
        <v>140</v>
      </c>
      <c r="AC1292" t="n">
        <v>503</v>
      </c>
      <c r="AD1292" t="n">
        <v>2</v>
      </c>
      <c r="AE1292" t="n">
        <v>3</v>
      </c>
      <c r="AF1292" t="n">
        <v>6</v>
      </c>
      <c r="AG1292" t="n">
        <v>20</v>
      </c>
      <c r="AH1292" t="n">
        <v>3</v>
      </c>
      <c r="AI1292" t="n">
        <v>7</v>
      </c>
      <c r="AJ1292" t="n">
        <v>1</v>
      </c>
      <c r="AK1292" t="n">
        <v>4</v>
      </c>
      <c r="AL1292" t="n">
        <v>2</v>
      </c>
      <c r="AM1292" t="n">
        <v>11</v>
      </c>
      <c r="AN1292" t="n">
        <v>1</v>
      </c>
      <c r="AO1292" t="n">
        <v>2</v>
      </c>
      <c r="AP1292" t="n">
        <v>0</v>
      </c>
      <c r="AQ1292" t="n">
        <v>0</v>
      </c>
      <c r="AR1292" t="inlineStr">
        <is>
          <t>No</t>
        </is>
      </c>
      <c r="AS1292" t="inlineStr">
        <is>
          <t>Yes</t>
        </is>
      </c>
      <c r="AT1292">
        <f>HYPERLINK("http://catalog.hathitrust.org/Record/003165409","HathiTrust Record")</f>
        <v/>
      </c>
      <c r="AU1292">
        <f>HYPERLINK("https://creighton-primo.hosted.exlibrisgroup.com/primo-explore/search?tab=default_tab&amp;search_scope=EVERYTHING&amp;vid=01CRU&amp;lang=en_US&amp;offset=0&amp;query=any,contains,991001226819702656","Catalog Record")</f>
        <v/>
      </c>
      <c r="AV1292">
        <f>HYPERLINK("http://www.worldcat.org/oclc/35836748","WorldCat Record")</f>
        <v/>
      </c>
      <c r="AW1292" t="inlineStr">
        <is>
          <t>4161048323:eng</t>
        </is>
      </c>
      <c r="AX1292" t="inlineStr">
        <is>
          <t>35836748</t>
        </is>
      </c>
      <c r="AY1292" t="inlineStr">
        <is>
          <t>991001226819702656</t>
        </is>
      </c>
      <c r="AZ1292" t="inlineStr">
        <is>
          <t>991001226819702656</t>
        </is>
      </c>
      <c r="BA1292" t="inlineStr">
        <is>
          <t>2259948730002656</t>
        </is>
      </c>
      <c r="BB1292" t="inlineStr">
        <is>
          <t>BOOK</t>
        </is>
      </c>
      <c r="BD1292" t="inlineStr">
        <is>
          <t>9780721668611</t>
        </is>
      </c>
      <c r="BE1292" t="inlineStr">
        <is>
          <t>30001003669621</t>
        </is>
      </c>
      <c r="BF1292" t="inlineStr">
        <is>
          <t>893638126</t>
        </is>
      </c>
    </row>
    <row r="1293">
      <c r="A1293" t="inlineStr">
        <is>
          <t>No</t>
        </is>
      </c>
      <c r="B1293" t="inlineStr">
        <is>
          <t>CUHSL</t>
        </is>
      </c>
      <c r="C1293" t="inlineStr">
        <is>
          <t>SHELVES</t>
        </is>
      </c>
      <c r="D1293" t="inlineStr">
        <is>
          <t>WY128 F341p 2000</t>
        </is>
      </c>
      <c r="E1293" t="inlineStr">
        <is>
          <t>0                      WY 0128000F  341p        2000</t>
        </is>
      </c>
      <c r="F1293" t="inlineStr">
        <is>
          <t>Practice guidelines for family nurse practitioners / Karen Fenstermacher, Barbara Toni Hudson.</t>
        </is>
      </c>
      <c r="H1293" t="inlineStr">
        <is>
          <t>No</t>
        </is>
      </c>
      <c r="I1293" t="inlineStr">
        <is>
          <t>1</t>
        </is>
      </c>
      <c r="J1293" t="inlineStr">
        <is>
          <t>No</t>
        </is>
      </c>
      <c r="K1293" t="inlineStr">
        <is>
          <t>Yes</t>
        </is>
      </c>
      <c r="L1293" t="inlineStr">
        <is>
          <t>0</t>
        </is>
      </c>
      <c r="M1293" t="inlineStr">
        <is>
          <t>Fenstermacher, Karen.</t>
        </is>
      </c>
      <c r="N1293" t="inlineStr">
        <is>
          <t>Philadelphia, Pa. : W.B.Saunders, c2000.</t>
        </is>
      </c>
      <c r="O1293" t="inlineStr">
        <is>
          <t>2000</t>
        </is>
      </c>
      <c r="P1293" t="inlineStr">
        <is>
          <t>2nd ed.</t>
        </is>
      </c>
      <c r="Q1293" t="inlineStr">
        <is>
          <t>eng</t>
        </is>
      </c>
      <c r="R1293" t="inlineStr">
        <is>
          <t>pau</t>
        </is>
      </c>
      <c r="T1293" t="inlineStr">
        <is>
          <t xml:space="preserve">WY </t>
        </is>
      </c>
      <c r="U1293" t="n">
        <v>3</v>
      </c>
      <c r="V1293" t="n">
        <v>3</v>
      </c>
      <c r="W1293" t="inlineStr">
        <is>
          <t>2004-04-05</t>
        </is>
      </c>
      <c r="X1293" t="inlineStr">
        <is>
          <t>2004-04-05</t>
        </is>
      </c>
      <c r="Y1293" t="inlineStr">
        <is>
          <t>2002-02-28</t>
        </is>
      </c>
      <c r="Z1293" t="inlineStr">
        <is>
          <t>2002-02-28</t>
        </is>
      </c>
      <c r="AA1293" t="n">
        <v>214</v>
      </c>
      <c r="AB1293" t="n">
        <v>173</v>
      </c>
      <c r="AC1293" t="n">
        <v>503</v>
      </c>
      <c r="AD1293" t="n">
        <v>0</v>
      </c>
      <c r="AE1293" t="n">
        <v>3</v>
      </c>
      <c r="AF1293" t="n">
        <v>6</v>
      </c>
      <c r="AG1293" t="n">
        <v>20</v>
      </c>
      <c r="AH1293" t="n">
        <v>3</v>
      </c>
      <c r="AI1293" t="n">
        <v>7</v>
      </c>
      <c r="AJ1293" t="n">
        <v>0</v>
      </c>
      <c r="AK1293" t="n">
        <v>4</v>
      </c>
      <c r="AL1293" t="n">
        <v>4</v>
      </c>
      <c r="AM1293" t="n">
        <v>11</v>
      </c>
      <c r="AN1293" t="n">
        <v>0</v>
      </c>
      <c r="AO1293" t="n">
        <v>2</v>
      </c>
      <c r="AP1293" t="n">
        <v>0</v>
      </c>
      <c r="AQ1293" t="n">
        <v>0</v>
      </c>
      <c r="AR1293" t="inlineStr">
        <is>
          <t>No</t>
        </is>
      </c>
      <c r="AS1293" t="inlineStr">
        <is>
          <t>Yes</t>
        </is>
      </c>
      <c r="AT1293">
        <f>HYPERLINK("http://catalog.hathitrust.org/Record/004090980","HathiTrust Record")</f>
        <v/>
      </c>
      <c r="AU1293">
        <f>HYPERLINK("https://creighton-primo.hosted.exlibrisgroup.com/primo-explore/search?tab=default_tab&amp;search_scope=EVERYTHING&amp;vid=01CRU&amp;lang=en_US&amp;offset=0&amp;query=any,contains,991001709899702656","Catalog Record")</f>
        <v/>
      </c>
      <c r="AV1293">
        <f>HYPERLINK("http://www.worldcat.org/oclc/42598322","WorldCat Record")</f>
        <v/>
      </c>
      <c r="AW1293" t="inlineStr">
        <is>
          <t>4161048323:eng</t>
        </is>
      </c>
      <c r="AX1293" t="inlineStr">
        <is>
          <t>42598322</t>
        </is>
      </c>
      <c r="AY1293" t="inlineStr">
        <is>
          <t>991001709899702656</t>
        </is>
      </c>
      <c r="AZ1293" t="inlineStr">
        <is>
          <t>991001709899702656</t>
        </is>
      </c>
      <c r="BA1293" t="inlineStr">
        <is>
          <t>2259149610002656</t>
        </is>
      </c>
      <c r="BB1293" t="inlineStr">
        <is>
          <t>BOOK</t>
        </is>
      </c>
      <c r="BD1293" t="inlineStr">
        <is>
          <t>9780721686967</t>
        </is>
      </c>
      <c r="BE1293" t="inlineStr">
        <is>
          <t>30001004236925</t>
        </is>
      </c>
      <c r="BF1293" t="inlineStr">
        <is>
          <t>893832385</t>
        </is>
      </c>
    </row>
    <row r="1294">
      <c r="A1294" t="inlineStr">
        <is>
          <t>No</t>
        </is>
      </c>
      <c r="B1294" t="inlineStr">
        <is>
          <t>CUHSL</t>
        </is>
      </c>
      <c r="C1294" t="inlineStr">
        <is>
          <t>SHELVES</t>
        </is>
      </c>
      <c r="D1294" t="inlineStr">
        <is>
          <t>WY 128 J79p 1986</t>
        </is>
      </c>
      <c r="E1294" t="inlineStr">
        <is>
          <t>0                      WY 0128000J  79p         1986</t>
        </is>
      </c>
      <c r="F1294" t="inlineStr">
        <is>
          <t>Psychiatric and mental health clinical nurse specialists : distribution and utilization.</t>
        </is>
      </c>
      <c r="H1294" t="inlineStr">
        <is>
          <t>No</t>
        </is>
      </c>
      <c r="I1294" t="inlineStr">
        <is>
          <t>1</t>
        </is>
      </c>
      <c r="J1294" t="inlineStr">
        <is>
          <t>No</t>
        </is>
      </c>
      <c r="K1294" t="inlineStr">
        <is>
          <t>No</t>
        </is>
      </c>
      <c r="L1294" t="inlineStr">
        <is>
          <t>0</t>
        </is>
      </c>
      <c r="M1294" t="inlineStr">
        <is>
          <t>Jones, Susan L.</t>
        </is>
      </c>
      <c r="N1294" t="inlineStr">
        <is>
          <t>Kansas City, Mo. : American Nurses' Association, c1986.</t>
        </is>
      </c>
      <c r="O1294" t="inlineStr">
        <is>
          <t>1986</t>
        </is>
      </c>
      <c r="Q1294" t="inlineStr">
        <is>
          <t>eng</t>
        </is>
      </c>
      <c r="R1294" t="inlineStr">
        <is>
          <t>xxu</t>
        </is>
      </c>
      <c r="S1294" t="inlineStr">
        <is>
          <t>ANA pub ; no. PMH-8</t>
        </is>
      </c>
      <c r="T1294" t="inlineStr">
        <is>
          <t xml:space="preserve">WY </t>
        </is>
      </c>
      <c r="U1294" t="n">
        <v>1</v>
      </c>
      <c r="V1294" t="n">
        <v>1</v>
      </c>
      <c r="W1294" t="inlineStr">
        <is>
          <t>2007-01-16</t>
        </is>
      </c>
      <c r="X1294" t="inlineStr">
        <is>
          <t>2007-01-16</t>
        </is>
      </c>
      <c r="Y1294" t="inlineStr">
        <is>
          <t>2000-06-15</t>
        </is>
      </c>
      <c r="Z1294" t="inlineStr">
        <is>
          <t>2000-06-15</t>
        </is>
      </c>
      <c r="AA1294" t="n">
        <v>83</v>
      </c>
      <c r="AB1294" t="n">
        <v>81</v>
      </c>
      <c r="AC1294" t="n">
        <v>91</v>
      </c>
      <c r="AD1294" t="n">
        <v>2</v>
      </c>
      <c r="AE1294" t="n">
        <v>2</v>
      </c>
      <c r="AF1294" t="n">
        <v>4</v>
      </c>
      <c r="AG1294" t="n">
        <v>4</v>
      </c>
      <c r="AH1294" t="n">
        <v>1</v>
      </c>
      <c r="AI1294" t="n">
        <v>1</v>
      </c>
      <c r="AJ1294" t="n">
        <v>1</v>
      </c>
      <c r="AK1294" t="n">
        <v>1</v>
      </c>
      <c r="AL1294" t="n">
        <v>4</v>
      </c>
      <c r="AM1294" t="n">
        <v>4</v>
      </c>
      <c r="AN1294" t="n">
        <v>0</v>
      </c>
      <c r="AO1294" t="n">
        <v>0</v>
      </c>
      <c r="AP1294" t="n">
        <v>0</v>
      </c>
      <c r="AQ1294" t="n">
        <v>0</v>
      </c>
      <c r="AR1294" t="inlineStr">
        <is>
          <t>No</t>
        </is>
      </c>
      <c r="AS1294" t="inlineStr">
        <is>
          <t>Yes</t>
        </is>
      </c>
      <c r="AT1294">
        <f>HYPERLINK("http://catalog.hathitrust.org/Record/000634528","HathiTrust Record")</f>
        <v/>
      </c>
      <c r="AU1294">
        <f>HYPERLINK("https://creighton-primo.hosted.exlibrisgroup.com/primo-explore/search?tab=default_tab&amp;search_scope=EVERYTHING&amp;vid=01CRU&amp;lang=en_US&amp;offset=0&amp;query=any,contains,991000216349702656","Catalog Record")</f>
        <v/>
      </c>
      <c r="AV1294">
        <f>HYPERLINK("http://www.worldcat.org/oclc/14283461","WorldCat Record")</f>
        <v/>
      </c>
      <c r="AW1294" t="inlineStr">
        <is>
          <t>8831497:eng</t>
        </is>
      </c>
      <c r="AX1294" t="inlineStr">
        <is>
          <t>14283461</t>
        </is>
      </c>
      <c r="AY1294" t="inlineStr">
        <is>
          <t>991000216349702656</t>
        </is>
      </c>
      <c r="AZ1294" t="inlineStr">
        <is>
          <t>991000216349702656</t>
        </is>
      </c>
      <c r="BA1294" t="inlineStr">
        <is>
          <t>2263990670002656</t>
        </is>
      </c>
      <c r="BB1294" t="inlineStr">
        <is>
          <t>BOOK</t>
        </is>
      </c>
      <c r="BE1294" t="inlineStr">
        <is>
          <t>30001000602278</t>
        </is>
      </c>
      <c r="BF1294" t="inlineStr">
        <is>
          <t>893279844</t>
        </is>
      </c>
    </row>
    <row r="1295">
      <c r="A1295" t="inlineStr">
        <is>
          <t>No</t>
        </is>
      </c>
      <c r="B1295" t="inlineStr">
        <is>
          <t>CUHSL</t>
        </is>
      </c>
      <c r="C1295" t="inlineStr">
        <is>
          <t>SHELVES</t>
        </is>
      </c>
      <c r="D1295" t="inlineStr">
        <is>
          <t>WY 128 K79c 1978</t>
        </is>
      </c>
      <c r="E1295" t="inlineStr">
        <is>
          <t>0                      WY 0128000K  79c         1978</t>
        </is>
      </c>
      <c r="F1295" t="inlineStr">
        <is>
          <t>The case for consultation in nursing : designs for professional practice / Mary F. Kohnke.</t>
        </is>
      </c>
      <c r="H1295" t="inlineStr">
        <is>
          <t>No</t>
        </is>
      </c>
      <c r="I1295" t="inlineStr">
        <is>
          <t>1</t>
        </is>
      </c>
      <c r="J1295" t="inlineStr">
        <is>
          <t>No</t>
        </is>
      </c>
      <c r="K1295" t="inlineStr">
        <is>
          <t>No</t>
        </is>
      </c>
      <c r="L1295" t="inlineStr">
        <is>
          <t>0</t>
        </is>
      </c>
      <c r="M1295" t="inlineStr">
        <is>
          <t>Kohnke, Mary F.</t>
        </is>
      </c>
      <c r="N1295" t="inlineStr">
        <is>
          <t>New York : Wiley, c1978.</t>
        </is>
      </c>
      <c r="O1295" t="inlineStr">
        <is>
          <t>1978</t>
        </is>
      </c>
      <c r="Q1295" t="inlineStr">
        <is>
          <t>eng</t>
        </is>
      </c>
      <c r="R1295" t="inlineStr">
        <is>
          <t>nyu</t>
        </is>
      </c>
      <c r="T1295" t="inlineStr">
        <is>
          <t xml:space="preserve">WY </t>
        </is>
      </c>
      <c r="U1295" t="n">
        <v>1</v>
      </c>
      <c r="V1295" t="n">
        <v>1</v>
      </c>
      <c r="W1295" t="inlineStr">
        <is>
          <t>1989-04-10</t>
        </is>
      </c>
      <c r="X1295" t="inlineStr">
        <is>
          <t>1989-04-10</t>
        </is>
      </c>
      <c r="Y1295" t="inlineStr">
        <is>
          <t>1987-12-30</t>
        </is>
      </c>
      <c r="Z1295" t="inlineStr">
        <is>
          <t>1987-12-30</t>
        </is>
      </c>
      <c r="AA1295" t="n">
        <v>196</v>
      </c>
      <c r="AB1295" t="n">
        <v>167</v>
      </c>
      <c r="AC1295" t="n">
        <v>175</v>
      </c>
      <c r="AD1295" t="n">
        <v>3</v>
      </c>
      <c r="AE1295" t="n">
        <v>3</v>
      </c>
      <c r="AF1295" t="n">
        <v>8</v>
      </c>
      <c r="AG1295" t="n">
        <v>8</v>
      </c>
      <c r="AH1295" t="n">
        <v>2</v>
      </c>
      <c r="AI1295" t="n">
        <v>2</v>
      </c>
      <c r="AJ1295" t="n">
        <v>2</v>
      </c>
      <c r="AK1295" t="n">
        <v>2</v>
      </c>
      <c r="AL1295" t="n">
        <v>4</v>
      </c>
      <c r="AM1295" t="n">
        <v>4</v>
      </c>
      <c r="AN1295" t="n">
        <v>2</v>
      </c>
      <c r="AO1295" t="n">
        <v>2</v>
      </c>
      <c r="AP1295" t="n">
        <v>0</v>
      </c>
      <c r="AQ1295" t="n">
        <v>0</v>
      </c>
      <c r="AR1295" t="inlineStr">
        <is>
          <t>No</t>
        </is>
      </c>
      <c r="AS1295" t="inlineStr">
        <is>
          <t>Yes</t>
        </is>
      </c>
      <c r="AT1295">
        <f>HYPERLINK("http://catalog.hathitrust.org/Record/000748307","HathiTrust Record")</f>
        <v/>
      </c>
      <c r="AU1295">
        <f>HYPERLINK("https://creighton-primo.hosted.exlibrisgroup.com/primo-explore/search?tab=default_tab&amp;search_scope=EVERYTHING&amp;vid=01CRU&amp;lang=en_US&amp;offset=0&amp;query=any,contains,991001084599702656","Catalog Record")</f>
        <v/>
      </c>
      <c r="AV1295">
        <f>HYPERLINK("http://www.worldcat.org/oclc/3310297","WorldCat Record")</f>
        <v/>
      </c>
      <c r="AW1295" t="inlineStr">
        <is>
          <t>9419193:eng</t>
        </is>
      </c>
      <c r="AX1295" t="inlineStr">
        <is>
          <t>3310297</t>
        </is>
      </c>
      <c r="AY1295" t="inlineStr">
        <is>
          <t>991001084599702656</t>
        </is>
      </c>
      <c r="AZ1295" t="inlineStr">
        <is>
          <t>991001084599702656</t>
        </is>
      </c>
      <c r="BA1295" t="inlineStr">
        <is>
          <t>2271701890002656</t>
        </is>
      </c>
      <c r="BB1295" t="inlineStr">
        <is>
          <t>BOOK</t>
        </is>
      </c>
      <c r="BD1295" t="inlineStr">
        <is>
          <t>9780471497929</t>
        </is>
      </c>
      <c r="BE1295" t="inlineStr">
        <is>
          <t>30001000258626</t>
        </is>
      </c>
      <c r="BF1295" t="inlineStr">
        <is>
          <t>893121151</t>
        </is>
      </c>
    </row>
    <row r="1296">
      <c r="A1296" t="inlineStr">
        <is>
          <t>No</t>
        </is>
      </c>
      <c r="B1296" t="inlineStr">
        <is>
          <t>CUHSL</t>
        </is>
      </c>
      <c r="C1296" t="inlineStr">
        <is>
          <t>SHELVES</t>
        </is>
      </c>
      <c r="D1296" t="inlineStr">
        <is>
          <t>WY 128 N973 1980</t>
        </is>
      </c>
      <c r="E1296" t="inlineStr">
        <is>
          <t>0                      WY 0128000N  973         1980</t>
        </is>
      </c>
      <c r="F1296" t="inlineStr">
        <is>
          <t>Nurse practitioners, a review of the literature, 1965-1979 : a project / cosponsored by the Council of Primary Health Care Nurse Practitioners, American Nurses' Association, and by the National Association of Pediatric Nurse Associates and Practitioners ; editors, Barbara H. Dunn, Marilyn A. Chard.</t>
        </is>
      </c>
      <c r="H1296" t="inlineStr">
        <is>
          <t>No</t>
        </is>
      </c>
      <c r="I1296" t="inlineStr">
        <is>
          <t>1</t>
        </is>
      </c>
      <c r="J1296" t="inlineStr">
        <is>
          <t>No</t>
        </is>
      </c>
      <c r="K1296" t="inlineStr">
        <is>
          <t>No</t>
        </is>
      </c>
      <c r="L1296" t="inlineStr">
        <is>
          <t>0</t>
        </is>
      </c>
      <c r="N1296" t="inlineStr">
        <is>
          <t>Kansas City, Mo. : American Nurses' Association, c1980.</t>
        </is>
      </c>
      <c r="O1296" t="inlineStr">
        <is>
          <t>1980</t>
        </is>
      </c>
      <c r="Q1296" t="inlineStr">
        <is>
          <t>eng</t>
        </is>
      </c>
      <c r="R1296" t="inlineStr">
        <is>
          <t>xxu</t>
        </is>
      </c>
      <c r="S1296" t="inlineStr">
        <is>
          <t>ANA pub ; no. NP-62</t>
        </is>
      </c>
      <c r="T1296" t="inlineStr">
        <is>
          <t xml:space="preserve">WY </t>
        </is>
      </c>
      <c r="U1296" t="n">
        <v>3</v>
      </c>
      <c r="V1296" t="n">
        <v>3</v>
      </c>
      <c r="W1296" t="inlineStr">
        <is>
          <t>1991-08-04</t>
        </is>
      </c>
      <c r="X1296" t="inlineStr">
        <is>
          <t>1991-08-04</t>
        </is>
      </c>
      <c r="Y1296" t="inlineStr">
        <is>
          <t>1987-12-08</t>
        </is>
      </c>
      <c r="Z1296" t="inlineStr">
        <is>
          <t>1987-12-08</t>
        </is>
      </c>
      <c r="AA1296" t="n">
        <v>55</v>
      </c>
      <c r="AB1296" t="n">
        <v>47</v>
      </c>
      <c r="AC1296" t="n">
        <v>107</v>
      </c>
      <c r="AD1296" t="n">
        <v>1</v>
      </c>
      <c r="AE1296" t="n">
        <v>1</v>
      </c>
      <c r="AF1296" t="n">
        <v>1</v>
      </c>
      <c r="AG1296" t="n">
        <v>1</v>
      </c>
      <c r="AH1296" t="n">
        <v>0</v>
      </c>
      <c r="AI1296" t="n">
        <v>0</v>
      </c>
      <c r="AJ1296" t="n">
        <v>0</v>
      </c>
      <c r="AK1296" t="n">
        <v>0</v>
      </c>
      <c r="AL1296" t="n">
        <v>1</v>
      </c>
      <c r="AM1296" t="n">
        <v>1</v>
      </c>
      <c r="AN1296" t="n">
        <v>0</v>
      </c>
      <c r="AO1296" t="n">
        <v>0</v>
      </c>
      <c r="AP1296" t="n">
        <v>0</v>
      </c>
      <c r="AQ1296" t="n">
        <v>0</v>
      </c>
      <c r="AR1296" t="inlineStr">
        <is>
          <t>No</t>
        </is>
      </c>
      <c r="AS1296" t="inlineStr">
        <is>
          <t>Yes</t>
        </is>
      </c>
      <c r="AT1296">
        <f>HYPERLINK("http://catalog.hathitrust.org/Record/000225868","HathiTrust Record")</f>
        <v/>
      </c>
      <c r="AU1296">
        <f>HYPERLINK("https://creighton-primo.hosted.exlibrisgroup.com/primo-explore/search?tab=default_tab&amp;search_scope=EVERYTHING&amp;vid=01CRU&amp;lang=en_US&amp;offset=0&amp;query=any,contains,991001520279702656","Catalog Record")</f>
        <v/>
      </c>
      <c r="AV1296">
        <f>HYPERLINK("http://www.worldcat.org/oclc/7275736","WorldCat Record")</f>
        <v/>
      </c>
      <c r="AW1296" t="inlineStr">
        <is>
          <t>26126481:eng</t>
        </is>
      </c>
      <c r="AX1296" t="inlineStr">
        <is>
          <t>7275736</t>
        </is>
      </c>
      <c r="AY1296" t="inlineStr">
        <is>
          <t>991001520279702656</t>
        </is>
      </c>
      <c r="AZ1296" t="inlineStr">
        <is>
          <t>991001520279702656</t>
        </is>
      </c>
      <c r="BA1296" t="inlineStr">
        <is>
          <t>2263658730002656</t>
        </is>
      </c>
      <c r="BB1296" t="inlineStr">
        <is>
          <t>BOOK</t>
        </is>
      </c>
      <c r="BE1296" t="inlineStr">
        <is>
          <t>30001000602419</t>
        </is>
      </c>
      <c r="BF1296" t="inlineStr">
        <is>
          <t>893736677</t>
        </is>
      </c>
    </row>
    <row r="1297">
      <c r="A1297" t="inlineStr">
        <is>
          <t>No</t>
        </is>
      </c>
      <c r="B1297" t="inlineStr">
        <is>
          <t>CUHSL</t>
        </is>
      </c>
      <c r="C1297" t="inlineStr">
        <is>
          <t>SHELVES</t>
        </is>
      </c>
      <c r="D1297" t="inlineStr">
        <is>
          <t>WY 128 O99w 1975</t>
        </is>
      </c>
      <c r="E1297" t="inlineStr">
        <is>
          <t>0                      WY 0128000O  99w         1975</t>
        </is>
      </c>
      <c r="F1297" t="inlineStr">
        <is>
          <t>Who is the nurse practitioner? / Dorothy Ozimek, Helen Yura.</t>
        </is>
      </c>
      <c r="H1297" t="inlineStr">
        <is>
          <t>No</t>
        </is>
      </c>
      <c r="I1297" t="inlineStr">
        <is>
          <t>1</t>
        </is>
      </c>
      <c r="J1297" t="inlineStr">
        <is>
          <t>No</t>
        </is>
      </c>
      <c r="K1297" t="inlineStr">
        <is>
          <t>No</t>
        </is>
      </c>
      <c r="L1297" t="inlineStr">
        <is>
          <t>0</t>
        </is>
      </c>
      <c r="M1297" t="inlineStr">
        <is>
          <t>Ozimek, Dorothy.</t>
        </is>
      </c>
      <c r="N1297" t="inlineStr">
        <is>
          <t>New York : Dept. of Baccalaureate and Higher Degree Programs, National League for Nursing, 1975.</t>
        </is>
      </c>
      <c r="O1297" t="inlineStr">
        <is>
          <t>1975</t>
        </is>
      </c>
      <c r="Q1297" t="inlineStr">
        <is>
          <t>eng</t>
        </is>
      </c>
      <c r="R1297" t="inlineStr">
        <is>
          <t xml:space="preserve">xx </t>
        </is>
      </c>
      <c r="S1297" t="inlineStr">
        <is>
          <t>NLN pub. no. 15-1555</t>
        </is>
      </c>
      <c r="T1297" t="inlineStr">
        <is>
          <t xml:space="preserve">WY </t>
        </is>
      </c>
      <c r="U1297" t="n">
        <v>4</v>
      </c>
      <c r="V1297" t="n">
        <v>4</v>
      </c>
      <c r="W1297" t="inlineStr">
        <is>
          <t>1991-08-08</t>
        </is>
      </c>
      <c r="X1297" t="inlineStr">
        <is>
          <t>1991-08-08</t>
        </is>
      </c>
      <c r="Y1297" t="inlineStr">
        <is>
          <t>1987-10-21</t>
        </is>
      </c>
      <c r="Z1297" t="inlineStr">
        <is>
          <t>1987-10-21</t>
        </is>
      </c>
      <c r="AA1297" t="n">
        <v>45</v>
      </c>
      <c r="AB1297" t="n">
        <v>45</v>
      </c>
      <c r="AC1297" t="n">
        <v>45</v>
      </c>
      <c r="AD1297" t="n">
        <v>1</v>
      </c>
      <c r="AE1297" t="n">
        <v>1</v>
      </c>
      <c r="AF1297" t="n">
        <v>2</v>
      </c>
      <c r="AG1297" t="n">
        <v>2</v>
      </c>
      <c r="AH1297" t="n">
        <v>0</v>
      </c>
      <c r="AI1297" t="n">
        <v>0</v>
      </c>
      <c r="AJ1297" t="n">
        <v>0</v>
      </c>
      <c r="AK1297" t="n">
        <v>0</v>
      </c>
      <c r="AL1297" t="n">
        <v>2</v>
      </c>
      <c r="AM1297" t="n">
        <v>2</v>
      </c>
      <c r="AN1297" t="n">
        <v>0</v>
      </c>
      <c r="AO1297" t="n">
        <v>0</v>
      </c>
      <c r="AP1297" t="n">
        <v>0</v>
      </c>
      <c r="AQ1297" t="n">
        <v>0</v>
      </c>
      <c r="AR1297" t="inlineStr">
        <is>
          <t>No</t>
        </is>
      </c>
      <c r="AS1297" t="inlineStr">
        <is>
          <t>No</t>
        </is>
      </c>
      <c r="AU1297">
        <f>HYPERLINK("https://creighton-primo.hosted.exlibrisgroup.com/primo-explore/search?tab=default_tab&amp;search_scope=EVERYTHING&amp;vid=01CRU&amp;lang=en_US&amp;offset=0&amp;query=any,contains,991001368709702656","Catalog Record")</f>
        <v/>
      </c>
      <c r="AV1297">
        <f>HYPERLINK("http://www.worldcat.org/oclc/1471745","WorldCat Record")</f>
        <v/>
      </c>
      <c r="AW1297" t="inlineStr">
        <is>
          <t>2351315:eng</t>
        </is>
      </c>
      <c r="AX1297" t="inlineStr">
        <is>
          <t>1471745</t>
        </is>
      </c>
      <c r="AY1297" t="inlineStr">
        <is>
          <t>991001368709702656</t>
        </is>
      </c>
      <c r="AZ1297" t="inlineStr">
        <is>
          <t>991001368709702656</t>
        </is>
      </c>
      <c r="BA1297" t="inlineStr">
        <is>
          <t>2255530660002656</t>
        </is>
      </c>
      <c r="BB1297" t="inlineStr">
        <is>
          <t>BOOK</t>
        </is>
      </c>
      <c r="BE1297" t="inlineStr">
        <is>
          <t>30001000461535</t>
        </is>
      </c>
      <c r="BF1297" t="inlineStr">
        <is>
          <t>893731948</t>
        </is>
      </c>
    </row>
    <row r="1298">
      <c r="A1298" t="inlineStr">
        <is>
          <t>No</t>
        </is>
      </c>
      <c r="B1298" t="inlineStr">
        <is>
          <t>CUHSL</t>
        </is>
      </c>
      <c r="C1298" t="inlineStr">
        <is>
          <t>SHELVES</t>
        </is>
      </c>
      <c r="D1298" t="inlineStr">
        <is>
          <t>WY 128 P123c 1971</t>
        </is>
      </c>
      <c r="E1298" t="inlineStr">
        <is>
          <t>0                      WY 0128000P  123c        1971</t>
        </is>
      </c>
      <c r="F1298" t="inlineStr">
        <is>
          <t>The clinical nurse specialist : an experiment in role effectiveness and role development : final project report / prepared by Geraldine V. Padilla, Veronica E. Baker, William G. Crary ; Rachel Ayers, principal investigator.</t>
        </is>
      </c>
      <c r="H1298" t="inlineStr">
        <is>
          <t>No</t>
        </is>
      </c>
      <c r="I1298" t="inlineStr">
        <is>
          <t>1</t>
        </is>
      </c>
      <c r="J1298" t="inlineStr">
        <is>
          <t>No</t>
        </is>
      </c>
      <c r="K1298" t="inlineStr">
        <is>
          <t>No</t>
        </is>
      </c>
      <c r="L1298" t="inlineStr">
        <is>
          <t>0</t>
        </is>
      </c>
      <c r="M1298" t="inlineStr">
        <is>
          <t>Padilla, Geraldine V.</t>
        </is>
      </c>
      <c r="N1298" t="inlineStr">
        <is>
          <t>Duarte, Calif. : City of Hope Medical Center, 1971.</t>
        </is>
      </c>
      <c r="O1298" t="inlineStr">
        <is>
          <t>1971</t>
        </is>
      </c>
      <c r="Q1298" t="inlineStr">
        <is>
          <t>eng</t>
        </is>
      </c>
      <c r="R1298" t="inlineStr">
        <is>
          <t>xxu</t>
        </is>
      </c>
      <c r="T1298" t="inlineStr">
        <is>
          <t xml:space="preserve">WY </t>
        </is>
      </c>
      <c r="U1298" t="n">
        <v>4</v>
      </c>
      <c r="V1298" t="n">
        <v>4</v>
      </c>
      <c r="W1298" t="inlineStr">
        <is>
          <t>1997-08-11</t>
        </is>
      </c>
      <c r="X1298" t="inlineStr">
        <is>
          <t>1997-08-11</t>
        </is>
      </c>
      <c r="Y1298" t="inlineStr">
        <is>
          <t>1987-12-30</t>
        </is>
      </c>
      <c r="Z1298" t="inlineStr">
        <is>
          <t>1987-12-30</t>
        </is>
      </c>
      <c r="AA1298" t="n">
        <v>27</v>
      </c>
      <c r="AB1298" t="n">
        <v>25</v>
      </c>
      <c r="AC1298" t="n">
        <v>40</v>
      </c>
      <c r="AD1298" t="n">
        <v>1</v>
      </c>
      <c r="AE1298" t="n">
        <v>1</v>
      </c>
      <c r="AF1298" t="n">
        <v>1</v>
      </c>
      <c r="AG1298" t="n">
        <v>2</v>
      </c>
      <c r="AH1298" t="n">
        <v>0</v>
      </c>
      <c r="AI1298" t="n">
        <v>0</v>
      </c>
      <c r="AJ1298" t="n">
        <v>0</v>
      </c>
      <c r="AK1298" t="n">
        <v>1</v>
      </c>
      <c r="AL1298" t="n">
        <v>1</v>
      </c>
      <c r="AM1298" t="n">
        <v>2</v>
      </c>
      <c r="AN1298" t="n">
        <v>0</v>
      </c>
      <c r="AO1298" t="n">
        <v>0</v>
      </c>
      <c r="AP1298" t="n">
        <v>0</v>
      </c>
      <c r="AQ1298" t="n">
        <v>0</v>
      </c>
      <c r="AR1298" t="inlineStr">
        <is>
          <t>No</t>
        </is>
      </c>
      <c r="AS1298" t="inlineStr">
        <is>
          <t>No</t>
        </is>
      </c>
      <c r="AU1298">
        <f>HYPERLINK("https://creighton-primo.hosted.exlibrisgroup.com/primo-explore/search?tab=default_tab&amp;search_scope=EVERYTHING&amp;vid=01CRU&amp;lang=en_US&amp;offset=0&amp;query=any,contains,991001084739702656","Catalog Record")</f>
        <v/>
      </c>
      <c r="AV1298">
        <f>HYPERLINK("http://www.worldcat.org/oclc/6625255","WorldCat Record")</f>
        <v/>
      </c>
      <c r="AW1298" t="inlineStr">
        <is>
          <t>31389105:eng</t>
        </is>
      </c>
      <c r="AX1298" t="inlineStr">
        <is>
          <t>6625255</t>
        </is>
      </c>
      <c r="AY1298" t="inlineStr">
        <is>
          <t>991001084739702656</t>
        </is>
      </c>
      <c r="AZ1298" t="inlineStr">
        <is>
          <t>991001084739702656</t>
        </is>
      </c>
      <c r="BA1298" t="inlineStr">
        <is>
          <t>2255583020002656</t>
        </is>
      </c>
      <c r="BB1298" t="inlineStr">
        <is>
          <t>BOOK</t>
        </is>
      </c>
      <c r="BE1298" t="inlineStr">
        <is>
          <t>30001000258659</t>
        </is>
      </c>
      <c r="BF1298" t="inlineStr">
        <is>
          <t>893637989</t>
        </is>
      </c>
    </row>
    <row r="1299">
      <c r="A1299" t="inlineStr">
        <is>
          <t>No</t>
        </is>
      </c>
      <c r="B1299" t="inlineStr">
        <is>
          <t>CUHSL</t>
        </is>
      </c>
      <c r="C1299" t="inlineStr">
        <is>
          <t>SHELVES</t>
        </is>
      </c>
      <c r="D1299" t="inlineStr">
        <is>
          <t>WY 128 R746 1986</t>
        </is>
      </c>
      <c r="E1299" t="inlineStr">
        <is>
          <t>0                      WY 0128000R  746         1986</t>
        </is>
      </c>
      <c r="F1299" t="inlineStr">
        <is>
          <t>The Role of the clinical nurse specialist / [developed by the Council of Clinical Nurse Specialists, American Nurses' Association].</t>
        </is>
      </c>
      <c r="H1299" t="inlineStr">
        <is>
          <t>No</t>
        </is>
      </c>
      <c r="I1299" t="inlineStr">
        <is>
          <t>1</t>
        </is>
      </c>
      <c r="J1299" t="inlineStr">
        <is>
          <t>No</t>
        </is>
      </c>
      <c r="K1299" t="inlineStr">
        <is>
          <t>No</t>
        </is>
      </c>
      <c r="L1299" t="inlineStr">
        <is>
          <t>0</t>
        </is>
      </c>
      <c r="N1299" t="inlineStr">
        <is>
          <t>Kansas City, Mo. : American Nurses' Association, c1986.</t>
        </is>
      </c>
      <c r="O1299" t="inlineStr">
        <is>
          <t>1986</t>
        </is>
      </c>
      <c r="Q1299" t="inlineStr">
        <is>
          <t>eng</t>
        </is>
      </c>
      <c r="R1299" t="inlineStr">
        <is>
          <t>xxu</t>
        </is>
      </c>
      <c r="S1299" t="inlineStr">
        <is>
          <t>ANA pub ; no. NP-70</t>
        </is>
      </c>
      <c r="T1299" t="inlineStr">
        <is>
          <t xml:space="preserve">WY </t>
        </is>
      </c>
      <c r="U1299" t="n">
        <v>11</v>
      </c>
      <c r="V1299" t="n">
        <v>11</v>
      </c>
      <c r="W1299" t="inlineStr">
        <is>
          <t>2006-03-21</t>
        </is>
      </c>
      <c r="X1299" t="inlineStr">
        <is>
          <t>2006-03-21</t>
        </is>
      </c>
      <c r="Y1299" t="inlineStr">
        <is>
          <t>1987-12-10</t>
        </is>
      </c>
      <c r="Z1299" t="inlineStr">
        <is>
          <t>1987-12-10</t>
        </is>
      </c>
      <c r="AA1299" t="n">
        <v>11</v>
      </c>
      <c r="AB1299" t="n">
        <v>6</v>
      </c>
      <c r="AC1299" t="n">
        <v>6</v>
      </c>
      <c r="AD1299" t="n">
        <v>1</v>
      </c>
      <c r="AE1299" t="n">
        <v>1</v>
      </c>
      <c r="AF1299" t="n">
        <v>0</v>
      </c>
      <c r="AG1299" t="n">
        <v>0</v>
      </c>
      <c r="AH1299" t="n">
        <v>0</v>
      </c>
      <c r="AI1299" t="n">
        <v>0</v>
      </c>
      <c r="AJ1299" t="n">
        <v>0</v>
      </c>
      <c r="AK1299" t="n">
        <v>0</v>
      </c>
      <c r="AL1299" t="n">
        <v>0</v>
      </c>
      <c r="AM1299" t="n">
        <v>0</v>
      </c>
      <c r="AN1299" t="n">
        <v>0</v>
      </c>
      <c r="AO1299" t="n">
        <v>0</v>
      </c>
      <c r="AP1299" t="n">
        <v>0</v>
      </c>
      <c r="AQ1299" t="n">
        <v>0</v>
      </c>
      <c r="AR1299" t="inlineStr">
        <is>
          <t>No</t>
        </is>
      </c>
      <c r="AS1299" t="inlineStr">
        <is>
          <t>No</t>
        </is>
      </c>
      <c r="AU1299">
        <f>HYPERLINK("https://creighton-primo.hosted.exlibrisgroup.com/primo-explore/search?tab=default_tab&amp;search_scope=EVERYTHING&amp;vid=01CRU&amp;lang=en_US&amp;offset=0&amp;query=any,contains,991001519669702656","Catalog Record")</f>
        <v/>
      </c>
      <c r="AV1299">
        <f>HYPERLINK("http://www.worldcat.org/oclc/20756946","WorldCat Record")</f>
        <v/>
      </c>
      <c r="AW1299" t="inlineStr">
        <is>
          <t>3768985605:eng</t>
        </is>
      </c>
      <c r="AX1299" t="inlineStr">
        <is>
          <t>20756946</t>
        </is>
      </c>
      <c r="AY1299" t="inlineStr">
        <is>
          <t>991001519669702656</t>
        </is>
      </c>
      <c r="AZ1299" t="inlineStr">
        <is>
          <t>991001519669702656</t>
        </is>
      </c>
      <c r="BA1299" t="inlineStr">
        <is>
          <t>2272278050002656</t>
        </is>
      </c>
      <c r="BB1299" t="inlineStr">
        <is>
          <t>BOOK</t>
        </is>
      </c>
      <c r="BE1299" t="inlineStr">
        <is>
          <t>30001000602203</t>
        </is>
      </c>
      <c r="BF1299" t="inlineStr">
        <is>
          <t>893816491</t>
        </is>
      </c>
    </row>
    <row r="1300">
      <c r="A1300" t="inlineStr">
        <is>
          <t>No</t>
        </is>
      </c>
      <c r="B1300" t="inlineStr">
        <is>
          <t>CUHSL</t>
        </is>
      </c>
      <c r="C1300" t="inlineStr">
        <is>
          <t>SHELVES</t>
        </is>
      </c>
      <c r="D1300" t="inlineStr">
        <is>
          <t>WY 128 S422 1985</t>
        </is>
      </c>
      <c r="E1300" t="inlineStr">
        <is>
          <t>0                      WY 0128000S  422         1985</t>
        </is>
      </c>
      <c r="F1300" t="inlineStr">
        <is>
          <t>The Scope of practice of the primary health care nurse practitioner / American Nurses' Association, Council of Primary Health Care Nurse Practitioners.</t>
        </is>
      </c>
      <c r="H1300" t="inlineStr">
        <is>
          <t>No</t>
        </is>
      </c>
      <c r="I1300" t="inlineStr">
        <is>
          <t>1</t>
        </is>
      </c>
      <c r="J1300" t="inlineStr">
        <is>
          <t>No</t>
        </is>
      </c>
      <c r="K1300" t="inlineStr">
        <is>
          <t>No</t>
        </is>
      </c>
      <c r="L1300" t="inlineStr">
        <is>
          <t>0</t>
        </is>
      </c>
      <c r="N1300" t="inlineStr">
        <is>
          <t>Kansas City, Mo. (2420 Pershing Rd., Kansas City 64108) : American Nurses' Association, c1985.</t>
        </is>
      </c>
      <c r="O1300" t="inlineStr">
        <is>
          <t>1985</t>
        </is>
      </c>
      <c r="Q1300" t="inlineStr">
        <is>
          <t>eng</t>
        </is>
      </c>
      <c r="R1300" t="inlineStr">
        <is>
          <t>xxu</t>
        </is>
      </c>
      <c r="S1300" t="inlineStr">
        <is>
          <t>ANA pub ; no. NP-61</t>
        </is>
      </c>
      <c r="T1300" t="inlineStr">
        <is>
          <t xml:space="preserve">WY </t>
        </is>
      </c>
      <c r="U1300" t="n">
        <v>9</v>
      </c>
      <c r="V1300" t="n">
        <v>9</v>
      </c>
      <c r="W1300" t="inlineStr">
        <is>
          <t>2006-03-21</t>
        </is>
      </c>
      <c r="X1300" t="inlineStr">
        <is>
          <t>2006-03-21</t>
        </is>
      </c>
      <c r="Y1300" t="inlineStr">
        <is>
          <t>1987-12-10</t>
        </is>
      </c>
      <c r="Z1300" t="inlineStr">
        <is>
          <t>1987-12-10</t>
        </is>
      </c>
      <c r="AA1300" t="n">
        <v>125</v>
      </c>
      <c r="AB1300" t="n">
        <v>115</v>
      </c>
      <c r="AC1300" t="n">
        <v>126</v>
      </c>
      <c r="AD1300" t="n">
        <v>2</v>
      </c>
      <c r="AE1300" t="n">
        <v>2</v>
      </c>
      <c r="AF1300" t="n">
        <v>3</v>
      </c>
      <c r="AG1300" t="n">
        <v>3</v>
      </c>
      <c r="AH1300" t="n">
        <v>1</v>
      </c>
      <c r="AI1300" t="n">
        <v>1</v>
      </c>
      <c r="AJ1300" t="n">
        <v>0</v>
      </c>
      <c r="AK1300" t="n">
        <v>0</v>
      </c>
      <c r="AL1300" t="n">
        <v>2</v>
      </c>
      <c r="AM1300" t="n">
        <v>2</v>
      </c>
      <c r="AN1300" t="n">
        <v>0</v>
      </c>
      <c r="AO1300" t="n">
        <v>0</v>
      </c>
      <c r="AP1300" t="n">
        <v>0</v>
      </c>
      <c r="AQ1300" t="n">
        <v>0</v>
      </c>
      <c r="AR1300" t="inlineStr">
        <is>
          <t>No</t>
        </is>
      </c>
      <c r="AS1300" t="inlineStr">
        <is>
          <t>Yes</t>
        </is>
      </c>
      <c r="AT1300">
        <f>HYPERLINK("http://catalog.hathitrust.org/Record/000668918","HathiTrust Record")</f>
        <v/>
      </c>
      <c r="AU1300">
        <f>HYPERLINK("https://creighton-primo.hosted.exlibrisgroup.com/primo-explore/search?tab=default_tab&amp;search_scope=EVERYTHING&amp;vid=01CRU&amp;lang=en_US&amp;offset=0&amp;query=any,contains,991001329459702656","Catalog Record")</f>
        <v/>
      </c>
      <c r="AV1300">
        <f>HYPERLINK("http://www.worldcat.org/oclc/12972940","WorldCat Record")</f>
        <v/>
      </c>
      <c r="AW1300" t="inlineStr">
        <is>
          <t>5609042:eng</t>
        </is>
      </c>
      <c r="AX1300" t="inlineStr">
        <is>
          <t>12972940</t>
        </is>
      </c>
      <c r="AY1300" t="inlineStr">
        <is>
          <t>991001329459702656</t>
        </is>
      </c>
      <c r="AZ1300" t="inlineStr">
        <is>
          <t>991001329459702656</t>
        </is>
      </c>
      <c r="BA1300" t="inlineStr">
        <is>
          <t>2256085620002656</t>
        </is>
      </c>
      <c r="BB1300" t="inlineStr">
        <is>
          <t>BOOK</t>
        </is>
      </c>
      <c r="BE1300" t="inlineStr">
        <is>
          <t>30001000421968</t>
        </is>
      </c>
      <c r="BF1300" t="inlineStr">
        <is>
          <t>893374445</t>
        </is>
      </c>
    </row>
    <row r="1301">
      <c r="A1301" t="inlineStr">
        <is>
          <t>No</t>
        </is>
      </c>
      <c r="B1301" t="inlineStr">
        <is>
          <t>CUHSL</t>
        </is>
      </c>
      <c r="C1301" t="inlineStr">
        <is>
          <t>SHELVES</t>
        </is>
      </c>
      <c r="D1301" t="inlineStr">
        <is>
          <t>WY 128 S764c 2002</t>
        </is>
      </c>
      <c r="E1301" t="inlineStr">
        <is>
          <t>0                      WY 0128000S  764c        2002</t>
        </is>
      </c>
      <c r="F1301" t="inlineStr">
        <is>
          <t>Critical practice management strategies for nurse practitioners / Susan Sportsman, Linda Hawley.</t>
        </is>
      </c>
      <c r="H1301" t="inlineStr">
        <is>
          <t>No</t>
        </is>
      </c>
      <c r="I1301" t="inlineStr">
        <is>
          <t>1</t>
        </is>
      </c>
      <c r="J1301" t="inlineStr">
        <is>
          <t>No</t>
        </is>
      </c>
      <c r="K1301" t="inlineStr">
        <is>
          <t>No</t>
        </is>
      </c>
      <c r="L1301" t="inlineStr">
        <is>
          <t>0</t>
        </is>
      </c>
      <c r="M1301" t="inlineStr">
        <is>
          <t>Sportsman, Susan.</t>
        </is>
      </c>
      <c r="N1301" t="inlineStr">
        <is>
          <t>Washington D.C. : American Nurses Association, 2002.</t>
        </is>
      </c>
      <c r="O1301" t="inlineStr">
        <is>
          <t>2002</t>
        </is>
      </c>
      <c r="Q1301" t="inlineStr">
        <is>
          <t>eng</t>
        </is>
      </c>
      <c r="R1301" t="inlineStr">
        <is>
          <t>dcu</t>
        </is>
      </c>
      <c r="S1301" t="inlineStr">
        <is>
          <t>ANA pub ; no. CPM22</t>
        </is>
      </c>
      <c r="T1301" t="inlineStr">
        <is>
          <t xml:space="preserve">WY </t>
        </is>
      </c>
      <c r="U1301" t="n">
        <v>1</v>
      </c>
      <c r="V1301" t="n">
        <v>1</v>
      </c>
      <c r="W1301" t="inlineStr">
        <is>
          <t>2005-04-03</t>
        </is>
      </c>
      <c r="X1301" t="inlineStr">
        <is>
          <t>2005-04-03</t>
        </is>
      </c>
      <c r="Y1301" t="inlineStr">
        <is>
          <t>2003-01-09</t>
        </is>
      </c>
      <c r="Z1301" t="inlineStr">
        <is>
          <t>2003-01-09</t>
        </is>
      </c>
      <c r="AA1301" t="n">
        <v>143</v>
      </c>
      <c r="AB1301" t="n">
        <v>140</v>
      </c>
      <c r="AC1301" t="n">
        <v>142</v>
      </c>
      <c r="AD1301" t="n">
        <v>2</v>
      </c>
      <c r="AE1301" t="n">
        <v>2</v>
      </c>
      <c r="AF1301" t="n">
        <v>9</v>
      </c>
      <c r="AG1301" t="n">
        <v>9</v>
      </c>
      <c r="AH1301" t="n">
        <v>4</v>
      </c>
      <c r="AI1301" t="n">
        <v>4</v>
      </c>
      <c r="AJ1301" t="n">
        <v>1</v>
      </c>
      <c r="AK1301" t="n">
        <v>1</v>
      </c>
      <c r="AL1301" t="n">
        <v>6</v>
      </c>
      <c r="AM1301" t="n">
        <v>6</v>
      </c>
      <c r="AN1301" t="n">
        <v>0</v>
      </c>
      <c r="AO1301" t="n">
        <v>0</v>
      </c>
      <c r="AP1301" t="n">
        <v>0</v>
      </c>
      <c r="AQ1301" t="n">
        <v>0</v>
      </c>
      <c r="AR1301" t="inlineStr">
        <is>
          <t>No</t>
        </is>
      </c>
      <c r="AS1301" t="inlineStr">
        <is>
          <t>Yes</t>
        </is>
      </c>
      <c r="AT1301">
        <f>HYPERLINK("http://catalog.hathitrust.org/Record/004345472","HathiTrust Record")</f>
        <v/>
      </c>
      <c r="AU1301">
        <f>HYPERLINK("https://creighton-primo.hosted.exlibrisgroup.com/primo-explore/search?tab=default_tab&amp;search_scope=EVERYTHING&amp;vid=01CRU&amp;lang=en_US&amp;offset=0&amp;query=any,contains,991000334179702656","Catalog Record")</f>
        <v/>
      </c>
      <c r="AV1301">
        <f>HYPERLINK("http://www.worldcat.org/oclc/50554320","WorldCat Record")</f>
        <v/>
      </c>
      <c r="AW1301" t="inlineStr">
        <is>
          <t>6042199:eng</t>
        </is>
      </c>
      <c r="AX1301" t="inlineStr">
        <is>
          <t>50554320</t>
        </is>
      </c>
      <c r="AY1301" t="inlineStr">
        <is>
          <t>991000334179702656</t>
        </is>
      </c>
      <c r="AZ1301" t="inlineStr">
        <is>
          <t>991000334179702656</t>
        </is>
      </c>
      <c r="BA1301" t="inlineStr">
        <is>
          <t>2255927990002656</t>
        </is>
      </c>
      <c r="BB1301" t="inlineStr">
        <is>
          <t>BOOK</t>
        </is>
      </c>
      <c r="BD1301" t="inlineStr">
        <is>
          <t>9781558102040</t>
        </is>
      </c>
      <c r="BE1301" t="inlineStr">
        <is>
          <t>30001004603629</t>
        </is>
      </c>
      <c r="BF1301" t="inlineStr">
        <is>
          <t>893122996</t>
        </is>
      </c>
    </row>
    <row r="1302">
      <c r="A1302" t="inlineStr">
        <is>
          <t>No</t>
        </is>
      </c>
      <c r="B1302" t="inlineStr">
        <is>
          <t>CUHSL</t>
        </is>
      </c>
      <c r="C1302" t="inlineStr">
        <is>
          <t>SHELVES</t>
        </is>
      </c>
      <c r="D1302" t="inlineStr">
        <is>
          <t>WY 128 Y42d 1981</t>
        </is>
      </c>
      <c r="E1302" t="inlineStr">
        <is>
          <t>0                      WY 0128000Y  42d         1981</t>
        </is>
      </c>
      <c r="F1302" t="inlineStr">
        <is>
          <t>Delivering primary health care : nurse practitioners at work / Michael J. Ydidia.</t>
        </is>
      </c>
      <c r="H1302" t="inlineStr">
        <is>
          <t>No</t>
        </is>
      </c>
      <c r="I1302" t="inlineStr">
        <is>
          <t>1</t>
        </is>
      </c>
      <c r="J1302" t="inlineStr">
        <is>
          <t>No</t>
        </is>
      </c>
      <c r="K1302" t="inlineStr">
        <is>
          <t>No</t>
        </is>
      </c>
      <c r="L1302" t="inlineStr">
        <is>
          <t>0</t>
        </is>
      </c>
      <c r="M1302" t="inlineStr">
        <is>
          <t>Yedidia, Michael J., 1946-</t>
        </is>
      </c>
      <c r="N1302" t="inlineStr">
        <is>
          <t>Boston : Auburn House Pub. Co., c1981.</t>
        </is>
      </c>
      <c r="O1302" t="inlineStr">
        <is>
          <t>1981</t>
        </is>
      </c>
      <c r="Q1302" t="inlineStr">
        <is>
          <t>eng</t>
        </is>
      </c>
      <c r="R1302" t="inlineStr">
        <is>
          <t>xxu</t>
        </is>
      </c>
      <c r="T1302" t="inlineStr">
        <is>
          <t xml:space="preserve">WY </t>
        </is>
      </c>
      <c r="U1302" t="n">
        <v>4</v>
      </c>
      <c r="V1302" t="n">
        <v>4</v>
      </c>
      <c r="W1302" t="inlineStr">
        <is>
          <t>1993-08-14</t>
        </is>
      </c>
      <c r="X1302" t="inlineStr">
        <is>
          <t>1993-08-14</t>
        </is>
      </c>
      <c r="Y1302" t="inlineStr">
        <is>
          <t>1987-12-30</t>
        </is>
      </c>
      <c r="Z1302" t="inlineStr">
        <is>
          <t>1987-12-30</t>
        </is>
      </c>
      <c r="AA1302" t="n">
        <v>225</v>
      </c>
      <c r="AB1302" t="n">
        <v>183</v>
      </c>
      <c r="AC1302" t="n">
        <v>185</v>
      </c>
      <c r="AD1302" t="n">
        <v>2</v>
      </c>
      <c r="AE1302" t="n">
        <v>2</v>
      </c>
      <c r="AF1302" t="n">
        <v>7</v>
      </c>
      <c r="AG1302" t="n">
        <v>7</v>
      </c>
      <c r="AH1302" t="n">
        <v>1</v>
      </c>
      <c r="AI1302" t="n">
        <v>1</v>
      </c>
      <c r="AJ1302" t="n">
        <v>2</v>
      </c>
      <c r="AK1302" t="n">
        <v>2</v>
      </c>
      <c r="AL1302" t="n">
        <v>4</v>
      </c>
      <c r="AM1302" t="n">
        <v>4</v>
      </c>
      <c r="AN1302" t="n">
        <v>1</v>
      </c>
      <c r="AO1302" t="n">
        <v>1</v>
      </c>
      <c r="AP1302" t="n">
        <v>0</v>
      </c>
      <c r="AQ1302" t="n">
        <v>0</v>
      </c>
      <c r="AR1302" t="inlineStr">
        <is>
          <t>No</t>
        </is>
      </c>
      <c r="AS1302" t="inlineStr">
        <is>
          <t>Yes</t>
        </is>
      </c>
      <c r="AT1302">
        <f>HYPERLINK("http://catalog.hathitrust.org/Record/000308104","HathiTrust Record")</f>
        <v/>
      </c>
      <c r="AU1302">
        <f>HYPERLINK("https://creighton-primo.hosted.exlibrisgroup.com/primo-explore/search?tab=default_tab&amp;search_scope=EVERYTHING&amp;vid=01CRU&amp;lang=en_US&amp;offset=0&amp;query=any,contains,991001084849702656","Catalog Record")</f>
        <v/>
      </c>
      <c r="AV1302">
        <f>HYPERLINK("http://www.worldcat.org/oclc/7275939","WorldCat Record")</f>
        <v/>
      </c>
      <c r="AW1302" t="inlineStr">
        <is>
          <t>512434:eng</t>
        </is>
      </c>
      <c r="AX1302" t="inlineStr">
        <is>
          <t>7275939</t>
        </is>
      </c>
      <c r="AY1302" t="inlineStr">
        <is>
          <t>991001084849702656</t>
        </is>
      </c>
      <c r="AZ1302" t="inlineStr">
        <is>
          <t>991001084849702656</t>
        </is>
      </c>
      <c r="BA1302" t="inlineStr">
        <is>
          <t>2270713560002656</t>
        </is>
      </c>
      <c r="BB1302" t="inlineStr">
        <is>
          <t>BOOK</t>
        </is>
      </c>
      <c r="BD1302" t="inlineStr">
        <is>
          <t>9780865690752</t>
        </is>
      </c>
      <c r="BE1302" t="inlineStr">
        <is>
          <t>30001000258691</t>
        </is>
      </c>
      <c r="BF1302" t="inlineStr">
        <is>
          <t>893369091</t>
        </is>
      </c>
    </row>
    <row r="1303">
      <c r="A1303" t="inlineStr">
        <is>
          <t>No</t>
        </is>
      </c>
      <c r="B1303" t="inlineStr">
        <is>
          <t>CUHSL</t>
        </is>
      </c>
      <c r="C1303" t="inlineStr">
        <is>
          <t>SHELVES</t>
        </is>
      </c>
      <c r="D1303" t="inlineStr">
        <is>
          <t>WY 128 Z19c 1976</t>
        </is>
      </c>
      <c r="E1303" t="inlineStr">
        <is>
          <t>0                      WY 0128000Z  19c         1976</t>
        </is>
      </c>
      <c r="F1303" t="inlineStr">
        <is>
          <t>Creative Health Services : a model for group nursing practice / Rothlyn Zahourek, Dolores M. Leone, Frank J. Lang.</t>
        </is>
      </c>
      <c r="H1303" t="inlineStr">
        <is>
          <t>No</t>
        </is>
      </c>
      <c r="I1303" t="inlineStr">
        <is>
          <t>1</t>
        </is>
      </c>
      <c r="J1303" t="inlineStr">
        <is>
          <t>No</t>
        </is>
      </c>
      <c r="K1303" t="inlineStr">
        <is>
          <t>No</t>
        </is>
      </c>
      <c r="L1303" t="inlineStr">
        <is>
          <t>0</t>
        </is>
      </c>
      <c r="M1303" t="inlineStr">
        <is>
          <t>Zahourek, Rothlyn P., 1943-</t>
        </is>
      </c>
      <c r="N1303" t="inlineStr">
        <is>
          <t>Saint Louis : Mosby, 1976.</t>
        </is>
      </c>
      <c r="O1303" t="inlineStr">
        <is>
          <t>1976</t>
        </is>
      </c>
      <c r="Q1303" t="inlineStr">
        <is>
          <t>eng</t>
        </is>
      </c>
      <c r="R1303" t="inlineStr">
        <is>
          <t>mou</t>
        </is>
      </c>
      <c r="T1303" t="inlineStr">
        <is>
          <t xml:space="preserve">WY </t>
        </is>
      </c>
      <c r="U1303" t="n">
        <v>2</v>
      </c>
      <c r="V1303" t="n">
        <v>2</v>
      </c>
      <c r="W1303" t="inlineStr">
        <is>
          <t>1989-09-26</t>
        </is>
      </c>
      <c r="X1303" t="inlineStr">
        <is>
          <t>1989-09-26</t>
        </is>
      </c>
      <c r="Y1303" t="inlineStr">
        <is>
          <t>1987-12-30</t>
        </is>
      </c>
      <c r="Z1303" t="inlineStr">
        <is>
          <t>1987-12-30</t>
        </is>
      </c>
      <c r="AA1303" t="n">
        <v>155</v>
      </c>
      <c r="AB1303" t="n">
        <v>121</v>
      </c>
      <c r="AC1303" t="n">
        <v>123</v>
      </c>
      <c r="AD1303" t="n">
        <v>3</v>
      </c>
      <c r="AE1303" t="n">
        <v>3</v>
      </c>
      <c r="AF1303" t="n">
        <v>5</v>
      </c>
      <c r="AG1303" t="n">
        <v>5</v>
      </c>
      <c r="AH1303" t="n">
        <v>0</v>
      </c>
      <c r="AI1303" t="n">
        <v>0</v>
      </c>
      <c r="AJ1303" t="n">
        <v>1</v>
      </c>
      <c r="AK1303" t="n">
        <v>1</v>
      </c>
      <c r="AL1303" t="n">
        <v>2</v>
      </c>
      <c r="AM1303" t="n">
        <v>2</v>
      </c>
      <c r="AN1303" t="n">
        <v>2</v>
      </c>
      <c r="AO1303" t="n">
        <v>2</v>
      </c>
      <c r="AP1303" t="n">
        <v>0</v>
      </c>
      <c r="AQ1303" t="n">
        <v>0</v>
      </c>
      <c r="AR1303" t="inlineStr">
        <is>
          <t>No</t>
        </is>
      </c>
      <c r="AS1303" t="inlineStr">
        <is>
          <t>Yes</t>
        </is>
      </c>
      <c r="AT1303">
        <f>HYPERLINK("http://catalog.hathitrust.org/Record/000715573","HathiTrust Record")</f>
        <v/>
      </c>
      <c r="AU1303">
        <f>HYPERLINK("https://creighton-primo.hosted.exlibrisgroup.com/primo-explore/search?tab=default_tab&amp;search_scope=EVERYTHING&amp;vid=01CRU&amp;lang=en_US&amp;offset=0&amp;query=any,contains,991001084889702656","Catalog Record")</f>
        <v/>
      </c>
      <c r="AV1303">
        <f>HYPERLINK("http://www.worldcat.org/oclc/2298135","WorldCat Record")</f>
        <v/>
      </c>
      <c r="AW1303" t="inlineStr">
        <is>
          <t>4796104:eng</t>
        </is>
      </c>
      <c r="AX1303" t="inlineStr">
        <is>
          <t>2298135</t>
        </is>
      </c>
      <c r="AY1303" t="inlineStr">
        <is>
          <t>991001084889702656</t>
        </is>
      </c>
      <c r="AZ1303" t="inlineStr">
        <is>
          <t>991001084889702656</t>
        </is>
      </c>
      <c r="BA1303" t="inlineStr">
        <is>
          <t>2266108570002656</t>
        </is>
      </c>
      <c r="BB1303" t="inlineStr">
        <is>
          <t>BOOK</t>
        </is>
      </c>
      <c r="BD1303" t="inlineStr">
        <is>
          <t>9780801656736</t>
        </is>
      </c>
      <c r="BE1303" t="inlineStr">
        <is>
          <t>30001000258709</t>
        </is>
      </c>
      <c r="BF1303" t="inlineStr">
        <is>
          <t>893284368</t>
        </is>
      </c>
    </row>
    <row r="1304">
      <c r="A1304" t="inlineStr">
        <is>
          <t>No</t>
        </is>
      </c>
      <c r="B1304" t="inlineStr">
        <is>
          <t>CUHSL</t>
        </is>
      </c>
      <c r="C1304" t="inlineStr">
        <is>
          <t>SHELVES</t>
        </is>
      </c>
      <c r="D1304" t="inlineStr">
        <is>
          <t>WY 141 B879oa 1981</t>
        </is>
      </c>
      <c r="E1304" t="inlineStr">
        <is>
          <t>0                      WY 0141000B  879oa       1981</t>
        </is>
      </c>
      <c r="F1304" t="inlineStr">
        <is>
          <t>Occupational health nursing : principles and practices / Mary Louise Brown.</t>
        </is>
      </c>
      <c r="H1304" t="inlineStr">
        <is>
          <t>No</t>
        </is>
      </c>
      <c r="I1304" t="inlineStr">
        <is>
          <t>1</t>
        </is>
      </c>
      <c r="J1304" t="inlineStr">
        <is>
          <t>No</t>
        </is>
      </c>
      <c r="K1304" t="inlineStr">
        <is>
          <t>No</t>
        </is>
      </c>
      <c r="L1304" t="inlineStr">
        <is>
          <t>0</t>
        </is>
      </c>
      <c r="M1304" t="inlineStr">
        <is>
          <t>Brown, Mary Louise, 1916-</t>
        </is>
      </c>
      <c r="N1304" t="inlineStr">
        <is>
          <t>New York : Springer Pub. Co., c1981.</t>
        </is>
      </c>
      <c r="O1304" t="inlineStr">
        <is>
          <t>1981</t>
        </is>
      </c>
      <c r="Q1304" t="inlineStr">
        <is>
          <t>eng</t>
        </is>
      </c>
      <c r="R1304" t="inlineStr">
        <is>
          <t>nyu</t>
        </is>
      </c>
      <c r="T1304" t="inlineStr">
        <is>
          <t xml:space="preserve">WY </t>
        </is>
      </c>
      <c r="U1304" t="n">
        <v>1</v>
      </c>
      <c r="V1304" t="n">
        <v>1</v>
      </c>
      <c r="W1304" t="inlineStr">
        <is>
          <t>1993-11-19</t>
        </is>
      </c>
      <c r="X1304" t="inlineStr">
        <is>
          <t>1993-11-19</t>
        </is>
      </c>
      <c r="Y1304" t="inlineStr">
        <is>
          <t>1987-12-30</t>
        </is>
      </c>
      <c r="Z1304" t="inlineStr">
        <is>
          <t>1987-12-30</t>
        </is>
      </c>
      <c r="AA1304" t="n">
        <v>301</v>
      </c>
      <c r="AB1304" t="n">
        <v>242</v>
      </c>
      <c r="AC1304" t="n">
        <v>287</v>
      </c>
      <c r="AD1304" t="n">
        <v>3</v>
      </c>
      <c r="AE1304" t="n">
        <v>3</v>
      </c>
      <c r="AF1304" t="n">
        <v>9</v>
      </c>
      <c r="AG1304" t="n">
        <v>10</v>
      </c>
      <c r="AH1304" t="n">
        <v>2</v>
      </c>
      <c r="AI1304" t="n">
        <v>2</v>
      </c>
      <c r="AJ1304" t="n">
        <v>2</v>
      </c>
      <c r="AK1304" t="n">
        <v>3</v>
      </c>
      <c r="AL1304" t="n">
        <v>6</v>
      </c>
      <c r="AM1304" t="n">
        <v>7</v>
      </c>
      <c r="AN1304" t="n">
        <v>2</v>
      </c>
      <c r="AO1304" t="n">
        <v>2</v>
      </c>
      <c r="AP1304" t="n">
        <v>0</v>
      </c>
      <c r="AQ1304" t="n">
        <v>0</v>
      </c>
      <c r="AR1304" t="inlineStr">
        <is>
          <t>No</t>
        </is>
      </c>
      <c r="AS1304" t="inlineStr">
        <is>
          <t>Yes</t>
        </is>
      </c>
      <c r="AT1304">
        <f>HYPERLINK("http://catalog.hathitrust.org/Record/000262270","HathiTrust Record")</f>
        <v/>
      </c>
      <c r="AU1304">
        <f>HYPERLINK("https://creighton-primo.hosted.exlibrisgroup.com/primo-explore/search?tab=default_tab&amp;search_scope=EVERYTHING&amp;vid=01CRU&amp;lang=en_US&amp;offset=0&amp;query=any,contains,991001084939702656","Catalog Record")</f>
        <v/>
      </c>
      <c r="AV1304">
        <f>HYPERLINK("http://www.worldcat.org/oclc/6649076","WorldCat Record")</f>
        <v/>
      </c>
      <c r="AW1304" t="inlineStr">
        <is>
          <t>493041:eng</t>
        </is>
      </c>
      <c r="AX1304" t="inlineStr">
        <is>
          <t>6649076</t>
        </is>
      </c>
      <c r="AY1304" t="inlineStr">
        <is>
          <t>991001084939702656</t>
        </is>
      </c>
      <c r="AZ1304" t="inlineStr">
        <is>
          <t>991001084939702656</t>
        </is>
      </c>
      <c r="BA1304" t="inlineStr">
        <is>
          <t>2265926650002656</t>
        </is>
      </c>
      <c r="BB1304" t="inlineStr">
        <is>
          <t>BOOK</t>
        </is>
      </c>
      <c r="BD1304" t="inlineStr">
        <is>
          <t>9780826122506</t>
        </is>
      </c>
      <c r="BE1304" t="inlineStr">
        <is>
          <t>30001000258741</t>
        </is>
      </c>
      <c r="BF1304" t="inlineStr">
        <is>
          <t>893148852</t>
        </is>
      </c>
    </row>
    <row r="1305">
      <c r="A1305" t="inlineStr">
        <is>
          <t>No</t>
        </is>
      </c>
      <c r="B1305" t="inlineStr">
        <is>
          <t>CUHSL</t>
        </is>
      </c>
      <c r="C1305" t="inlineStr">
        <is>
          <t>SHELVES</t>
        </is>
      </c>
      <c r="D1305" t="inlineStr">
        <is>
          <t>WY 141 R724o 1994</t>
        </is>
      </c>
      <c r="E1305" t="inlineStr">
        <is>
          <t>0                      WY 0141000R  724o        1994</t>
        </is>
      </c>
      <c r="F1305" t="inlineStr">
        <is>
          <t>Occupational health nursing : concepts and practice / Bonnie Rogers.</t>
        </is>
      </c>
      <c r="H1305" t="inlineStr">
        <is>
          <t>No</t>
        </is>
      </c>
      <c r="I1305" t="inlineStr">
        <is>
          <t>1</t>
        </is>
      </c>
      <c r="J1305" t="inlineStr">
        <is>
          <t>No</t>
        </is>
      </c>
      <c r="K1305" t="inlineStr">
        <is>
          <t>Yes</t>
        </is>
      </c>
      <c r="L1305" t="inlineStr">
        <is>
          <t>0</t>
        </is>
      </c>
      <c r="M1305" t="inlineStr">
        <is>
          <t>Rogers, Bonnie.</t>
        </is>
      </c>
      <c r="N1305" t="inlineStr">
        <is>
          <t>Philadelphia : W.B. Saunders Co., c1994.</t>
        </is>
      </c>
      <c r="O1305" t="inlineStr">
        <is>
          <t>1994</t>
        </is>
      </c>
      <c r="Q1305" t="inlineStr">
        <is>
          <t>eng</t>
        </is>
      </c>
      <c r="R1305" t="inlineStr">
        <is>
          <t>pau</t>
        </is>
      </c>
      <c r="T1305" t="inlineStr">
        <is>
          <t xml:space="preserve">WY </t>
        </is>
      </c>
      <c r="U1305" t="n">
        <v>5</v>
      </c>
      <c r="V1305" t="n">
        <v>5</v>
      </c>
      <c r="W1305" t="inlineStr">
        <is>
          <t>1994-05-12</t>
        </is>
      </c>
      <c r="X1305" t="inlineStr">
        <is>
          <t>1994-05-12</t>
        </is>
      </c>
      <c r="Y1305" t="inlineStr">
        <is>
          <t>1994-05-05</t>
        </is>
      </c>
      <c r="Z1305" t="inlineStr">
        <is>
          <t>1994-05-05</t>
        </is>
      </c>
      <c r="AA1305" t="n">
        <v>356</v>
      </c>
      <c r="AB1305" t="n">
        <v>280</v>
      </c>
      <c r="AC1305" t="n">
        <v>468</v>
      </c>
      <c r="AD1305" t="n">
        <v>2</v>
      </c>
      <c r="AE1305" t="n">
        <v>2</v>
      </c>
      <c r="AF1305" t="n">
        <v>14</v>
      </c>
      <c r="AG1305" t="n">
        <v>18</v>
      </c>
      <c r="AH1305" t="n">
        <v>6</v>
      </c>
      <c r="AI1305" t="n">
        <v>6</v>
      </c>
      <c r="AJ1305" t="n">
        <v>3</v>
      </c>
      <c r="AK1305" t="n">
        <v>5</v>
      </c>
      <c r="AL1305" t="n">
        <v>9</v>
      </c>
      <c r="AM1305" t="n">
        <v>12</v>
      </c>
      <c r="AN1305" t="n">
        <v>1</v>
      </c>
      <c r="AO1305" t="n">
        <v>1</v>
      </c>
      <c r="AP1305" t="n">
        <v>0</v>
      </c>
      <c r="AQ1305" t="n">
        <v>0</v>
      </c>
      <c r="AR1305" t="inlineStr">
        <is>
          <t>No</t>
        </is>
      </c>
      <c r="AS1305" t="inlineStr">
        <is>
          <t>Yes</t>
        </is>
      </c>
      <c r="AT1305">
        <f>HYPERLINK("http://catalog.hathitrust.org/Record/002808580","HathiTrust Record")</f>
        <v/>
      </c>
      <c r="AU1305">
        <f>HYPERLINK("https://creighton-primo.hosted.exlibrisgroup.com/primo-explore/search?tab=default_tab&amp;search_scope=EVERYTHING&amp;vid=01CRU&amp;lang=en_US&amp;offset=0&amp;query=any,contains,991001196289702656","Catalog Record")</f>
        <v/>
      </c>
      <c r="AV1305">
        <f>HYPERLINK("http://www.worldcat.org/oclc/29564197","WorldCat Record")</f>
        <v/>
      </c>
      <c r="AW1305" t="inlineStr">
        <is>
          <t>476598608:eng</t>
        </is>
      </c>
      <c r="AX1305" t="inlineStr">
        <is>
          <t>29564197</t>
        </is>
      </c>
      <c r="AY1305" t="inlineStr">
        <is>
          <t>991001196289702656</t>
        </is>
      </c>
      <c r="AZ1305" t="inlineStr">
        <is>
          <t>991001196289702656</t>
        </is>
      </c>
      <c r="BA1305" t="inlineStr">
        <is>
          <t>2255648680002656</t>
        </is>
      </c>
      <c r="BB1305" t="inlineStr">
        <is>
          <t>BOOK</t>
        </is>
      </c>
      <c r="BD1305" t="inlineStr">
        <is>
          <t>9780721675886</t>
        </is>
      </c>
      <c r="BE1305" t="inlineStr">
        <is>
          <t>30001002984658</t>
        </is>
      </c>
      <c r="BF1305" t="inlineStr">
        <is>
          <t>893643300</t>
        </is>
      </c>
    </row>
    <row r="1306">
      <c r="A1306" t="inlineStr">
        <is>
          <t>No</t>
        </is>
      </c>
      <c r="B1306" t="inlineStr">
        <is>
          <t>CUHSL</t>
        </is>
      </c>
      <c r="C1306" t="inlineStr">
        <is>
          <t>SHELVES</t>
        </is>
      </c>
      <c r="D1306" t="inlineStr">
        <is>
          <t>WY141 R724ob 2003</t>
        </is>
      </c>
      <c r="E1306" t="inlineStr">
        <is>
          <t>0                      WY 0141000R  724ob       2003</t>
        </is>
      </c>
      <c r="F1306" t="inlineStr">
        <is>
          <t>Occupational and environmental health nursing : concepts and practice / Bonnie Rogers.</t>
        </is>
      </c>
      <c r="H1306" t="inlineStr">
        <is>
          <t>No</t>
        </is>
      </c>
      <c r="I1306" t="inlineStr">
        <is>
          <t>1</t>
        </is>
      </c>
      <c r="J1306" t="inlineStr">
        <is>
          <t>No</t>
        </is>
      </c>
      <c r="K1306" t="inlineStr">
        <is>
          <t>Yes</t>
        </is>
      </c>
      <c r="L1306" t="inlineStr">
        <is>
          <t>0</t>
        </is>
      </c>
      <c r="M1306" t="inlineStr">
        <is>
          <t>Rogers, Bonnie.</t>
        </is>
      </c>
      <c r="N1306" t="inlineStr">
        <is>
          <t>Philadelphia : Saunders, c2003.</t>
        </is>
      </c>
      <c r="O1306" t="inlineStr">
        <is>
          <t>2003</t>
        </is>
      </c>
      <c r="P1306" t="inlineStr">
        <is>
          <t>2nd ed.</t>
        </is>
      </c>
      <c r="Q1306" t="inlineStr">
        <is>
          <t>eng</t>
        </is>
      </c>
      <c r="R1306" t="inlineStr">
        <is>
          <t>pau</t>
        </is>
      </c>
      <c r="T1306" t="inlineStr">
        <is>
          <t xml:space="preserve">WY </t>
        </is>
      </c>
      <c r="U1306" t="n">
        <v>0</v>
      </c>
      <c r="V1306" t="n">
        <v>0</v>
      </c>
      <c r="W1306" t="inlineStr">
        <is>
          <t>2003-06-30</t>
        </is>
      </c>
      <c r="X1306" t="inlineStr">
        <is>
          <t>2003-06-30</t>
        </is>
      </c>
      <c r="Y1306" t="inlineStr">
        <is>
          <t>2003-06-30</t>
        </is>
      </c>
      <c r="Z1306" t="inlineStr">
        <is>
          <t>2003-06-30</t>
        </is>
      </c>
      <c r="AA1306" t="n">
        <v>376</v>
      </c>
      <c r="AB1306" t="n">
        <v>280</v>
      </c>
      <c r="AC1306" t="n">
        <v>468</v>
      </c>
      <c r="AD1306" t="n">
        <v>1</v>
      </c>
      <c r="AE1306" t="n">
        <v>2</v>
      </c>
      <c r="AF1306" t="n">
        <v>10</v>
      </c>
      <c r="AG1306" t="n">
        <v>18</v>
      </c>
      <c r="AH1306" t="n">
        <v>2</v>
      </c>
      <c r="AI1306" t="n">
        <v>6</v>
      </c>
      <c r="AJ1306" t="n">
        <v>4</v>
      </c>
      <c r="AK1306" t="n">
        <v>5</v>
      </c>
      <c r="AL1306" t="n">
        <v>7</v>
      </c>
      <c r="AM1306" t="n">
        <v>12</v>
      </c>
      <c r="AN1306" t="n">
        <v>0</v>
      </c>
      <c r="AO1306" t="n">
        <v>1</v>
      </c>
      <c r="AP1306" t="n">
        <v>0</v>
      </c>
      <c r="AQ1306" t="n">
        <v>0</v>
      </c>
      <c r="AR1306" t="inlineStr">
        <is>
          <t>No</t>
        </is>
      </c>
      <c r="AS1306" t="inlineStr">
        <is>
          <t>No</t>
        </is>
      </c>
      <c r="AU1306">
        <f>HYPERLINK("https://creighton-primo.hosted.exlibrisgroup.com/primo-explore/search?tab=default_tab&amp;search_scope=EVERYTHING&amp;vid=01CRU&amp;lang=en_US&amp;offset=0&amp;query=any,contains,991001723329702656","Catalog Record")</f>
        <v/>
      </c>
      <c r="AV1306">
        <f>HYPERLINK("http://www.worldcat.org/oclc/51172315","WorldCat Record")</f>
        <v/>
      </c>
      <c r="AW1306" t="inlineStr">
        <is>
          <t>476598608:eng</t>
        </is>
      </c>
      <c r="AX1306" t="inlineStr">
        <is>
          <t>51172315</t>
        </is>
      </c>
      <c r="AY1306" t="inlineStr">
        <is>
          <t>991001723329702656</t>
        </is>
      </c>
      <c r="AZ1306" t="inlineStr">
        <is>
          <t>991001723329702656</t>
        </is>
      </c>
      <c r="BA1306" t="inlineStr">
        <is>
          <t>2263920060002656</t>
        </is>
      </c>
      <c r="BB1306" t="inlineStr">
        <is>
          <t>BOOK</t>
        </is>
      </c>
      <c r="BD1306" t="inlineStr">
        <is>
          <t>9780721685113</t>
        </is>
      </c>
      <c r="BE1306" t="inlineStr">
        <is>
          <t>30001004505006</t>
        </is>
      </c>
      <c r="BF1306" t="inlineStr">
        <is>
          <t>893643780</t>
        </is>
      </c>
    </row>
    <row r="1307">
      <c r="A1307" t="inlineStr">
        <is>
          <t>No</t>
        </is>
      </c>
      <c r="B1307" t="inlineStr">
        <is>
          <t>CUHSL</t>
        </is>
      </c>
      <c r="C1307" t="inlineStr">
        <is>
          <t>SHELVES</t>
        </is>
      </c>
      <c r="D1307" t="inlineStr">
        <is>
          <t>WY 145 S422 1998</t>
        </is>
      </c>
      <c r="E1307" t="inlineStr">
        <is>
          <t>0                      WY 0145000S  422         1998</t>
        </is>
      </c>
      <c r="F1307" t="inlineStr">
        <is>
          <t>Scope and standards of parish nursing practice / Health Ministries Association, American Nurses' Association ; [developed by the Practice and Education Committee of the Health Ministries Association].</t>
        </is>
      </c>
      <c r="H1307" t="inlineStr">
        <is>
          <t>No</t>
        </is>
      </c>
      <c r="I1307" t="inlineStr">
        <is>
          <t>1</t>
        </is>
      </c>
      <c r="J1307" t="inlineStr">
        <is>
          <t>No</t>
        </is>
      </c>
      <c r="K1307" t="inlineStr">
        <is>
          <t>No</t>
        </is>
      </c>
      <c r="L1307" t="inlineStr">
        <is>
          <t>0</t>
        </is>
      </c>
      <c r="N1307" t="inlineStr">
        <is>
          <t>Washington, DC : American Nurses Pub., c1998.</t>
        </is>
      </c>
      <c r="O1307" t="inlineStr">
        <is>
          <t>1998</t>
        </is>
      </c>
      <c r="Q1307" t="inlineStr">
        <is>
          <t>eng</t>
        </is>
      </c>
      <c r="R1307" t="inlineStr">
        <is>
          <t>dcu</t>
        </is>
      </c>
      <c r="T1307" t="inlineStr">
        <is>
          <t xml:space="preserve">WY </t>
        </is>
      </c>
      <c r="U1307" t="n">
        <v>2</v>
      </c>
      <c r="V1307" t="n">
        <v>2</v>
      </c>
      <c r="W1307" t="inlineStr">
        <is>
          <t>2004-05-11</t>
        </is>
      </c>
      <c r="X1307" t="inlineStr">
        <is>
          <t>2004-05-11</t>
        </is>
      </c>
      <c r="Y1307" t="inlineStr">
        <is>
          <t>2000-06-15</t>
        </is>
      </c>
      <c r="Z1307" t="inlineStr">
        <is>
          <t>2000-06-15</t>
        </is>
      </c>
      <c r="AA1307" t="n">
        <v>226</v>
      </c>
      <c r="AB1307" t="n">
        <v>221</v>
      </c>
      <c r="AC1307" t="n">
        <v>223</v>
      </c>
      <c r="AD1307" t="n">
        <v>2</v>
      </c>
      <c r="AE1307" t="n">
        <v>2</v>
      </c>
      <c r="AF1307" t="n">
        <v>12</v>
      </c>
      <c r="AG1307" t="n">
        <v>12</v>
      </c>
      <c r="AH1307" t="n">
        <v>3</v>
      </c>
      <c r="AI1307" t="n">
        <v>3</v>
      </c>
      <c r="AJ1307" t="n">
        <v>3</v>
      </c>
      <c r="AK1307" t="n">
        <v>3</v>
      </c>
      <c r="AL1307" t="n">
        <v>8</v>
      </c>
      <c r="AM1307" t="n">
        <v>8</v>
      </c>
      <c r="AN1307" t="n">
        <v>0</v>
      </c>
      <c r="AO1307" t="n">
        <v>0</v>
      </c>
      <c r="AP1307" t="n">
        <v>0</v>
      </c>
      <c r="AQ1307" t="n">
        <v>0</v>
      </c>
      <c r="AR1307" t="inlineStr">
        <is>
          <t>No</t>
        </is>
      </c>
      <c r="AS1307" t="inlineStr">
        <is>
          <t>Yes</t>
        </is>
      </c>
      <c r="AT1307">
        <f>HYPERLINK("http://catalog.hathitrust.org/Record/003321703","HathiTrust Record")</f>
        <v/>
      </c>
      <c r="AU1307">
        <f>HYPERLINK("https://creighton-primo.hosted.exlibrisgroup.com/primo-explore/search?tab=default_tab&amp;search_scope=EVERYTHING&amp;vid=01CRU&amp;lang=en_US&amp;offset=0&amp;query=any,contains,991000269969702656","Catalog Record")</f>
        <v/>
      </c>
      <c r="AV1307">
        <f>HYPERLINK("http://www.worldcat.org/oclc/39116679","WorldCat Record")</f>
        <v/>
      </c>
      <c r="AW1307" t="inlineStr">
        <is>
          <t>41819063:eng</t>
        </is>
      </c>
      <c r="AX1307" t="inlineStr">
        <is>
          <t>39116679</t>
        </is>
      </c>
      <c r="AY1307" t="inlineStr">
        <is>
          <t>991000269969702656</t>
        </is>
      </c>
      <c r="AZ1307" t="inlineStr">
        <is>
          <t>991000269969702656</t>
        </is>
      </c>
      <c r="BA1307" t="inlineStr">
        <is>
          <t>2260940000002656</t>
        </is>
      </c>
      <c r="BB1307" t="inlineStr">
        <is>
          <t>BOOK</t>
        </is>
      </c>
      <c r="BE1307" t="inlineStr">
        <is>
          <t>30001004176840</t>
        </is>
      </c>
      <c r="BF1307" t="inlineStr">
        <is>
          <t>893628966</t>
        </is>
      </c>
    </row>
    <row r="1308">
      <c r="A1308" t="inlineStr">
        <is>
          <t>No</t>
        </is>
      </c>
      <c r="B1308" t="inlineStr">
        <is>
          <t>CUHSL</t>
        </is>
      </c>
      <c r="C1308" t="inlineStr">
        <is>
          <t>SHELVES</t>
        </is>
      </c>
      <c r="D1308" t="inlineStr">
        <is>
          <t>WY 150 A958q 1989</t>
        </is>
      </c>
      <c r="E1308" t="inlineStr">
        <is>
          <t>0                      WY 0150000A  958q        1989</t>
        </is>
      </c>
      <c r="F1308" t="inlineStr">
        <is>
          <t>Quality assurance in rehabilitation nursing : a practical guide / Adrianne E. Avillion, Barbara B. Mirgon.</t>
        </is>
      </c>
      <c r="H1308" t="inlineStr">
        <is>
          <t>No</t>
        </is>
      </c>
      <c r="I1308" t="inlineStr">
        <is>
          <t>1</t>
        </is>
      </c>
      <c r="J1308" t="inlineStr">
        <is>
          <t>No</t>
        </is>
      </c>
      <c r="K1308" t="inlineStr">
        <is>
          <t>No</t>
        </is>
      </c>
      <c r="L1308" t="inlineStr">
        <is>
          <t>0</t>
        </is>
      </c>
      <c r="M1308" t="inlineStr">
        <is>
          <t>Avillion, Adrianne E.</t>
        </is>
      </c>
      <c r="N1308" t="inlineStr">
        <is>
          <t>Rockville, Md. : Aspen Publishers, c1989.</t>
        </is>
      </c>
      <c r="O1308" t="inlineStr">
        <is>
          <t>1989</t>
        </is>
      </c>
      <c r="Q1308" t="inlineStr">
        <is>
          <t>eng</t>
        </is>
      </c>
      <c r="R1308" t="inlineStr">
        <is>
          <t>xxu</t>
        </is>
      </c>
      <c r="T1308" t="inlineStr">
        <is>
          <t xml:space="preserve">WY </t>
        </is>
      </c>
      <c r="U1308" t="n">
        <v>8</v>
      </c>
      <c r="V1308" t="n">
        <v>8</v>
      </c>
      <c r="W1308" t="inlineStr">
        <is>
          <t>1995-02-08</t>
        </is>
      </c>
      <c r="X1308" t="inlineStr">
        <is>
          <t>1995-02-08</t>
        </is>
      </c>
      <c r="Y1308" t="inlineStr">
        <is>
          <t>1989-10-21</t>
        </is>
      </c>
      <c r="Z1308" t="inlineStr">
        <is>
          <t>1989-10-21</t>
        </is>
      </c>
      <c r="AA1308" t="n">
        <v>185</v>
      </c>
      <c r="AB1308" t="n">
        <v>153</v>
      </c>
      <c r="AC1308" t="n">
        <v>155</v>
      </c>
      <c r="AD1308" t="n">
        <v>1</v>
      </c>
      <c r="AE1308" t="n">
        <v>1</v>
      </c>
      <c r="AF1308" t="n">
        <v>5</v>
      </c>
      <c r="AG1308" t="n">
        <v>5</v>
      </c>
      <c r="AH1308" t="n">
        <v>2</v>
      </c>
      <c r="AI1308" t="n">
        <v>2</v>
      </c>
      <c r="AJ1308" t="n">
        <v>1</v>
      </c>
      <c r="AK1308" t="n">
        <v>1</v>
      </c>
      <c r="AL1308" t="n">
        <v>3</v>
      </c>
      <c r="AM1308" t="n">
        <v>3</v>
      </c>
      <c r="AN1308" t="n">
        <v>0</v>
      </c>
      <c r="AO1308" t="n">
        <v>0</v>
      </c>
      <c r="AP1308" t="n">
        <v>0</v>
      </c>
      <c r="AQ1308" t="n">
        <v>0</v>
      </c>
      <c r="AR1308" t="inlineStr">
        <is>
          <t>No</t>
        </is>
      </c>
      <c r="AS1308" t="inlineStr">
        <is>
          <t>Yes</t>
        </is>
      </c>
      <c r="AT1308">
        <f>HYPERLINK("http://catalog.hathitrust.org/Record/001302884","HathiTrust Record")</f>
        <v/>
      </c>
      <c r="AU1308">
        <f>HYPERLINK("https://creighton-primo.hosted.exlibrisgroup.com/primo-explore/search?tab=default_tab&amp;search_scope=EVERYTHING&amp;vid=01CRU&amp;lang=en_US&amp;offset=0&amp;query=any,contains,991001355389702656","Catalog Record")</f>
        <v/>
      </c>
      <c r="AV1308">
        <f>HYPERLINK("http://www.worldcat.org/oclc/18948003","WorldCat Record")</f>
        <v/>
      </c>
      <c r="AW1308" t="inlineStr">
        <is>
          <t>19407730:eng</t>
        </is>
      </c>
      <c r="AX1308" t="inlineStr">
        <is>
          <t>18948003</t>
        </is>
      </c>
      <c r="AY1308" t="inlineStr">
        <is>
          <t>991001355389702656</t>
        </is>
      </c>
      <c r="AZ1308" t="inlineStr">
        <is>
          <t>991001355389702656</t>
        </is>
      </c>
      <c r="BA1308" t="inlineStr">
        <is>
          <t>2256576930002656</t>
        </is>
      </c>
      <c r="BB1308" t="inlineStr">
        <is>
          <t>BOOK</t>
        </is>
      </c>
      <c r="BD1308" t="inlineStr">
        <is>
          <t>9780834200531</t>
        </is>
      </c>
      <c r="BE1308" t="inlineStr">
        <is>
          <t>30001001795865</t>
        </is>
      </c>
      <c r="BF1308" t="inlineStr">
        <is>
          <t>893121430</t>
        </is>
      </c>
    </row>
    <row r="1309">
      <c r="A1309" t="inlineStr">
        <is>
          <t>No</t>
        </is>
      </c>
      <c r="B1309" t="inlineStr">
        <is>
          <t>CUHSL</t>
        </is>
      </c>
      <c r="C1309" t="inlineStr">
        <is>
          <t>SHELVES</t>
        </is>
      </c>
      <c r="D1309" t="inlineStr">
        <is>
          <t>WY 150 B686s 1985</t>
        </is>
      </c>
      <c r="E1309" t="inlineStr">
        <is>
          <t>0                      WY 0150000B  686s        1985</t>
        </is>
      </c>
      <c r="F1309" t="inlineStr">
        <is>
          <t>Stomal therapy : a guide for nurses, practitioners and patients / E.L. Bokey &amp; Robyn Shell.</t>
        </is>
      </c>
      <c r="H1309" t="inlineStr">
        <is>
          <t>No</t>
        </is>
      </c>
      <c r="I1309" t="inlineStr">
        <is>
          <t>1</t>
        </is>
      </c>
      <c r="J1309" t="inlineStr">
        <is>
          <t>No</t>
        </is>
      </c>
      <c r="K1309" t="inlineStr">
        <is>
          <t>No</t>
        </is>
      </c>
      <c r="L1309" t="inlineStr">
        <is>
          <t>0</t>
        </is>
      </c>
      <c r="M1309" t="inlineStr">
        <is>
          <t>Bokey, E. L. (E. Leslie), 1946-</t>
        </is>
      </c>
      <c r="N1309" t="inlineStr">
        <is>
          <t>Sydney : New York : Pergamon Press, c1985</t>
        </is>
      </c>
      <c r="O1309" t="inlineStr">
        <is>
          <t>1985</t>
        </is>
      </c>
      <c r="Q1309" t="inlineStr">
        <is>
          <t>eng</t>
        </is>
      </c>
      <c r="R1309" t="inlineStr">
        <is>
          <t xml:space="preserve">at </t>
        </is>
      </c>
      <c r="T1309" t="inlineStr">
        <is>
          <t xml:space="preserve">WY </t>
        </is>
      </c>
      <c r="U1309" t="n">
        <v>1</v>
      </c>
      <c r="V1309" t="n">
        <v>1</v>
      </c>
      <c r="W1309" t="inlineStr">
        <is>
          <t>1995-09-10</t>
        </is>
      </c>
      <c r="X1309" t="inlineStr">
        <is>
          <t>1995-09-10</t>
        </is>
      </c>
      <c r="Y1309" t="inlineStr">
        <is>
          <t>1987-12-30</t>
        </is>
      </c>
      <c r="Z1309" t="inlineStr">
        <is>
          <t>1987-12-30</t>
        </is>
      </c>
      <c r="AA1309" t="n">
        <v>90</v>
      </c>
      <c r="AB1309" t="n">
        <v>53</v>
      </c>
      <c r="AC1309" t="n">
        <v>55</v>
      </c>
      <c r="AD1309" t="n">
        <v>1</v>
      </c>
      <c r="AE1309" t="n">
        <v>1</v>
      </c>
      <c r="AF1309" t="n">
        <v>2</v>
      </c>
      <c r="AG1309" t="n">
        <v>2</v>
      </c>
      <c r="AH1309" t="n">
        <v>0</v>
      </c>
      <c r="AI1309" t="n">
        <v>0</v>
      </c>
      <c r="AJ1309" t="n">
        <v>0</v>
      </c>
      <c r="AK1309" t="n">
        <v>0</v>
      </c>
      <c r="AL1309" t="n">
        <v>2</v>
      </c>
      <c r="AM1309" t="n">
        <v>2</v>
      </c>
      <c r="AN1309" t="n">
        <v>0</v>
      </c>
      <c r="AO1309" t="n">
        <v>0</v>
      </c>
      <c r="AP1309" t="n">
        <v>0</v>
      </c>
      <c r="AQ1309" t="n">
        <v>0</v>
      </c>
      <c r="AR1309" t="inlineStr">
        <is>
          <t>No</t>
        </is>
      </c>
      <c r="AS1309" t="inlineStr">
        <is>
          <t>Yes</t>
        </is>
      </c>
      <c r="AT1309">
        <f>HYPERLINK("http://catalog.hathitrust.org/Record/000350528","HathiTrust Record")</f>
        <v/>
      </c>
      <c r="AU1309">
        <f>HYPERLINK("https://creighton-primo.hosted.exlibrisgroup.com/primo-explore/search?tab=default_tab&amp;search_scope=EVERYTHING&amp;vid=01CRU&amp;lang=en_US&amp;offset=0&amp;query=any,contains,991001085049702656","Catalog Record")</f>
        <v/>
      </c>
      <c r="AV1309">
        <f>HYPERLINK("http://www.worldcat.org/oclc/14905509","WorldCat Record")</f>
        <v/>
      </c>
      <c r="AW1309" t="inlineStr">
        <is>
          <t>8209703:eng</t>
        </is>
      </c>
      <c r="AX1309" t="inlineStr">
        <is>
          <t>14905509</t>
        </is>
      </c>
      <c r="AY1309" t="inlineStr">
        <is>
          <t>991001085049702656</t>
        </is>
      </c>
      <c r="AZ1309" t="inlineStr">
        <is>
          <t>991001085049702656</t>
        </is>
      </c>
      <c r="BA1309" t="inlineStr">
        <is>
          <t>2269365600002656</t>
        </is>
      </c>
      <c r="BB1309" t="inlineStr">
        <is>
          <t>BOOK</t>
        </is>
      </c>
      <c r="BD1309" t="inlineStr">
        <is>
          <t>9780080298627</t>
        </is>
      </c>
      <c r="BE1309" t="inlineStr">
        <is>
          <t>30001000258816</t>
        </is>
      </c>
      <c r="BF1309" t="inlineStr">
        <is>
          <t>893740734</t>
        </is>
      </c>
    </row>
    <row r="1310">
      <c r="A1310" t="inlineStr">
        <is>
          <t>No</t>
        </is>
      </c>
      <c r="B1310" t="inlineStr">
        <is>
          <t>CUHSL</t>
        </is>
      </c>
      <c r="C1310" t="inlineStr">
        <is>
          <t>SHELVES</t>
        </is>
      </c>
      <c r="D1310" t="inlineStr">
        <is>
          <t>WY 150 B8972 1992</t>
        </is>
      </c>
      <c r="E1310" t="inlineStr">
        <is>
          <t>0                      WY 0150000B  8972        1992</t>
        </is>
      </c>
      <c r="F1310" t="inlineStr">
        <is>
          <t>Brunner and Suddarth's textbook of medical-surgical nursing.</t>
        </is>
      </c>
      <c r="H1310" t="inlineStr">
        <is>
          <t>No</t>
        </is>
      </c>
      <c r="I1310" t="inlineStr">
        <is>
          <t>1</t>
        </is>
      </c>
      <c r="J1310" t="inlineStr">
        <is>
          <t>No</t>
        </is>
      </c>
      <c r="K1310" t="inlineStr">
        <is>
          <t>Yes</t>
        </is>
      </c>
      <c r="L1310" t="inlineStr">
        <is>
          <t>0</t>
        </is>
      </c>
      <c r="N1310" t="inlineStr">
        <is>
          <t>Philadelphia : Lippincott, c1992.</t>
        </is>
      </c>
      <c r="O1310" t="inlineStr">
        <is>
          <t>1992</t>
        </is>
      </c>
      <c r="P1310" t="inlineStr">
        <is>
          <t>7th ed. / [edited by] Suzanne C. Smeltzer, Brenda G. Bare, with 39 contributors.</t>
        </is>
      </c>
      <c r="Q1310" t="inlineStr">
        <is>
          <t>eng</t>
        </is>
      </c>
      <c r="R1310" t="inlineStr">
        <is>
          <t>xxu</t>
        </is>
      </c>
      <c r="T1310" t="inlineStr">
        <is>
          <t xml:space="preserve">WY </t>
        </is>
      </c>
      <c r="U1310" t="n">
        <v>52</v>
      </c>
      <c r="V1310" t="n">
        <v>52</v>
      </c>
      <c r="W1310" t="inlineStr">
        <is>
          <t>1998-03-26</t>
        </is>
      </c>
      <c r="X1310" t="inlineStr">
        <is>
          <t>1998-03-26</t>
        </is>
      </c>
      <c r="Y1310" t="inlineStr">
        <is>
          <t>1992-03-18</t>
        </is>
      </c>
      <c r="Z1310" t="inlineStr">
        <is>
          <t>1992-03-18</t>
        </is>
      </c>
      <c r="AA1310" t="n">
        <v>383</v>
      </c>
      <c r="AB1310" t="n">
        <v>311</v>
      </c>
      <c r="AC1310" t="n">
        <v>1179</v>
      </c>
      <c r="AD1310" t="n">
        <v>2</v>
      </c>
      <c r="AE1310" t="n">
        <v>8</v>
      </c>
      <c r="AF1310" t="n">
        <v>6</v>
      </c>
      <c r="AG1310" t="n">
        <v>25</v>
      </c>
      <c r="AH1310" t="n">
        <v>2</v>
      </c>
      <c r="AI1310" t="n">
        <v>10</v>
      </c>
      <c r="AJ1310" t="n">
        <v>1</v>
      </c>
      <c r="AK1310" t="n">
        <v>4</v>
      </c>
      <c r="AL1310" t="n">
        <v>3</v>
      </c>
      <c r="AM1310" t="n">
        <v>11</v>
      </c>
      <c r="AN1310" t="n">
        <v>1</v>
      </c>
      <c r="AO1310" t="n">
        <v>5</v>
      </c>
      <c r="AP1310" t="n">
        <v>0</v>
      </c>
      <c r="AQ1310" t="n">
        <v>0</v>
      </c>
      <c r="AR1310" t="inlineStr">
        <is>
          <t>No</t>
        </is>
      </c>
      <c r="AS1310" t="inlineStr">
        <is>
          <t>No</t>
        </is>
      </c>
      <c r="AU1310">
        <f>HYPERLINK("https://creighton-primo.hosted.exlibrisgroup.com/primo-explore/search?tab=default_tab&amp;search_scope=EVERYTHING&amp;vid=01CRU&amp;lang=en_US&amp;offset=0&amp;query=any,contains,991000842429702656","Catalog Record")</f>
        <v/>
      </c>
      <c r="AV1310">
        <f>HYPERLINK("http://www.worldcat.org/oclc/24668594","WorldCat Record")</f>
        <v/>
      </c>
      <c r="AW1310" t="inlineStr">
        <is>
          <t>476875372:eng</t>
        </is>
      </c>
      <c r="AX1310" t="inlineStr">
        <is>
          <t>24668594</t>
        </is>
      </c>
      <c r="AY1310" t="inlineStr">
        <is>
          <t>991000842429702656</t>
        </is>
      </c>
      <c r="AZ1310" t="inlineStr">
        <is>
          <t>991000842429702656</t>
        </is>
      </c>
      <c r="BA1310" t="inlineStr">
        <is>
          <t>2261624260002656</t>
        </is>
      </c>
      <c r="BB1310" t="inlineStr">
        <is>
          <t>BOOK</t>
        </is>
      </c>
      <c r="BD1310" t="inlineStr">
        <is>
          <t>9780397547975</t>
        </is>
      </c>
      <c r="BE1310" t="inlineStr">
        <is>
          <t>30001002119917</t>
        </is>
      </c>
      <c r="BF1310" t="inlineStr">
        <is>
          <t>893161339</t>
        </is>
      </c>
    </row>
    <row r="1311">
      <c r="A1311" t="inlineStr">
        <is>
          <t>No</t>
        </is>
      </c>
      <c r="B1311" t="inlineStr">
        <is>
          <t>CUHSL</t>
        </is>
      </c>
      <c r="C1311" t="inlineStr">
        <is>
          <t>SHELVES</t>
        </is>
      </c>
      <c r="D1311" t="inlineStr">
        <is>
          <t>WY 150 B8972 2000</t>
        </is>
      </c>
      <c r="E1311" t="inlineStr">
        <is>
          <t>0                      WY 0150000B  8972        2000</t>
        </is>
      </c>
      <c r="F1311" t="inlineStr">
        <is>
          <t>Brunner and Suddarth's textbook of medical-surgical nursing / [edited by] Suzanne C. Smeltzer, Brenda G. Bare.</t>
        </is>
      </c>
      <c r="G1311" t="inlineStr">
        <is>
          <t>V. 2</t>
        </is>
      </c>
      <c r="H1311" t="inlineStr">
        <is>
          <t>Yes</t>
        </is>
      </c>
      <c r="I1311" t="inlineStr">
        <is>
          <t>1</t>
        </is>
      </c>
      <c r="J1311" t="inlineStr">
        <is>
          <t>No</t>
        </is>
      </c>
      <c r="K1311" t="inlineStr">
        <is>
          <t>Yes</t>
        </is>
      </c>
      <c r="L1311" t="inlineStr">
        <is>
          <t>0</t>
        </is>
      </c>
      <c r="N1311" t="inlineStr">
        <is>
          <t>Philadelphia : Lippincott, c2000.</t>
        </is>
      </c>
      <c r="O1311" t="inlineStr">
        <is>
          <t>2000</t>
        </is>
      </c>
      <c r="P1311" t="inlineStr">
        <is>
          <t>9th ed.</t>
        </is>
      </c>
      <c r="Q1311" t="inlineStr">
        <is>
          <t>eng</t>
        </is>
      </c>
      <c r="R1311" t="inlineStr">
        <is>
          <t>pau</t>
        </is>
      </c>
      <c r="T1311" t="inlineStr">
        <is>
          <t xml:space="preserve">WY </t>
        </is>
      </c>
      <c r="U1311" t="n">
        <v>2</v>
      </c>
      <c r="V1311" t="n">
        <v>4</v>
      </c>
      <c r="W1311" t="inlineStr">
        <is>
          <t>2000-05-10</t>
        </is>
      </c>
      <c r="X1311" t="inlineStr">
        <is>
          <t>2000-05-10</t>
        </is>
      </c>
      <c r="Y1311" t="inlineStr">
        <is>
          <t>2000-04-25</t>
        </is>
      </c>
      <c r="Z1311" t="inlineStr">
        <is>
          <t>2002-02-25</t>
        </is>
      </c>
      <c r="AA1311" t="n">
        <v>402</v>
      </c>
      <c r="AB1311" t="n">
        <v>303</v>
      </c>
      <c r="AC1311" t="n">
        <v>1179</v>
      </c>
      <c r="AD1311" t="n">
        <v>2</v>
      </c>
      <c r="AE1311" t="n">
        <v>8</v>
      </c>
      <c r="AF1311" t="n">
        <v>3</v>
      </c>
      <c r="AG1311" t="n">
        <v>25</v>
      </c>
      <c r="AH1311" t="n">
        <v>1</v>
      </c>
      <c r="AI1311" t="n">
        <v>10</v>
      </c>
      <c r="AJ1311" t="n">
        <v>0</v>
      </c>
      <c r="AK1311" t="n">
        <v>4</v>
      </c>
      <c r="AL1311" t="n">
        <v>1</v>
      </c>
      <c r="AM1311" t="n">
        <v>11</v>
      </c>
      <c r="AN1311" t="n">
        <v>1</v>
      </c>
      <c r="AO1311" t="n">
        <v>5</v>
      </c>
      <c r="AP1311" t="n">
        <v>0</v>
      </c>
      <c r="AQ1311" t="n">
        <v>0</v>
      </c>
      <c r="AR1311" t="inlineStr">
        <is>
          <t>No</t>
        </is>
      </c>
      <c r="AS1311" t="inlineStr">
        <is>
          <t>Yes</t>
        </is>
      </c>
      <c r="AT1311">
        <f>HYPERLINK("http://catalog.hathitrust.org/Record/003449421","HathiTrust Record")</f>
        <v/>
      </c>
      <c r="AU1311">
        <f>HYPERLINK("https://creighton-primo.hosted.exlibrisgroup.com/primo-explore/search?tab=default_tab&amp;search_scope=EVERYTHING&amp;vid=01CRU&amp;lang=en_US&amp;offset=0&amp;query=any,contains,991001443169702656","Catalog Record")</f>
        <v/>
      </c>
      <c r="AV1311">
        <f>HYPERLINK("http://www.worldcat.org/oclc/41573060","WorldCat Record")</f>
        <v/>
      </c>
      <c r="AW1311" t="inlineStr">
        <is>
          <t>476875372:eng</t>
        </is>
      </c>
      <c r="AX1311" t="inlineStr">
        <is>
          <t>41573060</t>
        </is>
      </c>
      <c r="AY1311" t="inlineStr">
        <is>
          <t>991001443169702656</t>
        </is>
      </c>
      <c r="AZ1311" t="inlineStr">
        <is>
          <t>991001443169702656</t>
        </is>
      </c>
      <c r="BA1311" t="inlineStr">
        <is>
          <t>2260904660002656</t>
        </is>
      </c>
      <c r="BB1311" t="inlineStr">
        <is>
          <t>BOOK</t>
        </is>
      </c>
      <c r="BD1311" t="inlineStr">
        <is>
          <t>9780781715751</t>
        </is>
      </c>
      <c r="BE1311" t="inlineStr">
        <is>
          <t>30001003883834</t>
        </is>
      </c>
      <c r="BF1311" t="inlineStr">
        <is>
          <t>893364162</t>
        </is>
      </c>
    </row>
    <row r="1312">
      <c r="A1312" t="inlineStr">
        <is>
          <t>No</t>
        </is>
      </c>
      <c r="B1312" t="inlineStr">
        <is>
          <t>CUHSL</t>
        </is>
      </c>
      <c r="C1312" t="inlineStr">
        <is>
          <t>SHELVES</t>
        </is>
      </c>
      <c r="D1312" t="inlineStr">
        <is>
          <t>WY 150 B8972 2000</t>
        </is>
      </c>
      <c r="E1312" t="inlineStr">
        <is>
          <t>0                      WY 0150000B  8972        2000</t>
        </is>
      </c>
      <c r="F1312" t="inlineStr">
        <is>
          <t>Brunner and Suddarth's textbook of medical-surgical nursing / [edited by] Suzanne C. Smeltzer, Brenda G. Bare.</t>
        </is>
      </c>
      <c r="G1312" t="inlineStr">
        <is>
          <t>V. 1</t>
        </is>
      </c>
      <c r="H1312" t="inlineStr">
        <is>
          <t>Yes</t>
        </is>
      </c>
      <c r="I1312" t="inlineStr">
        <is>
          <t>1</t>
        </is>
      </c>
      <c r="J1312" t="inlineStr">
        <is>
          <t>No</t>
        </is>
      </c>
      <c r="K1312" t="inlineStr">
        <is>
          <t>Yes</t>
        </is>
      </c>
      <c r="L1312" t="inlineStr">
        <is>
          <t>0</t>
        </is>
      </c>
      <c r="N1312" t="inlineStr">
        <is>
          <t>Philadelphia : Lippincott, c2000.</t>
        </is>
      </c>
      <c r="O1312" t="inlineStr">
        <is>
          <t>2000</t>
        </is>
      </c>
      <c r="P1312" t="inlineStr">
        <is>
          <t>9th ed.</t>
        </is>
      </c>
      <c r="Q1312" t="inlineStr">
        <is>
          <t>eng</t>
        </is>
      </c>
      <c r="R1312" t="inlineStr">
        <is>
          <t>pau</t>
        </is>
      </c>
      <c r="T1312" t="inlineStr">
        <is>
          <t xml:space="preserve">WY </t>
        </is>
      </c>
      <c r="U1312" t="n">
        <v>2</v>
      </c>
      <c r="V1312" t="n">
        <v>4</v>
      </c>
      <c r="X1312" t="inlineStr">
        <is>
          <t>2000-05-10</t>
        </is>
      </c>
      <c r="Y1312" t="inlineStr">
        <is>
          <t>2002-02-25</t>
        </is>
      </c>
      <c r="Z1312" t="inlineStr">
        <is>
          <t>2002-02-25</t>
        </is>
      </c>
      <c r="AA1312" t="n">
        <v>402</v>
      </c>
      <c r="AB1312" t="n">
        <v>303</v>
      </c>
      <c r="AC1312" t="n">
        <v>1179</v>
      </c>
      <c r="AD1312" t="n">
        <v>2</v>
      </c>
      <c r="AE1312" t="n">
        <v>8</v>
      </c>
      <c r="AF1312" t="n">
        <v>3</v>
      </c>
      <c r="AG1312" t="n">
        <v>25</v>
      </c>
      <c r="AH1312" t="n">
        <v>1</v>
      </c>
      <c r="AI1312" t="n">
        <v>10</v>
      </c>
      <c r="AJ1312" t="n">
        <v>0</v>
      </c>
      <c r="AK1312" t="n">
        <v>4</v>
      </c>
      <c r="AL1312" t="n">
        <v>1</v>
      </c>
      <c r="AM1312" t="n">
        <v>11</v>
      </c>
      <c r="AN1312" t="n">
        <v>1</v>
      </c>
      <c r="AO1312" t="n">
        <v>5</v>
      </c>
      <c r="AP1312" t="n">
        <v>0</v>
      </c>
      <c r="AQ1312" t="n">
        <v>0</v>
      </c>
      <c r="AR1312" t="inlineStr">
        <is>
          <t>No</t>
        </is>
      </c>
      <c r="AS1312" t="inlineStr">
        <is>
          <t>Yes</t>
        </is>
      </c>
      <c r="AT1312">
        <f>HYPERLINK("http://catalog.hathitrust.org/Record/003449421","HathiTrust Record")</f>
        <v/>
      </c>
      <c r="AU1312">
        <f>HYPERLINK("https://creighton-primo.hosted.exlibrisgroup.com/primo-explore/search?tab=default_tab&amp;search_scope=EVERYTHING&amp;vid=01CRU&amp;lang=en_US&amp;offset=0&amp;query=any,contains,991001443169702656","Catalog Record")</f>
        <v/>
      </c>
      <c r="AV1312">
        <f>HYPERLINK("http://www.worldcat.org/oclc/41573060","WorldCat Record")</f>
        <v/>
      </c>
      <c r="AW1312" t="inlineStr">
        <is>
          <t>476875372:eng</t>
        </is>
      </c>
      <c r="AX1312" t="inlineStr">
        <is>
          <t>41573060</t>
        </is>
      </c>
      <c r="AY1312" t="inlineStr">
        <is>
          <t>991001443169702656</t>
        </is>
      </c>
      <c r="AZ1312" t="inlineStr">
        <is>
          <t>991001443169702656</t>
        </is>
      </c>
      <c r="BA1312" t="inlineStr">
        <is>
          <t>2260904660002656</t>
        </is>
      </c>
      <c r="BB1312" t="inlineStr">
        <is>
          <t>BOOK</t>
        </is>
      </c>
      <c r="BD1312" t="inlineStr">
        <is>
          <t>9780781715751</t>
        </is>
      </c>
      <c r="BE1312" t="inlineStr">
        <is>
          <t>30001003883818</t>
        </is>
      </c>
      <c r="BF1312" t="inlineStr">
        <is>
          <t>893369403</t>
        </is>
      </c>
    </row>
    <row r="1313">
      <c r="A1313" t="inlineStr">
        <is>
          <t>No</t>
        </is>
      </c>
      <c r="B1313" t="inlineStr">
        <is>
          <t>CUHSL</t>
        </is>
      </c>
      <c r="C1313" t="inlineStr">
        <is>
          <t>SHELVES</t>
        </is>
      </c>
      <c r="D1313" t="inlineStr">
        <is>
          <t>WY150 B8972 2004</t>
        </is>
      </c>
      <c r="E1313" t="inlineStr">
        <is>
          <t>0                      WY 0150000B  8972        2004</t>
        </is>
      </c>
      <c r="F1313" t="inlineStr">
        <is>
          <t>Brunner &amp; Suddarth's textbook of medical-surgical nursing.</t>
        </is>
      </c>
      <c r="G1313" t="inlineStr">
        <is>
          <t>V.2</t>
        </is>
      </c>
      <c r="H1313" t="inlineStr">
        <is>
          <t>Yes</t>
        </is>
      </c>
      <c r="I1313" t="inlineStr">
        <is>
          <t>1</t>
        </is>
      </c>
      <c r="J1313" t="inlineStr">
        <is>
          <t>No</t>
        </is>
      </c>
      <c r="K1313" t="inlineStr">
        <is>
          <t>Yes</t>
        </is>
      </c>
      <c r="L1313" t="inlineStr">
        <is>
          <t>0</t>
        </is>
      </c>
      <c r="N1313" t="inlineStr">
        <is>
          <t>Philadelphia : Lippincott Williams &amp; Wilkins, c2004.</t>
        </is>
      </c>
      <c r="O1313" t="inlineStr">
        <is>
          <t>2004</t>
        </is>
      </c>
      <c r="P1313" t="inlineStr">
        <is>
          <t>10th ed. / [edited by] Suzanne C. Smeltzer, Brenda G. Bare ; and more than 50 contributors.</t>
        </is>
      </c>
      <c r="Q1313" t="inlineStr">
        <is>
          <t>eng</t>
        </is>
      </c>
      <c r="R1313" t="inlineStr">
        <is>
          <t>pau</t>
        </is>
      </c>
      <c r="T1313" t="inlineStr">
        <is>
          <t xml:space="preserve">WY </t>
        </is>
      </c>
      <c r="U1313" t="n">
        <v>2</v>
      </c>
      <c r="V1313" t="n">
        <v>7</v>
      </c>
      <c r="W1313" t="inlineStr">
        <is>
          <t>2004-04-04</t>
        </is>
      </c>
      <c r="X1313" t="inlineStr">
        <is>
          <t>2004-04-04</t>
        </is>
      </c>
      <c r="Y1313" t="inlineStr">
        <is>
          <t>2004-04-02</t>
        </is>
      </c>
      <c r="Z1313" t="inlineStr">
        <is>
          <t>2004-04-02</t>
        </is>
      </c>
      <c r="AA1313" t="n">
        <v>448</v>
      </c>
      <c r="AB1313" t="n">
        <v>345</v>
      </c>
      <c r="AC1313" t="n">
        <v>1179</v>
      </c>
      <c r="AD1313" t="n">
        <v>1</v>
      </c>
      <c r="AE1313" t="n">
        <v>8</v>
      </c>
      <c r="AF1313" t="n">
        <v>6</v>
      </c>
      <c r="AG1313" t="n">
        <v>25</v>
      </c>
      <c r="AH1313" t="n">
        <v>2</v>
      </c>
      <c r="AI1313" t="n">
        <v>10</v>
      </c>
      <c r="AJ1313" t="n">
        <v>2</v>
      </c>
      <c r="AK1313" t="n">
        <v>4</v>
      </c>
      <c r="AL1313" t="n">
        <v>3</v>
      </c>
      <c r="AM1313" t="n">
        <v>11</v>
      </c>
      <c r="AN1313" t="n">
        <v>0</v>
      </c>
      <c r="AO1313" t="n">
        <v>5</v>
      </c>
      <c r="AP1313" t="n">
        <v>0</v>
      </c>
      <c r="AQ1313" t="n">
        <v>0</v>
      </c>
      <c r="AR1313" t="inlineStr">
        <is>
          <t>No</t>
        </is>
      </c>
      <c r="AS1313" t="inlineStr">
        <is>
          <t>No</t>
        </is>
      </c>
      <c r="AU1313">
        <f>HYPERLINK("https://creighton-primo.hosted.exlibrisgroup.com/primo-explore/search?tab=default_tab&amp;search_scope=EVERYTHING&amp;vid=01CRU&amp;lang=en_US&amp;offset=0&amp;query=any,contains,991000369659702656","Catalog Record")</f>
        <v/>
      </c>
      <c r="AV1313">
        <f>HYPERLINK("http://www.worldcat.org/oclc/51922578","WorldCat Record")</f>
        <v/>
      </c>
      <c r="AW1313" t="inlineStr">
        <is>
          <t>476875372:eng</t>
        </is>
      </c>
      <c r="AX1313" t="inlineStr">
        <is>
          <t>51922578</t>
        </is>
      </c>
      <c r="AY1313" t="inlineStr">
        <is>
          <t>991000369659702656</t>
        </is>
      </c>
      <c r="AZ1313" t="inlineStr">
        <is>
          <t>991000369659702656</t>
        </is>
      </c>
      <c r="BA1313" t="inlineStr">
        <is>
          <t>2260514020002656</t>
        </is>
      </c>
      <c r="BB1313" t="inlineStr">
        <is>
          <t>BOOK</t>
        </is>
      </c>
      <c r="BD1313" t="inlineStr">
        <is>
          <t>9780781731935</t>
        </is>
      </c>
      <c r="BE1313" t="inlineStr">
        <is>
          <t>30001004506764</t>
        </is>
      </c>
      <c r="BF1313" t="inlineStr">
        <is>
          <t>893553460</t>
        </is>
      </c>
    </row>
    <row r="1314">
      <c r="A1314" t="inlineStr">
        <is>
          <t>No</t>
        </is>
      </c>
      <c r="B1314" t="inlineStr">
        <is>
          <t>CUHSL</t>
        </is>
      </c>
      <c r="C1314" t="inlineStr">
        <is>
          <t>SHELVES</t>
        </is>
      </c>
      <c r="D1314" t="inlineStr">
        <is>
          <t>WY150 B8972 2004</t>
        </is>
      </c>
      <c r="E1314" t="inlineStr">
        <is>
          <t>0                      WY 0150000B  8972        2004</t>
        </is>
      </c>
      <c r="F1314" t="inlineStr">
        <is>
          <t>Brunner &amp; Suddarth's textbook of medical-surgical nursing.</t>
        </is>
      </c>
      <c r="G1314" t="inlineStr">
        <is>
          <t>V.1</t>
        </is>
      </c>
      <c r="H1314" t="inlineStr">
        <is>
          <t>Yes</t>
        </is>
      </c>
      <c r="I1314" t="inlineStr">
        <is>
          <t>1</t>
        </is>
      </c>
      <c r="J1314" t="inlineStr">
        <is>
          <t>No</t>
        </is>
      </c>
      <c r="K1314" t="inlineStr">
        <is>
          <t>Yes</t>
        </is>
      </c>
      <c r="L1314" t="inlineStr">
        <is>
          <t>0</t>
        </is>
      </c>
      <c r="N1314" t="inlineStr">
        <is>
          <t>Philadelphia : Lippincott Williams &amp; Wilkins, c2004.</t>
        </is>
      </c>
      <c r="O1314" t="inlineStr">
        <is>
          <t>2004</t>
        </is>
      </c>
      <c r="P1314" t="inlineStr">
        <is>
          <t>10th ed. / [edited by] Suzanne C. Smeltzer, Brenda G. Bare ; and more than 50 contributors.</t>
        </is>
      </c>
      <c r="Q1314" t="inlineStr">
        <is>
          <t>eng</t>
        </is>
      </c>
      <c r="R1314" t="inlineStr">
        <is>
          <t>pau</t>
        </is>
      </c>
      <c r="T1314" t="inlineStr">
        <is>
          <t xml:space="preserve">WY </t>
        </is>
      </c>
      <c r="U1314" t="n">
        <v>5</v>
      </c>
      <c r="V1314" t="n">
        <v>7</v>
      </c>
      <c r="W1314" t="inlineStr">
        <is>
          <t>2004-04-04</t>
        </is>
      </c>
      <c r="X1314" t="inlineStr">
        <is>
          <t>2004-04-04</t>
        </is>
      </c>
      <c r="Y1314" t="inlineStr">
        <is>
          <t>2004-04-02</t>
        </is>
      </c>
      <c r="Z1314" t="inlineStr">
        <is>
          <t>2004-04-02</t>
        </is>
      </c>
      <c r="AA1314" t="n">
        <v>448</v>
      </c>
      <c r="AB1314" t="n">
        <v>345</v>
      </c>
      <c r="AC1314" t="n">
        <v>1179</v>
      </c>
      <c r="AD1314" t="n">
        <v>1</v>
      </c>
      <c r="AE1314" t="n">
        <v>8</v>
      </c>
      <c r="AF1314" t="n">
        <v>6</v>
      </c>
      <c r="AG1314" t="n">
        <v>25</v>
      </c>
      <c r="AH1314" t="n">
        <v>2</v>
      </c>
      <c r="AI1314" t="n">
        <v>10</v>
      </c>
      <c r="AJ1314" t="n">
        <v>2</v>
      </c>
      <c r="AK1314" t="n">
        <v>4</v>
      </c>
      <c r="AL1314" t="n">
        <v>3</v>
      </c>
      <c r="AM1314" t="n">
        <v>11</v>
      </c>
      <c r="AN1314" t="n">
        <v>0</v>
      </c>
      <c r="AO1314" t="n">
        <v>5</v>
      </c>
      <c r="AP1314" t="n">
        <v>0</v>
      </c>
      <c r="AQ1314" t="n">
        <v>0</v>
      </c>
      <c r="AR1314" t="inlineStr">
        <is>
          <t>No</t>
        </is>
      </c>
      <c r="AS1314" t="inlineStr">
        <is>
          <t>No</t>
        </is>
      </c>
      <c r="AU1314">
        <f>HYPERLINK("https://creighton-primo.hosted.exlibrisgroup.com/primo-explore/search?tab=default_tab&amp;search_scope=EVERYTHING&amp;vid=01CRU&amp;lang=en_US&amp;offset=0&amp;query=any,contains,991000369659702656","Catalog Record")</f>
        <v/>
      </c>
      <c r="AV1314">
        <f>HYPERLINK("http://www.worldcat.org/oclc/51922578","WorldCat Record")</f>
        <v/>
      </c>
      <c r="AW1314" t="inlineStr">
        <is>
          <t>476875372:eng</t>
        </is>
      </c>
      <c r="AX1314" t="inlineStr">
        <is>
          <t>51922578</t>
        </is>
      </c>
      <c r="AY1314" t="inlineStr">
        <is>
          <t>991000369659702656</t>
        </is>
      </c>
      <c r="AZ1314" t="inlineStr">
        <is>
          <t>991000369659702656</t>
        </is>
      </c>
      <c r="BA1314" t="inlineStr">
        <is>
          <t>2260514020002656</t>
        </is>
      </c>
      <c r="BB1314" t="inlineStr">
        <is>
          <t>BOOK</t>
        </is>
      </c>
      <c r="BD1314" t="inlineStr">
        <is>
          <t>9780781731935</t>
        </is>
      </c>
      <c r="BE1314" t="inlineStr">
        <is>
          <t>30001004506756</t>
        </is>
      </c>
      <c r="BF1314" t="inlineStr">
        <is>
          <t>893547767</t>
        </is>
      </c>
    </row>
    <row r="1315">
      <c r="A1315" t="inlineStr">
        <is>
          <t>No</t>
        </is>
      </c>
      <c r="B1315" t="inlineStr">
        <is>
          <t>CUHSL</t>
        </is>
      </c>
      <c r="C1315" t="inlineStr">
        <is>
          <t>SHELVES</t>
        </is>
      </c>
      <c r="D1315" t="inlineStr">
        <is>
          <t>WY 150 B8972 2004 Suppl.</t>
        </is>
      </c>
      <c r="E1315" t="inlineStr">
        <is>
          <t>0                      WY 0150000B  8972        2004                                        Suppl.</t>
        </is>
      </c>
      <c r="F1315" t="inlineStr">
        <is>
          <t>Study guide to accompany Brunner and Suddarth's textbook of medical-surgical nursing / Mary Jo Boyer.</t>
        </is>
      </c>
      <c r="G1315" t="inlineStr">
        <is>
          <t>Suppl.*</t>
        </is>
      </c>
      <c r="H1315" t="inlineStr">
        <is>
          <t>No</t>
        </is>
      </c>
      <c r="I1315" t="inlineStr">
        <is>
          <t>1</t>
        </is>
      </c>
      <c r="J1315" t="inlineStr">
        <is>
          <t>No</t>
        </is>
      </c>
      <c r="K1315" t="inlineStr">
        <is>
          <t>No</t>
        </is>
      </c>
      <c r="L1315" t="inlineStr">
        <is>
          <t>0</t>
        </is>
      </c>
      <c r="M1315" t="inlineStr">
        <is>
          <t>Boyer, Mary Jo.</t>
        </is>
      </c>
      <c r="N1315" t="inlineStr">
        <is>
          <t>Philadelphia, Pa. : Lippincott Williams &amp; Wilkins, c2004.</t>
        </is>
      </c>
      <c r="O1315" t="inlineStr">
        <is>
          <t>2004</t>
        </is>
      </c>
      <c r="P1315" t="inlineStr">
        <is>
          <t>10th ed.</t>
        </is>
      </c>
      <c r="Q1315" t="inlineStr">
        <is>
          <t>eng</t>
        </is>
      </c>
      <c r="R1315" t="inlineStr">
        <is>
          <t>pau</t>
        </is>
      </c>
      <c r="T1315" t="inlineStr">
        <is>
          <t xml:space="preserve">WY </t>
        </is>
      </c>
      <c r="U1315" t="n">
        <v>10</v>
      </c>
      <c r="V1315" t="n">
        <v>10</v>
      </c>
      <c r="W1315" t="inlineStr">
        <is>
          <t>2008-09-14</t>
        </is>
      </c>
      <c r="X1315" t="inlineStr">
        <is>
          <t>2008-09-14</t>
        </is>
      </c>
      <c r="Y1315" t="inlineStr">
        <is>
          <t>2007-06-22</t>
        </is>
      </c>
      <c r="Z1315" t="inlineStr">
        <is>
          <t>2007-06-22</t>
        </is>
      </c>
      <c r="AA1315" t="n">
        <v>70</v>
      </c>
      <c r="AB1315" t="n">
        <v>52</v>
      </c>
      <c r="AC1315" t="n">
        <v>57</v>
      </c>
      <c r="AD1315" t="n">
        <v>1</v>
      </c>
      <c r="AE1315" t="n">
        <v>1</v>
      </c>
      <c r="AF1315" t="n">
        <v>1</v>
      </c>
      <c r="AG1315" t="n">
        <v>1</v>
      </c>
      <c r="AH1315" t="n">
        <v>1</v>
      </c>
      <c r="AI1315" t="n">
        <v>1</v>
      </c>
      <c r="AJ1315" t="n">
        <v>0</v>
      </c>
      <c r="AK1315" t="n">
        <v>0</v>
      </c>
      <c r="AL1315" t="n">
        <v>0</v>
      </c>
      <c r="AM1315" t="n">
        <v>0</v>
      </c>
      <c r="AN1315" t="n">
        <v>0</v>
      </c>
      <c r="AO1315" t="n">
        <v>0</v>
      </c>
      <c r="AP1315" t="n">
        <v>0</v>
      </c>
      <c r="AQ1315" t="n">
        <v>0</v>
      </c>
      <c r="AR1315" t="inlineStr">
        <is>
          <t>No</t>
        </is>
      </c>
      <c r="AS1315" t="inlineStr">
        <is>
          <t>No</t>
        </is>
      </c>
      <c r="AU1315">
        <f>HYPERLINK("https://creighton-primo.hosted.exlibrisgroup.com/primo-explore/search?tab=default_tab&amp;search_scope=EVERYTHING&amp;vid=01CRU&amp;lang=en_US&amp;offset=0&amp;query=any,contains,991000634299702656","Catalog Record")</f>
        <v/>
      </c>
      <c r="AV1315">
        <f>HYPERLINK("http://www.worldcat.org/oclc/53180013","WorldCat Record")</f>
        <v/>
      </c>
      <c r="AW1315" t="inlineStr">
        <is>
          <t>2866010725:eng</t>
        </is>
      </c>
      <c r="AX1315" t="inlineStr">
        <is>
          <t>53180013</t>
        </is>
      </c>
      <c r="AY1315" t="inlineStr">
        <is>
          <t>991000634299702656</t>
        </is>
      </c>
      <c r="AZ1315" t="inlineStr">
        <is>
          <t>991000634299702656</t>
        </is>
      </c>
      <c r="BA1315" t="inlineStr">
        <is>
          <t>2257739970002656</t>
        </is>
      </c>
      <c r="BB1315" t="inlineStr">
        <is>
          <t>BOOK</t>
        </is>
      </c>
      <c r="BD1315" t="inlineStr">
        <is>
          <t>9780781732154</t>
        </is>
      </c>
      <c r="BE1315" t="inlineStr">
        <is>
          <t>30001005218443</t>
        </is>
      </c>
      <c r="BF1315" t="inlineStr">
        <is>
          <t>893459533</t>
        </is>
      </c>
    </row>
    <row r="1316">
      <c r="A1316" t="inlineStr">
        <is>
          <t>No</t>
        </is>
      </c>
      <c r="B1316" t="inlineStr">
        <is>
          <t>CUHSL</t>
        </is>
      </c>
      <c r="C1316" t="inlineStr">
        <is>
          <t>SHELVES</t>
        </is>
      </c>
      <c r="D1316" t="inlineStr">
        <is>
          <t>WY 150 B897t 1984</t>
        </is>
      </c>
      <c r="E1316" t="inlineStr">
        <is>
          <t>0                      WY 0150000B  897t        1984</t>
        </is>
      </c>
      <c r="F1316" t="inlineStr">
        <is>
          <t>Textbook of medical-surgical nursing / Lillian Sholtis Brunner, Doris Smith Suddarth.</t>
        </is>
      </c>
      <c r="H1316" t="inlineStr">
        <is>
          <t>No</t>
        </is>
      </c>
      <c r="I1316" t="inlineStr">
        <is>
          <t>1</t>
        </is>
      </c>
      <c r="J1316" t="inlineStr">
        <is>
          <t>No</t>
        </is>
      </c>
      <c r="K1316" t="inlineStr">
        <is>
          <t>No</t>
        </is>
      </c>
      <c r="L1316" t="inlineStr">
        <is>
          <t>0</t>
        </is>
      </c>
      <c r="M1316" t="inlineStr">
        <is>
          <t>Brunner, Lillian Sholtis.</t>
        </is>
      </c>
      <c r="N1316" t="inlineStr">
        <is>
          <t>Philadelphia : Lippincott, c1984.</t>
        </is>
      </c>
      <c r="O1316" t="inlineStr">
        <is>
          <t>1984</t>
        </is>
      </c>
      <c r="P1316" t="inlineStr">
        <is>
          <t>5th ed. / with special assistance from Brenda G. Bare ; with 32 contributors.</t>
        </is>
      </c>
      <c r="Q1316" t="inlineStr">
        <is>
          <t>eng</t>
        </is>
      </c>
      <c r="R1316" t="inlineStr">
        <is>
          <t>xxu</t>
        </is>
      </c>
      <c r="T1316" t="inlineStr">
        <is>
          <t xml:space="preserve">WY </t>
        </is>
      </c>
      <c r="U1316" t="n">
        <v>47</v>
      </c>
      <c r="V1316" t="n">
        <v>47</v>
      </c>
      <c r="W1316" t="inlineStr">
        <is>
          <t>1991-11-17</t>
        </is>
      </c>
      <c r="X1316" t="inlineStr">
        <is>
          <t>1991-11-17</t>
        </is>
      </c>
      <c r="Y1316" t="inlineStr">
        <is>
          <t>1987-10-23</t>
        </is>
      </c>
      <c r="Z1316" t="inlineStr">
        <is>
          <t>1987-10-23</t>
        </is>
      </c>
      <c r="AA1316" t="n">
        <v>321</v>
      </c>
      <c r="AB1316" t="n">
        <v>264</v>
      </c>
      <c r="AC1316" t="n">
        <v>473</v>
      </c>
      <c r="AD1316" t="n">
        <v>2</v>
      </c>
      <c r="AE1316" t="n">
        <v>3</v>
      </c>
      <c r="AF1316" t="n">
        <v>5</v>
      </c>
      <c r="AG1316" t="n">
        <v>6</v>
      </c>
      <c r="AH1316" t="n">
        <v>1</v>
      </c>
      <c r="AI1316" t="n">
        <v>2</v>
      </c>
      <c r="AJ1316" t="n">
        <v>1</v>
      </c>
      <c r="AK1316" t="n">
        <v>1</v>
      </c>
      <c r="AL1316" t="n">
        <v>2</v>
      </c>
      <c r="AM1316" t="n">
        <v>2</v>
      </c>
      <c r="AN1316" t="n">
        <v>1</v>
      </c>
      <c r="AO1316" t="n">
        <v>1</v>
      </c>
      <c r="AP1316" t="n">
        <v>0</v>
      </c>
      <c r="AQ1316" t="n">
        <v>0</v>
      </c>
      <c r="AR1316" t="inlineStr">
        <is>
          <t>No</t>
        </is>
      </c>
      <c r="AS1316" t="inlineStr">
        <is>
          <t>No</t>
        </is>
      </c>
      <c r="AU1316">
        <f>HYPERLINK("https://creighton-primo.hosted.exlibrisgroup.com/primo-explore/search?tab=default_tab&amp;search_scope=EVERYTHING&amp;vid=01CRU&amp;lang=en_US&amp;offset=0&amp;query=any,contains,991000735939702656","Catalog Record")</f>
        <v/>
      </c>
      <c r="AV1316">
        <f>HYPERLINK("http://www.worldcat.org/oclc/9852253","WorldCat Record")</f>
        <v/>
      </c>
      <c r="AW1316" t="inlineStr">
        <is>
          <t>4020627199:eng</t>
        </is>
      </c>
      <c r="AX1316" t="inlineStr">
        <is>
          <t>9852253</t>
        </is>
      </c>
      <c r="AY1316" t="inlineStr">
        <is>
          <t>991000735939702656</t>
        </is>
      </c>
      <c r="AZ1316" t="inlineStr">
        <is>
          <t>991000735939702656</t>
        </is>
      </c>
      <c r="BA1316" t="inlineStr">
        <is>
          <t>2255130720002656</t>
        </is>
      </c>
      <c r="BB1316" t="inlineStr">
        <is>
          <t>BOOK</t>
        </is>
      </c>
      <c r="BD1316" t="inlineStr">
        <is>
          <t>9780397544196</t>
        </is>
      </c>
      <c r="BE1316" t="inlineStr">
        <is>
          <t>30001000041360</t>
        </is>
      </c>
      <c r="BF1316" t="inlineStr">
        <is>
          <t>893459768</t>
        </is>
      </c>
    </row>
    <row r="1317">
      <c r="A1317" t="inlineStr">
        <is>
          <t>No</t>
        </is>
      </c>
      <c r="B1317" t="inlineStr">
        <is>
          <t>CUHSL</t>
        </is>
      </c>
      <c r="C1317" t="inlineStr">
        <is>
          <t>SHELVES</t>
        </is>
      </c>
      <c r="D1317" t="inlineStr">
        <is>
          <t>WY 150 C188n 1984</t>
        </is>
      </c>
      <c r="E1317" t="inlineStr">
        <is>
          <t>0                      WY 0150000C  188n        1984</t>
        </is>
      </c>
      <c r="F1317" t="inlineStr">
        <is>
          <t>Nursing care of victims of family violence / by Jacquelyn Campbell and Janice Humphreys.</t>
        </is>
      </c>
      <c r="H1317" t="inlineStr">
        <is>
          <t>No</t>
        </is>
      </c>
      <c r="I1317" t="inlineStr">
        <is>
          <t>1</t>
        </is>
      </c>
      <c r="J1317" t="inlineStr">
        <is>
          <t>No</t>
        </is>
      </c>
      <c r="K1317" t="inlineStr">
        <is>
          <t>No</t>
        </is>
      </c>
      <c r="L1317" t="inlineStr">
        <is>
          <t>0</t>
        </is>
      </c>
      <c r="M1317" t="inlineStr">
        <is>
          <t>Campbell, Jacquelyn.</t>
        </is>
      </c>
      <c r="N1317" t="inlineStr">
        <is>
          <t>Reston, Va. : Reston Pub. Co., c1984.</t>
        </is>
      </c>
      <c r="O1317" t="inlineStr">
        <is>
          <t>1984</t>
        </is>
      </c>
      <c r="Q1317" t="inlineStr">
        <is>
          <t>eng</t>
        </is>
      </c>
      <c r="R1317" t="inlineStr">
        <is>
          <t>xxu</t>
        </is>
      </c>
      <c r="T1317" t="inlineStr">
        <is>
          <t xml:space="preserve">WY </t>
        </is>
      </c>
      <c r="U1317" t="n">
        <v>12</v>
      </c>
      <c r="V1317" t="n">
        <v>12</v>
      </c>
      <c r="W1317" t="inlineStr">
        <is>
          <t>2002-09-06</t>
        </is>
      </c>
      <c r="X1317" t="inlineStr">
        <is>
          <t>2002-09-06</t>
        </is>
      </c>
      <c r="Y1317" t="inlineStr">
        <is>
          <t>1987-12-30</t>
        </is>
      </c>
      <c r="Z1317" t="inlineStr">
        <is>
          <t>1987-12-30</t>
        </is>
      </c>
      <c r="AA1317" t="n">
        <v>432</v>
      </c>
      <c r="AB1317" t="n">
        <v>378</v>
      </c>
      <c r="AC1317" t="n">
        <v>385</v>
      </c>
      <c r="AD1317" t="n">
        <v>1</v>
      </c>
      <c r="AE1317" t="n">
        <v>1</v>
      </c>
      <c r="AF1317" t="n">
        <v>14</v>
      </c>
      <c r="AG1317" t="n">
        <v>14</v>
      </c>
      <c r="AH1317" t="n">
        <v>7</v>
      </c>
      <c r="AI1317" t="n">
        <v>7</v>
      </c>
      <c r="AJ1317" t="n">
        <v>4</v>
      </c>
      <c r="AK1317" t="n">
        <v>4</v>
      </c>
      <c r="AL1317" t="n">
        <v>9</v>
      </c>
      <c r="AM1317" t="n">
        <v>9</v>
      </c>
      <c r="AN1317" t="n">
        <v>0</v>
      </c>
      <c r="AO1317" t="n">
        <v>0</v>
      </c>
      <c r="AP1317" t="n">
        <v>0</v>
      </c>
      <c r="AQ1317" t="n">
        <v>0</v>
      </c>
      <c r="AR1317" t="inlineStr">
        <is>
          <t>No</t>
        </is>
      </c>
      <c r="AS1317" t="inlineStr">
        <is>
          <t>Yes</t>
        </is>
      </c>
      <c r="AT1317">
        <f>HYPERLINK("http://catalog.hathitrust.org/Record/000121074","HathiTrust Record")</f>
        <v/>
      </c>
      <c r="AU1317">
        <f>HYPERLINK("https://creighton-primo.hosted.exlibrisgroup.com/primo-explore/search?tab=default_tab&amp;search_scope=EVERYTHING&amp;vid=01CRU&amp;lang=en_US&amp;offset=0&amp;query=any,contains,991001085129702656","Catalog Record")</f>
        <v/>
      </c>
      <c r="AV1317">
        <f>HYPERLINK("http://www.worldcat.org/oclc/9682756","WorldCat Record")</f>
        <v/>
      </c>
      <c r="AW1317" t="inlineStr">
        <is>
          <t>24767294:eng</t>
        </is>
      </c>
      <c r="AX1317" t="inlineStr">
        <is>
          <t>9682756</t>
        </is>
      </c>
      <c r="AY1317" t="inlineStr">
        <is>
          <t>991001085129702656</t>
        </is>
      </c>
      <c r="AZ1317" t="inlineStr">
        <is>
          <t>991001085129702656</t>
        </is>
      </c>
      <c r="BA1317" t="inlineStr">
        <is>
          <t>2262518400002656</t>
        </is>
      </c>
      <c r="BB1317" t="inlineStr">
        <is>
          <t>BOOK</t>
        </is>
      </c>
      <c r="BD1317" t="inlineStr">
        <is>
          <t>9780835950428</t>
        </is>
      </c>
      <c r="BE1317" t="inlineStr">
        <is>
          <t>30001000258832</t>
        </is>
      </c>
      <c r="BF1317" t="inlineStr">
        <is>
          <t>893546360</t>
        </is>
      </c>
    </row>
    <row r="1318">
      <c r="A1318" t="inlineStr">
        <is>
          <t>No</t>
        </is>
      </c>
      <c r="B1318" t="inlineStr">
        <is>
          <t>CUHSL</t>
        </is>
      </c>
      <c r="C1318" t="inlineStr">
        <is>
          <t>SHELVES</t>
        </is>
      </c>
      <c r="D1318" t="inlineStr">
        <is>
          <t>WY 150 C737 1981</t>
        </is>
      </c>
      <c r="E1318" t="inlineStr">
        <is>
          <t>0                      WY 0150000C  737         1981</t>
        </is>
      </c>
      <c r="F1318" t="inlineStr">
        <is>
          <t>Comprehensive rehabilitation nursing / Edited by Nancy Martin, Nancye B. Holt, Dorothy Hicks.</t>
        </is>
      </c>
      <c r="H1318" t="inlineStr">
        <is>
          <t>No</t>
        </is>
      </c>
      <c r="I1318" t="inlineStr">
        <is>
          <t>1</t>
        </is>
      </c>
      <c r="J1318" t="inlineStr">
        <is>
          <t>No</t>
        </is>
      </c>
      <c r="K1318" t="inlineStr">
        <is>
          <t>No</t>
        </is>
      </c>
      <c r="L1318" t="inlineStr">
        <is>
          <t>0</t>
        </is>
      </c>
      <c r="N1318" t="inlineStr">
        <is>
          <t>New York : McGraw-Hill, c1981.</t>
        </is>
      </c>
      <c r="O1318" t="inlineStr">
        <is>
          <t>1981</t>
        </is>
      </c>
      <c r="Q1318" t="inlineStr">
        <is>
          <t>eng</t>
        </is>
      </c>
      <c r="R1318" t="inlineStr">
        <is>
          <t>xxu</t>
        </is>
      </c>
      <c r="T1318" t="inlineStr">
        <is>
          <t xml:space="preserve">WY </t>
        </is>
      </c>
      <c r="U1318" t="n">
        <v>6</v>
      </c>
      <c r="V1318" t="n">
        <v>6</v>
      </c>
      <c r="W1318" t="inlineStr">
        <is>
          <t>1990-06-13</t>
        </is>
      </c>
      <c r="X1318" t="inlineStr">
        <is>
          <t>1990-06-13</t>
        </is>
      </c>
      <c r="Y1318" t="inlineStr">
        <is>
          <t>1987-12-30</t>
        </is>
      </c>
      <c r="Z1318" t="inlineStr">
        <is>
          <t>1987-12-30</t>
        </is>
      </c>
      <c r="AA1318" t="n">
        <v>291</v>
      </c>
      <c r="AB1318" t="n">
        <v>237</v>
      </c>
      <c r="AC1318" t="n">
        <v>239</v>
      </c>
      <c r="AD1318" t="n">
        <v>3</v>
      </c>
      <c r="AE1318" t="n">
        <v>3</v>
      </c>
      <c r="AF1318" t="n">
        <v>8</v>
      </c>
      <c r="AG1318" t="n">
        <v>8</v>
      </c>
      <c r="AH1318" t="n">
        <v>3</v>
      </c>
      <c r="AI1318" t="n">
        <v>3</v>
      </c>
      <c r="AJ1318" t="n">
        <v>2</v>
      </c>
      <c r="AK1318" t="n">
        <v>2</v>
      </c>
      <c r="AL1318" t="n">
        <v>3</v>
      </c>
      <c r="AM1318" t="n">
        <v>3</v>
      </c>
      <c r="AN1318" t="n">
        <v>1</v>
      </c>
      <c r="AO1318" t="n">
        <v>1</v>
      </c>
      <c r="AP1318" t="n">
        <v>0</v>
      </c>
      <c r="AQ1318" t="n">
        <v>0</v>
      </c>
      <c r="AR1318" t="inlineStr">
        <is>
          <t>No</t>
        </is>
      </c>
      <c r="AS1318" t="inlineStr">
        <is>
          <t>Yes</t>
        </is>
      </c>
      <c r="AT1318">
        <f>HYPERLINK("http://catalog.hathitrust.org/Record/000715713","HathiTrust Record")</f>
        <v/>
      </c>
      <c r="AU1318">
        <f>HYPERLINK("https://creighton-primo.hosted.exlibrisgroup.com/primo-explore/search?tab=default_tab&amp;search_scope=EVERYTHING&amp;vid=01CRU&amp;lang=en_US&amp;offset=0&amp;query=any,contains,991001085159702656","Catalog Record")</f>
        <v/>
      </c>
      <c r="AV1318">
        <f>HYPERLINK("http://www.worldcat.org/oclc/6195738","WorldCat Record")</f>
        <v/>
      </c>
      <c r="AW1318" t="inlineStr">
        <is>
          <t>355431978:eng</t>
        </is>
      </c>
      <c r="AX1318" t="inlineStr">
        <is>
          <t>6195738</t>
        </is>
      </c>
      <c r="AY1318" t="inlineStr">
        <is>
          <t>991001085159702656</t>
        </is>
      </c>
      <c r="AZ1318" t="inlineStr">
        <is>
          <t>991001085159702656</t>
        </is>
      </c>
      <c r="BA1318" t="inlineStr">
        <is>
          <t>2257041810002656</t>
        </is>
      </c>
      <c r="BB1318" t="inlineStr">
        <is>
          <t>BOOK</t>
        </is>
      </c>
      <c r="BD1318" t="inlineStr">
        <is>
          <t>9780070406117</t>
        </is>
      </c>
      <c r="BE1318" t="inlineStr">
        <is>
          <t>30001000258840</t>
        </is>
      </c>
      <c r="BF1318" t="inlineStr">
        <is>
          <t>893727224</t>
        </is>
      </c>
    </row>
    <row r="1319">
      <c r="A1319" t="inlineStr">
        <is>
          <t>No</t>
        </is>
      </c>
      <c r="B1319" t="inlineStr">
        <is>
          <t>CUHSL</t>
        </is>
      </c>
      <c r="C1319" t="inlineStr">
        <is>
          <t>SHELVES</t>
        </is>
      </c>
      <c r="D1319" t="inlineStr">
        <is>
          <t>WY 150 C968 1998</t>
        </is>
      </c>
      <c r="E1319" t="inlineStr">
        <is>
          <t>0                      WY 0150000C  968         1998</t>
        </is>
      </c>
      <c r="F1319" t="inlineStr">
        <is>
          <t>Culturally competent assessment for family violence / American Nurses Association.</t>
        </is>
      </c>
      <c r="H1319" t="inlineStr">
        <is>
          <t>No</t>
        </is>
      </c>
      <c r="I1319" t="inlineStr">
        <is>
          <t>1</t>
        </is>
      </c>
      <c r="J1319" t="inlineStr">
        <is>
          <t>No</t>
        </is>
      </c>
      <c r="K1319" t="inlineStr">
        <is>
          <t>No</t>
        </is>
      </c>
      <c r="L1319" t="inlineStr">
        <is>
          <t>0</t>
        </is>
      </c>
      <c r="N1319" t="inlineStr">
        <is>
          <t>Washington, DC : American Nurses Pub., c1998.</t>
        </is>
      </c>
      <c r="O1319" t="inlineStr">
        <is>
          <t>1998</t>
        </is>
      </c>
      <c r="Q1319" t="inlineStr">
        <is>
          <t>eng</t>
        </is>
      </c>
      <c r="R1319" t="inlineStr">
        <is>
          <t>dcu</t>
        </is>
      </c>
      <c r="S1319" t="inlineStr">
        <is>
          <t>ANA pub. no. 9804NP 1/M</t>
        </is>
      </c>
      <c r="T1319" t="inlineStr">
        <is>
          <t xml:space="preserve">WY </t>
        </is>
      </c>
      <c r="U1319" t="n">
        <v>0</v>
      </c>
      <c r="V1319" t="n">
        <v>0</v>
      </c>
      <c r="W1319" t="inlineStr">
        <is>
          <t>2003-02-17</t>
        </is>
      </c>
      <c r="X1319" t="inlineStr">
        <is>
          <t>2003-02-17</t>
        </is>
      </c>
      <c r="Y1319" t="inlineStr">
        <is>
          <t>2000-06-15</t>
        </is>
      </c>
      <c r="Z1319" t="inlineStr">
        <is>
          <t>2000-06-15</t>
        </is>
      </c>
      <c r="AA1319" t="n">
        <v>263</v>
      </c>
      <c r="AB1319" t="n">
        <v>253</v>
      </c>
      <c r="AC1319" t="n">
        <v>268</v>
      </c>
      <c r="AD1319" t="n">
        <v>3</v>
      </c>
      <c r="AE1319" t="n">
        <v>3</v>
      </c>
      <c r="AF1319" t="n">
        <v>15</v>
      </c>
      <c r="AG1319" t="n">
        <v>15</v>
      </c>
      <c r="AH1319" t="n">
        <v>4</v>
      </c>
      <c r="AI1319" t="n">
        <v>4</v>
      </c>
      <c r="AJ1319" t="n">
        <v>3</v>
      </c>
      <c r="AK1319" t="n">
        <v>3</v>
      </c>
      <c r="AL1319" t="n">
        <v>9</v>
      </c>
      <c r="AM1319" t="n">
        <v>9</v>
      </c>
      <c r="AN1319" t="n">
        <v>1</v>
      </c>
      <c r="AO1319" t="n">
        <v>1</v>
      </c>
      <c r="AP1319" t="n">
        <v>0</v>
      </c>
      <c r="AQ1319" t="n">
        <v>0</v>
      </c>
      <c r="AR1319" t="inlineStr">
        <is>
          <t>No</t>
        </is>
      </c>
      <c r="AS1319" t="inlineStr">
        <is>
          <t>Yes</t>
        </is>
      </c>
      <c r="AT1319">
        <f>HYPERLINK("http://catalog.hathitrust.org/Record/004052024","HathiTrust Record")</f>
        <v/>
      </c>
      <c r="AU1319">
        <f>HYPERLINK("https://creighton-primo.hosted.exlibrisgroup.com/primo-explore/search?tab=default_tab&amp;search_scope=EVERYTHING&amp;vid=01CRU&amp;lang=en_US&amp;offset=0&amp;query=any,contains,991000269229702656","Catalog Record")</f>
        <v/>
      </c>
      <c r="AV1319">
        <f>HYPERLINK("http://www.worldcat.org/oclc/38752930","WorldCat Record")</f>
        <v/>
      </c>
      <c r="AW1319" t="inlineStr">
        <is>
          <t>998737:eng</t>
        </is>
      </c>
      <c r="AX1319" t="inlineStr">
        <is>
          <t>38752930</t>
        </is>
      </c>
      <c r="AY1319" t="inlineStr">
        <is>
          <t>991000269229702656</t>
        </is>
      </c>
      <c r="AZ1319" t="inlineStr">
        <is>
          <t>991000269229702656</t>
        </is>
      </c>
      <c r="BA1319" t="inlineStr">
        <is>
          <t>2269244380002656</t>
        </is>
      </c>
      <c r="BB1319" t="inlineStr">
        <is>
          <t>BOOK</t>
        </is>
      </c>
      <c r="BD1319" t="inlineStr">
        <is>
          <t>9781558101401</t>
        </is>
      </c>
      <c r="BE1319" t="inlineStr">
        <is>
          <t>30001003803345</t>
        </is>
      </c>
      <c r="BF1319" t="inlineStr">
        <is>
          <t>893136015</t>
        </is>
      </c>
    </row>
    <row r="1320">
      <c r="A1320" t="inlineStr">
        <is>
          <t>No</t>
        </is>
      </c>
      <c r="B1320" t="inlineStr">
        <is>
          <t>CUHSL</t>
        </is>
      </c>
      <c r="C1320" t="inlineStr">
        <is>
          <t>SHELVES</t>
        </is>
      </c>
      <c r="D1320" t="inlineStr">
        <is>
          <t>WY 150 D489 1994</t>
        </is>
      </c>
      <c r="E1320" t="inlineStr">
        <is>
          <t>0                      WY 0150000D  489         1994</t>
        </is>
      </c>
      <c r="F1320" t="inlineStr">
        <is>
          <t>Developing knowledge for practice : challenges and opportunities.</t>
        </is>
      </c>
      <c r="H1320" t="inlineStr">
        <is>
          <t>No</t>
        </is>
      </c>
      <c r="I1320" t="inlineStr">
        <is>
          <t>1</t>
        </is>
      </c>
      <c r="J1320" t="inlineStr">
        <is>
          <t>No</t>
        </is>
      </c>
      <c r="K1320" t="inlineStr">
        <is>
          <t>No</t>
        </is>
      </c>
      <c r="L1320" t="inlineStr">
        <is>
          <t>0</t>
        </is>
      </c>
      <c r="N1320" t="inlineStr">
        <is>
          <t>Bethseda, Md. : ill.</t>
        </is>
      </c>
      <c r="O1320" t="inlineStr">
        <is>
          <t>1994</t>
        </is>
      </c>
      <c r="Q1320" t="inlineStr">
        <is>
          <t>eng</t>
        </is>
      </c>
      <c r="R1320" t="inlineStr">
        <is>
          <t>mdu</t>
        </is>
      </c>
      <c r="S1320" t="inlineStr">
        <is>
          <t>National nursing research agenda</t>
        </is>
      </c>
      <c r="T1320" t="inlineStr">
        <is>
          <t xml:space="preserve">WY </t>
        </is>
      </c>
      <c r="U1320" t="n">
        <v>3</v>
      </c>
      <c r="V1320" t="n">
        <v>3</v>
      </c>
      <c r="W1320" t="inlineStr">
        <is>
          <t>1994-09-07</t>
        </is>
      </c>
      <c r="X1320" t="inlineStr">
        <is>
          <t>1994-09-07</t>
        </is>
      </c>
      <c r="Y1320" t="inlineStr">
        <is>
          <t>1994-09-07</t>
        </is>
      </c>
      <c r="Z1320" t="inlineStr">
        <is>
          <t>1994-09-07</t>
        </is>
      </c>
      <c r="AA1320" t="n">
        <v>1</v>
      </c>
      <c r="AB1320" t="n">
        <v>1</v>
      </c>
      <c r="AC1320" t="n">
        <v>1</v>
      </c>
      <c r="AD1320" t="n">
        <v>1</v>
      </c>
      <c r="AE1320" t="n">
        <v>1</v>
      </c>
      <c r="AF1320" t="n">
        <v>0</v>
      </c>
      <c r="AG1320" t="n">
        <v>0</v>
      </c>
      <c r="AH1320" t="n">
        <v>0</v>
      </c>
      <c r="AI1320" t="n">
        <v>0</v>
      </c>
      <c r="AJ1320" t="n">
        <v>0</v>
      </c>
      <c r="AK1320" t="n">
        <v>0</v>
      </c>
      <c r="AL1320" t="n">
        <v>0</v>
      </c>
      <c r="AM1320" t="n">
        <v>0</v>
      </c>
      <c r="AN1320" t="n">
        <v>0</v>
      </c>
      <c r="AO1320" t="n">
        <v>0</v>
      </c>
      <c r="AP1320" t="n">
        <v>0</v>
      </c>
      <c r="AQ1320" t="n">
        <v>0</v>
      </c>
      <c r="AR1320" t="inlineStr">
        <is>
          <t>No</t>
        </is>
      </c>
      <c r="AS1320" t="inlineStr">
        <is>
          <t>No</t>
        </is>
      </c>
      <c r="AU1320">
        <f>HYPERLINK("https://creighton-primo.hosted.exlibrisgroup.com/primo-explore/search?tab=default_tab&amp;search_scope=EVERYTHING&amp;vid=01CRU&amp;lang=en_US&amp;offset=0&amp;query=any,contains,991000677059702656","Catalog Record")</f>
        <v/>
      </c>
      <c r="AV1320">
        <f>HYPERLINK("http://www.worldcat.org/oclc/31426998","WorldCat Record")</f>
        <v/>
      </c>
      <c r="AW1320" t="inlineStr">
        <is>
          <t>5091128034:eng</t>
        </is>
      </c>
      <c r="AX1320" t="inlineStr">
        <is>
          <t>31426998</t>
        </is>
      </c>
      <c r="AY1320" t="inlineStr">
        <is>
          <t>991000677059702656</t>
        </is>
      </c>
      <c r="AZ1320" t="inlineStr">
        <is>
          <t>991000677059702656</t>
        </is>
      </c>
      <c r="BA1320" t="inlineStr">
        <is>
          <t>2261522430002656</t>
        </is>
      </c>
      <c r="BB1320" t="inlineStr">
        <is>
          <t>BOOK</t>
        </is>
      </c>
      <c r="BE1320" t="inlineStr">
        <is>
          <t>30001002696641</t>
        </is>
      </c>
      <c r="BF1320" t="inlineStr">
        <is>
          <t>893560392</t>
        </is>
      </c>
    </row>
    <row r="1321">
      <c r="A1321" t="inlineStr">
        <is>
          <t>No</t>
        </is>
      </c>
      <c r="B1321" t="inlineStr">
        <is>
          <t>CUHSL</t>
        </is>
      </c>
      <c r="C1321" t="inlineStr">
        <is>
          <t>SHELVES</t>
        </is>
      </c>
      <c r="D1321" t="inlineStr">
        <is>
          <t>WY 150 D521e 1998</t>
        </is>
      </c>
      <c r="E1321" t="inlineStr">
        <is>
          <t>0                      WY 0150000D  521e        1998</t>
        </is>
      </c>
      <c r="F1321" t="inlineStr">
        <is>
          <t>Essentials of medical-surgical nursing / Susan C. deWit.</t>
        </is>
      </c>
      <c r="H1321" t="inlineStr">
        <is>
          <t>No</t>
        </is>
      </c>
      <c r="I1321" t="inlineStr">
        <is>
          <t>1</t>
        </is>
      </c>
      <c r="J1321" t="inlineStr">
        <is>
          <t>No</t>
        </is>
      </c>
      <c r="K1321" t="inlineStr">
        <is>
          <t>No</t>
        </is>
      </c>
      <c r="L1321" t="inlineStr">
        <is>
          <t>0</t>
        </is>
      </c>
      <c r="M1321" t="inlineStr">
        <is>
          <t>DeWit, Susan C.</t>
        </is>
      </c>
      <c r="N1321" t="inlineStr">
        <is>
          <t>Philadelphia : W.B. Saunders, c1998.</t>
        </is>
      </c>
      <c r="O1321" t="inlineStr">
        <is>
          <t>1998</t>
        </is>
      </c>
      <c r="P1321" t="inlineStr">
        <is>
          <t>4th ed.</t>
        </is>
      </c>
      <c r="Q1321" t="inlineStr">
        <is>
          <t>eng</t>
        </is>
      </c>
      <c r="R1321" t="inlineStr">
        <is>
          <t>pau</t>
        </is>
      </c>
      <c r="T1321" t="inlineStr">
        <is>
          <t xml:space="preserve">WY </t>
        </is>
      </c>
      <c r="U1321" t="n">
        <v>4</v>
      </c>
      <c r="V1321" t="n">
        <v>4</v>
      </c>
      <c r="W1321" t="inlineStr">
        <is>
          <t>1998-02-26</t>
        </is>
      </c>
      <c r="X1321" t="inlineStr">
        <is>
          <t>1998-02-26</t>
        </is>
      </c>
      <c r="Y1321" t="inlineStr">
        <is>
          <t>1998-02-26</t>
        </is>
      </c>
      <c r="Z1321" t="inlineStr">
        <is>
          <t>1998-02-26</t>
        </is>
      </c>
      <c r="AA1321" t="n">
        <v>257</v>
      </c>
      <c r="AB1321" t="n">
        <v>201</v>
      </c>
      <c r="AC1321" t="n">
        <v>201</v>
      </c>
      <c r="AD1321" t="n">
        <v>1</v>
      </c>
      <c r="AE1321" t="n">
        <v>1</v>
      </c>
      <c r="AF1321" t="n">
        <v>2</v>
      </c>
      <c r="AG1321" t="n">
        <v>2</v>
      </c>
      <c r="AH1321" t="n">
        <v>0</v>
      </c>
      <c r="AI1321" t="n">
        <v>0</v>
      </c>
      <c r="AJ1321" t="n">
        <v>0</v>
      </c>
      <c r="AK1321" t="n">
        <v>0</v>
      </c>
      <c r="AL1321" t="n">
        <v>2</v>
      </c>
      <c r="AM1321" t="n">
        <v>2</v>
      </c>
      <c r="AN1321" t="n">
        <v>0</v>
      </c>
      <c r="AO1321" t="n">
        <v>0</v>
      </c>
      <c r="AP1321" t="n">
        <v>0</v>
      </c>
      <c r="AQ1321" t="n">
        <v>0</v>
      </c>
      <c r="AR1321" t="inlineStr">
        <is>
          <t>No</t>
        </is>
      </c>
      <c r="AS1321" t="inlineStr">
        <is>
          <t>No</t>
        </is>
      </c>
      <c r="AU1321">
        <f>HYPERLINK("https://creighton-primo.hosted.exlibrisgroup.com/primo-explore/search?tab=default_tab&amp;search_scope=EVERYTHING&amp;vid=01CRU&amp;lang=en_US&amp;offset=0&amp;query=any,contains,991001306399702656","Catalog Record")</f>
        <v/>
      </c>
      <c r="AV1321">
        <f>HYPERLINK("http://www.worldcat.org/oclc/37480729","WorldCat Record")</f>
        <v/>
      </c>
      <c r="AW1321" t="inlineStr">
        <is>
          <t>2559346365:eng</t>
        </is>
      </c>
      <c r="AX1321" t="inlineStr">
        <is>
          <t>37480729</t>
        </is>
      </c>
      <c r="AY1321" t="inlineStr">
        <is>
          <t>991001306399702656</t>
        </is>
      </c>
      <c r="AZ1321" t="inlineStr">
        <is>
          <t>991001306399702656</t>
        </is>
      </c>
      <c r="BA1321" t="inlineStr">
        <is>
          <t>2268099470002656</t>
        </is>
      </c>
      <c r="BB1321" t="inlineStr">
        <is>
          <t>BOOK</t>
        </is>
      </c>
      <c r="BD1321" t="inlineStr">
        <is>
          <t>9780721669205</t>
        </is>
      </c>
      <c r="BE1321" t="inlineStr">
        <is>
          <t>30001003749910</t>
        </is>
      </c>
      <c r="BF1321" t="inlineStr">
        <is>
          <t>893451067</t>
        </is>
      </c>
    </row>
    <row r="1322">
      <c r="A1322" t="inlineStr">
        <is>
          <t>No</t>
        </is>
      </c>
      <c r="B1322" t="inlineStr">
        <is>
          <t>CUHSL</t>
        </is>
      </c>
      <c r="C1322" t="inlineStr">
        <is>
          <t>SHELVES</t>
        </is>
      </c>
      <c r="D1322" t="inlineStr">
        <is>
          <t>WY 150 E36n 1984</t>
        </is>
      </c>
      <c r="E1322" t="inlineStr">
        <is>
          <t>0                      WY 0150000E  36n         1984</t>
        </is>
      </c>
      <c r="F1322" t="inlineStr">
        <is>
          <t>The nurse's 1984-85 guide to drug therapy : drug profiles for patient care / Laurel A. Eisenhauer, Michael C. Gerald.</t>
        </is>
      </c>
      <c r="H1322" t="inlineStr">
        <is>
          <t>No</t>
        </is>
      </c>
      <c r="I1322" t="inlineStr">
        <is>
          <t>1</t>
        </is>
      </c>
      <c r="J1322" t="inlineStr">
        <is>
          <t>No</t>
        </is>
      </c>
      <c r="K1322" t="inlineStr">
        <is>
          <t>No</t>
        </is>
      </c>
      <c r="L1322" t="inlineStr">
        <is>
          <t>0</t>
        </is>
      </c>
      <c r="M1322" t="inlineStr">
        <is>
          <t>Eisenhauer, Laurel A.</t>
        </is>
      </c>
      <c r="N1322" t="inlineStr">
        <is>
          <t>Englewood Cliffs, N.J. : Prentice-Hall, c1984.</t>
        </is>
      </c>
      <c r="O1322" t="inlineStr">
        <is>
          <t>1984</t>
        </is>
      </c>
      <c r="Q1322" t="inlineStr">
        <is>
          <t>eng</t>
        </is>
      </c>
      <c r="R1322" t="inlineStr">
        <is>
          <t>xxu</t>
        </is>
      </c>
      <c r="T1322" t="inlineStr">
        <is>
          <t xml:space="preserve">WY </t>
        </is>
      </c>
      <c r="U1322" t="n">
        <v>2</v>
      </c>
      <c r="V1322" t="n">
        <v>2</v>
      </c>
      <c r="W1322" t="inlineStr">
        <is>
          <t>1992-05-05</t>
        </is>
      </c>
      <c r="X1322" t="inlineStr">
        <is>
          <t>1992-05-05</t>
        </is>
      </c>
      <c r="Y1322" t="inlineStr">
        <is>
          <t>1987-12-30</t>
        </is>
      </c>
      <c r="Z1322" t="inlineStr">
        <is>
          <t>1987-12-30</t>
        </is>
      </c>
      <c r="AA1322" t="n">
        <v>127</v>
      </c>
      <c r="AB1322" t="n">
        <v>113</v>
      </c>
      <c r="AC1322" t="n">
        <v>115</v>
      </c>
      <c r="AD1322" t="n">
        <v>1</v>
      </c>
      <c r="AE1322" t="n">
        <v>1</v>
      </c>
      <c r="AF1322" t="n">
        <v>1</v>
      </c>
      <c r="AG1322" t="n">
        <v>1</v>
      </c>
      <c r="AH1322" t="n">
        <v>0</v>
      </c>
      <c r="AI1322" t="n">
        <v>0</v>
      </c>
      <c r="AJ1322" t="n">
        <v>0</v>
      </c>
      <c r="AK1322" t="n">
        <v>0</v>
      </c>
      <c r="AL1322" t="n">
        <v>1</v>
      </c>
      <c r="AM1322" t="n">
        <v>1</v>
      </c>
      <c r="AN1322" t="n">
        <v>0</v>
      </c>
      <c r="AO1322" t="n">
        <v>0</v>
      </c>
      <c r="AP1322" t="n">
        <v>0</v>
      </c>
      <c r="AQ1322" t="n">
        <v>0</v>
      </c>
      <c r="AR1322" t="inlineStr">
        <is>
          <t>No</t>
        </is>
      </c>
      <c r="AS1322" t="inlineStr">
        <is>
          <t>Yes</t>
        </is>
      </c>
      <c r="AT1322">
        <f>HYPERLINK("http://catalog.hathitrust.org/Record/000779748","HathiTrust Record")</f>
        <v/>
      </c>
      <c r="AU1322">
        <f>HYPERLINK("https://creighton-primo.hosted.exlibrisgroup.com/primo-explore/search?tab=default_tab&amp;search_scope=EVERYTHING&amp;vid=01CRU&amp;lang=en_US&amp;offset=0&amp;query=any,contains,991001085309702656","Catalog Record")</f>
        <v/>
      </c>
      <c r="AV1322">
        <f>HYPERLINK("http://www.worldcat.org/oclc/9392948","WorldCat Record")</f>
        <v/>
      </c>
      <c r="AW1322" t="inlineStr">
        <is>
          <t>43093574:eng</t>
        </is>
      </c>
      <c r="AX1322" t="inlineStr">
        <is>
          <t>9392948</t>
        </is>
      </c>
      <c r="AY1322" t="inlineStr">
        <is>
          <t>991001085309702656</t>
        </is>
      </c>
      <c r="AZ1322" t="inlineStr">
        <is>
          <t>991001085309702656</t>
        </is>
      </c>
      <c r="BA1322" t="inlineStr">
        <is>
          <t>2263553880002656</t>
        </is>
      </c>
      <c r="BB1322" t="inlineStr">
        <is>
          <t>BOOK</t>
        </is>
      </c>
      <c r="BD1322" t="inlineStr">
        <is>
          <t>9780136274636</t>
        </is>
      </c>
      <c r="BE1322" t="inlineStr">
        <is>
          <t>30001000258949</t>
        </is>
      </c>
      <c r="BF1322" t="inlineStr">
        <is>
          <t>893121152</t>
        </is>
      </c>
    </row>
    <row r="1323">
      <c r="A1323" t="inlineStr">
        <is>
          <t>No</t>
        </is>
      </c>
      <c r="B1323" t="inlineStr">
        <is>
          <t>CUHSL</t>
        </is>
      </c>
      <c r="C1323" t="inlineStr">
        <is>
          <t>SHELVES</t>
        </is>
      </c>
      <c r="D1323" t="inlineStr">
        <is>
          <t>WY 150 E515 1985</t>
        </is>
      </c>
      <c r="E1323" t="inlineStr">
        <is>
          <t>0                      WY 0150000E  515         1985</t>
        </is>
      </c>
      <c r="F1323" t="inlineStr">
        <is>
          <t>Emergencies.</t>
        </is>
      </c>
      <c r="H1323" t="inlineStr">
        <is>
          <t>No</t>
        </is>
      </c>
      <c r="I1323" t="inlineStr">
        <is>
          <t>1</t>
        </is>
      </c>
      <c r="J1323" t="inlineStr">
        <is>
          <t>No</t>
        </is>
      </c>
      <c r="K1323" t="inlineStr">
        <is>
          <t>No</t>
        </is>
      </c>
      <c r="L1323" t="inlineStr">
        <is>
          <t>0</t>
        </is>
      </c>
      <c r="N1323" t="inlineStr">
        <is>
          <t>Springhouse, Pa. : Springhouse Corp., c1985.</t>
        </is>
      </c>
      <c r="O1323" t="inlineStr">
        <is>
          <t>1985</t>
        </is>
      </c>
      <c r="Q1323" t="inlineStr">
        <is>
          <t>eng</t>
        </is>
      </c>
      <c r="R1323" t="inlineStr">
        <is>
          <t>xxu</t>
        </is>
      </c>
      <c r="S1323" t="inlineStr">
        <is>
          <t>Nurse's reference library</t>
        </is>
      </c>
      <c r="T1323" t="inlineStr">
        <is>
          <t xml:space="preserve">WY </t>
        </is>
      </c>
      <c r="U1323" t="n">
        <v>3</v>
      </c>
      <c r="V1323" t="n">
        <v>3</v>
      </c>
      <c r="W1323" t="inlineStr">
        <is>
          <t>1992-05-05</t>
        </is>
      </c>
      <c r="X1323" t="inlineStr">
        <is>
          <t>1992-05-05</t>
        </is>
      </c>
      <c r="Y1323" t="inlineStr">
        <is>
          <t>1987-12-10</t>
        </is>
      </c>
      <c r="Z1323" t="inlineStr">
        <is>
          <t>1987-12-10</t>
        </is>
      </c>
      <c r="AA1323" t="n">
        <v>491</v>
      </c>
      <c r="AB1323" t="n">
        <v>453</v>
      </c>
      <c r="AC1323" t="n">
        <v>466</v>
      </c>
      <c r="AD1323" t="n">
        <v>3</v>
      </c>
      <c r="AE1323" t="n">
        <v>3</v>
      </c>
      <c r="AF1323" t="n">
        <v>5</v>
      </c>
      <c r="AG1323" t="n">
        <v>5</v>
      </c>
      <c r="AH1323" t="n">
        <v>2</v>
      </c>
      <c r="AI1323" t="n">
        <v>2</v>
      </c>
      <c r="AJ1323" t="n">
        <v>1</v>
      </c>
      <c r="AK1323" t="n">
        <v>1</v>
      </c>
      <c r="AL1323" t="n">
        <v>2</v>
      </c>
      <c r="AM1323" t="n">
        <v>2</v>
      </c>
      <c r="AN1323" t="n">
        <v>0</v>
      </c>
      <c r="AO1323" t="n">
        <v>0</v>
      </c>
      <c r="AP1323" t="n">
        <v>0</v>
      </c>
      <c r="AQ1323" t="n">
        <v>0</v>
      </c>
      <c r="AR1323" t="inlineStr">
        <is>
          <t>No</t>
        </is>
      </c>
      <c r="AS1323" t="inlineStr">
        <is>
          <t>Yes</t>
        </is>
      </c>
      <c r="AT1323">
        <f>HYPERLINK("http://catalog.hathitrust.org/Record/000628385","HathiTrust Record")</f>
        <v/>
      </c>
      <c r="AU1323">
        <f>HYPERLINK("https://creighton-primo.hosted.exlibrisgroup.com/primo-explore/search?tab=default_tab&amp;search_scope=EVERYTHING&amp;vid=01CRU&amp;lang=en_US&amp;offset=0&amp;query=any,contains,991000843159702656","Catalog Record")</f>
        <v/>
      </c>
      <c r="AV1323">
        <f>HYPERLINK("http://www.worldcat.org/oclc/11090102","WorldCat Record")</f>
        <v/>
      </c>
      <c r="AW1323" t="inlineStr">
        <is>
          <t>54660682:eng</t>
        </is>
      </c>
      <c r="AX1323" t="inlineStr">
        <is>
          <t>11090102</t>
        </is>
      </c>
      <c r="AY1323" t="inlineStr">
        <is>
          <t>991000843159702656</t>
        </is>
      </c>
      <c r="AZ1323" t="inlineStr">
        <is>
          <t>991000843159702656</t>
        </is>
      </c>
      <c r="BA1323" t="inlineStr">
        <is>
          <t>2260464370002656</t>
        </is>
      </c>
      <c r="BB1323" t="inlineStr">
        <is>
          <t>BOOK</t>
        </is>
      </c>
      <c r="BD1323" t="inlineStr">
        <is>
          <t>9780916730857</t>
        </is>
      </c>
      <c r="BE1323" t="inlineStr">
        <is>
          <t>30001000785701</t>
        </is>
      </c>
      <c r="BF1323" t="inlineStr">
        <is>
          <t>893735933</t>
        </is>
      </c>
    </row>
    <row r="1324">
      <c r="A1324" t="inlineStr">
        <is>
          <t>No</t>
        </is>
      </c>
      <c r="B1324" t="inlineStr">
        <is>
          <t>CUHSL</t>
        </is>
      </c>
      <c r="C1324" t="inlineStr">
        <is>
          <t>SHELVES</t>
        </is>
      </c>
      <c r="D1324" t="inlineStr">
        <is>
          <t>WY 150 I595a 1998</t>
        </is>
      </c>
      <c r="E1324" t="inlineStr">
        <is>
          <t>0                      WY 0150000I  595a        1998</t>
        </is>
      </c>
      <c r="F1324" t="inlineStr">
        <is>
          <t>Statement on the scope and standards of genetics nursing practice / International Society of Nurses in Genetics, American Nurses Association.</t>
        </is>
      </c>
      <c r="H1324" t="inlineStr">
        <is>
          <t>No</t>
        </is>
      </c>
      <c r="I1324" t="inlineStr">
        <is>
          <t>1</t>
        </is>
      </c>
      <c r="J1324" t="inlineStr">
        <is>
          <t>No</t>
        </is>
      </c>
      <c r="K1324" t="inlineStr">
        <is>
          <t>No</t>
        </is>
      </c>
      <c r="L1324" t="inlineStr">
        <is>
          <t>0</t>
        </is>
      </c>
      <c r="M1324" t="inlineStr">
        <is>
          <t>International Society of Nurses in Genetics.</t>
        </is>
      </c>
      <c r="N1324" t="inlineStr">
        <is>
          <t>Washington, DC : American Nurses Pub., c1998.</t>
        </is>
      </c>
      <c r="O1324" t="inlineStr">
        <is>
          <t>1998</t>
        </is>
      </c>
      <c r="Q1324" t="inlineStr">
        <is>
          <t>eng</t>
        </is>
      </c>
      <c r="R1324" t="inlineStr">
        <is>
          <t>dcu</t>
        </is>
      </c>
      <c r="T1324" t="inlineStr">
        <is>
          <t xml:space="preserve">WY </t>
        </is>
      </c>
      <c r="U1324" t="n">
        <v>0</v>
      </c>
      <c r="V1324" t="n">
        <v>0</v>
      </c>
      <c r="W1324" t="inlineStr">
        <is>
          <t>2002-07-21</t>
        </is>
      </c>
      <c r="X1324" t="inlineStr">
        <is>
          <t>2002-07-21</t>
        </is>
      </c>
      <c r="Y1324" t="inlineStr">
        <is>
          <t>2000-06-15</t>
        </is>
      </c>
      <c r="Z1324" t="inlineStr">
        <is>
          <t>2000-06-15</t>
        </is>
      </c>
      <c r="AA1324" t="n">
        <v>220</v>
      </c>
      <c r="AB1324" t="n">
        <v>216</v>
      </c>
      <c r="AC1324" t="n">
        <v>218</v>
      </c>
      <c r="AD1324" t="n">
        <v>3</v>
      </c>
      <c r="AE1324" t="n">
        <v>3</v>
      </c>
      <c r="AF1324" t="n">
        <v>11</v>
      </c>
      <c r="AG1324" t="n">
        <v>11</v>
      </c>
      <c r="AH1324" t="n">
        <v>2</v>
      </c>
      <c r="AI1324" t="n">
        <v>2</v>
      </c>
      <c r="AJ1324" t="n">
        <v>2</v>
      </c>
      <c r="AK1324" t="n">
        <v>2</v>
      </c>
      <c r="AL1324" t="n">
        <v>8</v>
      </c>
      <c r="AM1324" t="n">
        <v>8</v>
      </c>
      <c r="AN1324" t="n">
        <v>1</v>
      </c>
      <c r="AO1324" t="n">
        <v>1</v>
      </c>
      <c r="AP1324" t="n">
        <v>0</v>
      </c>
      <c r="AQ1324" t="n">
        <v>0</v>
      </c>
      <c r="AR1324" t="inlineStr">
        <is>
          <t>No</t>
        </is>
      </c>
      <c r="AS1324" t="inlineStr">
        <is>
          <t>Yes</t>
        </is>
      </c>
      <c r="AT1324">
        <f>HYPERLINK("http://catalog.hathitrust.org/Record/003321700","HathiTrust Record")</f>
        <v/>
      </c>
      <c r="AU1324">
        <f>HYPERLINK("https://creighton-primo.hosted.exlibrisgroup.com/primo-explore/search?tab=default_tab&amp;search_scope=EVERYTHING&amp;vid=01CRU&amp;lang=en_US&amp;offset=0&amp;query=any,contains,991000269889702656","Catalog Record")</f>
        <v/>
      </c>
      <c r="AV1324">
        <f>HYPERLINK("http://www.worldcat.org/oclc/39094203","WorldCat Record")</f>
        <v/>
      </c>
      <c r="AW1324" t="inlineStr">
        <is>
          <t>42612758:eng</t>
        </is>
      </c>
      <c r="AX1324" t="inlineStr">
        <is>
          <t>39094203</t>
        </is>
      </c>
      <c r="AY1324" t="inlineStr">
        <is>
          <t>991000269889702656</t>
        </is>
      </c>
      <c r="AZ1324" t="inlineStr">
        <is>
          <t>991000269889702656</t>
        </is>
      </c>
      <c r="BA1324" t="inlineStr">
        <is>
          <t>2271456860002656</t>
        </is>
      </c>
      <c r="BB1324" t="inlineStr">
        <is>
          <t>BOOK</t>
        </is>
      </c>
      <c r="BE1324" t="inlineStr">
        <is>
          <t>30001004176808</t>
        </is>
      </c>
      <c r="BF1324" t="inlineStr">
        <is>
          <t>893811288</t>
        </is>
      </c>
    </row>
    <row r="1325">
      <c r="A1325" t="inlineStr">
        <is>
          <t>No</t>
        </is>
      </c>
      <c r="B1325" t="inlineStr">
        <is>
          <t>CUHSL</t>
        </is>
      </c>
      <c r="C1325" t="inlineStr">
        <is>
          <t>SHELVES</t>
        </is>
      </c>
      <c r="D1325" t="inlineStr">
        <is>
          <t>WY 150 K16w 1981</t>
        </is>
      </c>
      <c r="E1325" t="inlineStr">
        <is>
          <t>0                      WY 0150000K  16w         1981</t>
        </is>
      </c>
      <c r="F1325" t="inlineStr">
        <is>
          <t>The well family : a developmental approach to assessment / Judith H. Kandzari, Joan R. Howard with Martha S. Rock.</t>
        </is>
      </c>
      <c r="H1325" t="inlineStr">
        <is>
          <t>No</t>
        </is>
      </c>
      <c r="I1325" t="inlineStr">
        <is>
          <t>1</t>
        </is>
      </c>
      <c r="J1325" t="inlineStr">
        <is>
          <t>No</t>
        </is>
      </c>
      <c r="K1325" t="inlineStr">
        <is>
          <t>No</t>
        </is>
      </c>
      <c r="L1325" t="inlineStr">
        <is>
          <t>0</t>
        </is>
      </c>
      <c r="M1325" t="inlineStr">
        <is>
          <t>Kandzari, Judith H.</t>
        </is>
      </c>
      <c r="N1325" t="inlineStr">
        <is>
          <t>Boston : Little, Brown, c1981.</t>
        </is>
      </c>
      <c r="O1325" t="inlineStr">
        <is>
          <t>1981</t>
        </is>
      </c>
      <c r="P1325" t="inlineStr">
        <is>
          <t>1st ed.</t>
        </is>
      </c>
      <c r="Q1325" t="inlineStr">
        <is>
          <t>eng</t>
        </is>
      </c>
      <c r="R1325" t="inlineStr">
        <is>
          <t>mau</t>
        </is>
      </c>
      <c r="T1325" t="inlineStr">
        <is>
          <t xml:space="preserve">WY </t>
        </is>
      </c>
      <c r="U1325" t="n">
        <v>4</v>
      </c>
      <c r="V1325" t="n">
        <v>4</v>
      </c>
      <c r="W1325" t="inlineStr">
        <is>
          <t>1990-10-25</t>
        </is>
      </c>
      <c r="X1325" t="inlineStr">
        <is>
          <t>1990-10-25</t>
        </is>
      </c>
      <c r="Y1325" t="inlineStr">
        <is>
          <t>1987-10-23</t>
        </is>
      </c>
      <c r="Z1325" t="inlineStr">
        <is>
          <t>1987-10-23</t>
        </is>
      </c>
      <c r="AA1325" t="n">
        <v>227</v>
      </c>
      <c r="AB1325" t="n">
        <v>181</v>
      </c>
      <c r="AC1325" t="n">
        <v>183</v>
      </c>
      <c r="AD1325" t="n">
        <v>2</v>
      </c>
      <c r="AE1325" t="n">
        <v>2</v>
      </c>
      <c r="AF1325" t="n">
        <v>7</v>
      </c>
      <c r="AG1325" t="n">
        <v>7</v>
      </c>
      <c r="AH1325" t="n">
        <v>2</v>
      </c>
      <c r="AI1325" t="n">
        <v>2</v>
      </c>
      <c r="AJ1325" t="n">
        <v>2</v>
      </c>
      <c r="AK1325" t="n">
        <v>2</v>
      </c>
      <c r="AL1325" t="n">
        <v>3</v>
      </c>
      <c r="AM1325" t="n">
        <v>3</v>
      </c>
      <c r="AN1325" t="n">
        <v>1</v>
      </c>
      <c r="AO1325" t="n">
        <v>1</v>
      </c>
      <c r="AP1325" t="n">
        <v>0</v>
      </c>
      <c r="AQ1325" t="n">
        <v>0</v>
      </c>
      <c r="AR1325" t="inlineStr">
        <is>
          <t>No</t>
        </is>
      </c>
      <c r="AS1325" t="inlineStr">
        <is>
          <t>Yes</t>
        </is>
      </c>
      <c r="AT1325">
        <f>HYPERLINK("http://catalog.hathitrust.org/Record/000313518","HathiTrust Record")</f>
        <v/>
      </c>
      <c r="AU1325">
        <f>HYPERLINK("https://creighton-primo.hosted.exlibrisgroup.com/primo-explore/search?tab=default_tab&amp;search_scope=EVERYTHING&amp;vid=01CRU&amp;lang=en_US&amp;offset=0&amp;query=any,contains,991000735839702656","Catalog Record")</f>
        <v/>
      </c>
      <c r="AV1325">
        <f>HYPERLINK("http://www.worldcat.org/oclc/8083869","WorldCat Record")</f>
        <v/>
      </c>
      <c r="AW1325" t="inlineStr">
        <is>
          <t>196194292:eng</t>
        </is>
      </c>
      <c r="AX1325" t="inlineStr">
        <is>
          <t>8083869</t>
        </is>
      </c>
      <c r="AY1325" t="inlineStr">
        <is>
          <t>991000735839702656</t>
        </is>
      </c>
      <c r="AZ1325" t="inlineStr">
        <is>
          <t>991000735839702656</t>
        </is>
      </c>
      <c r="BA1325" t="inlineStr">
        <is>
          <t>2271951860002656</t>
        </is>
      </c>
      <c r="BB1325" t="inlineStr">
        <is>
          <t>BOOK</t>
        </is>
      </c>
      <c r="BE1325" t="inlineStr">
        <is>
          <t>30001000041345</t>
        </is>
      </c>
      <c r="BF1325" t="inlineStr">
        <is>
          <t>893743240</t>
        </is>
      </c>
    </row>
    <row r="1326">
      <c r="A1326" t="inlineStr">
        <is>
          <t>No</t>
        </is>
      </c>
      <c r="B1326" t="inlineStr">
        <is>
          <t>CUHSL</t>
        </is>
      </c>
      <c r="C1326" t="inlineStr">
        <is>
          <t>SHELVES</t>
        </is>
      </c>
      <c r="D1326" t="inlineStr">
        <is>
          <t>WY 150 L9412 1993</t>
        </is>
      </c>
      <c r="E1326" t="inlineStr">
        <is>
          <t>0                      WY 0150000L  9412        1993</t>
        </is>
      </c>
      <c r="F1326" t="inlineStr">
        <is>
          <t>Luckmann and Sorensen's medical-surgical nursing : a psychophysiologic approach.</t>
        </is>
      </c>
      <c r="H1326" t="inlineStr">
        <is>
          <t>No</t>
        </is>
      </c>
      <c r="I1326" t="inlineStr">
        <is>
          <t>1</t>
        </is>
      </c>
      <c r="J1326" t="inlineStr">
        <is>
          <t>No</t>
        </is>
      </c>
      <c r="K1326" t="inlineStr">
        <is>
          <t>No</t>
        </is>
      </c>
      <c r="L1326" t="inlineStr">
        <is>
          <t>0</t>
        </is>
      </c>
      <c r="N1326" t="inlineStr">
        <is>
          <t>Philadelphia : W.B. Saunders Co., c1993.</t>
        </is>
      </c>
      <c r="O1326" t="inlineStr">
        <is>
          <t>1993</t>
        </is>
      </c>
      <c r="P1326" t="inlineStr">
        <is>
          <t>4th ed. / [edited by] Joyce M. Black, Esther Matassarin-Jacobs.</t>
        </is>
      </c>
      <c r="Q1326" t="inlineStr">
        <is>
          <t>eng</t>
        </is>
      </c>
      <c r="R1326" t="inlineStr">
        <is>
          <t>pau</t>
        </is>
      </c>
      <c r="T1326" t="inlineStr">
        <is>
          <t xml:space="preserve">WY </t>
        </is>
      </c>
      <c r="U1326" t="n">
        <v>111</v>
      </c>
      <c r="V1326" t="n">
        <v>111</v>
      </c>
      <c r="W1326" t="inlineStr">
        <is>
          <t>1999-04-29</t>
        </is>
      </c>
      <c r="X1326" t="inlineStr">
        <is>
          <t>1999-04-29</t>
        </is>
      </c>
      <c r="Y1326" t="inlineStr">
        <is>
          <t>1993-08-05</t>
        </is>
      </c>
      <c r="Z1326" t="inlineStr">
        <is>
          <t>1993-08-05</t>
        </is>
      </c>
      <c r="AA1326" t="n">
        <v>324</v>
      </c>
      <c r="AB1326" t="n">
        <v>237</v>
      </c>
      <c r="AC1326" t="n">
        <v>239</v>
      </c>
      <c r="AD1326" t="n">
        <v>3</v>
      </c>
      <c r="AE1326" t="n">
        <v>3</v>
      </c>
      <c r="AF1326" t="n">
        <v>5</v>
      </c>
      <c r="AG1326" t="n">
        <v>5</v>
      </c>
      <c r="AH1326" t="n">
        <v>1</v>
      </c>
      <c r="AI1326" t="n">
        <v>1</v>
      </c>
      <c r="AJ1326" t="n">
        <v>0</v>
      </c>
      <c r="AK1326" t="n">
        <v>0</v>
      </c>
      <c r="AL1326" t="n">
        <v>3</v>
      </c>
      <c r="AM1326" t="n">
        <v>3</v>
      </c>
      <c r="AN1326" t="n">
        <v>1</v>
      </c>
      <c r="AO1326" t="n">
        <v>1</v>
      </c>
      <c r="AP1326" t="n">
        <v>0</v>
      </c>
      <c r="AQ1326" t="n">
        <v>0</v>
      </c>
      <c r="AR1326" t="inlineStr">
        <is>
          <t>No</t>
        </is>
      </c>
      <c r="AS1326" t="inlineStr">
        <is>
          <t>Yes</t>
        </is>
      </c>
      <c r="AT1326">
        <f>HYPERLINK("http://catalog.hathitrust.org/Record/004531545","HathiTrust Record")</f>
        <v/>
      </c>
      <c r="AU1326">
        <f>HYPERLINK("https://creighton-primo.hosted.exlibrisgroup.com/primo-explore/search?tab=default_tab&amp;search_scope=EVERYTHING&amp;vid=01CRU&amp;lang=en_US&amp;offset=0&amp;query=any,contains,991001480169702656","Catalog Record")</f>
        <v/>
      </c>
      <c r="AV1326">
        <f>HYPERLINK("http://www.worldcat.org/oclc/27849087","WorldCat Record")</f>
        <v/>
      </c>
      <c r="AW1326" t="inlineStr">
        <is>
          <t>836732810:eng</t>
        </is>
      </c>
      <c r="AX1326" t="inlineStr">
        <is>
          <t>27849087</t>
        </is>
      </c>
      <c r="AY1326" t="inlineStr">
        <is>
          <t>991001480169702656</t>
        </is>
      </c>
      <c r="AZ1326" t="inlineStr">
        <is>
          <t>991001480169702656</t>
        </is>
      </c>
      <c r="BA1326" t="inlineStr">
        <is>
          <t>2267004630002656</t>
        </is>
      </c>
      <c r="BB1326" t="inlineStr">
        <is>
          <t>BOOK</t>
        </is>
      </c>
      <c r="BD1326" t="inlineStr">
        <is>
          <t>9780721635064</t>
        </is>
      </c>
      <c r="BE1326" t="inlineStr">
        <is>
          <t>30001002568626</t>
        </is>
      </c>
      <c r="BF1326" t="inlineStr">
        <is>
          <t>893377294</t>
        </is>
      </c>
    </row>
    <row r="1327">
      <c r="A1327" t="inlineStr">
        <is>
          <t>No</t>
        </is>
      </c>
      <c r="B1327" t="inlineStr">
        <is>
          <t>CUHSL</t>
        </is>
      </c>
      <c r="C1327" t="inlineStr">
        <is>
          <t>SHELVES</t>
        </is>
      </c>
      <c r="D1327" t="inlineStr">
        <is>
          <t>WY 150 L9412P 1993</t>
        </is>
      </c>
      <c r="E1327" t="inlineStr">
        <is>
          <t>0                      WY 0150000L  9412P       1993</t>
        </is>
      </c>
      <c r="F1327" t="inlineStr">
        <is>
          <t>Black and Matassarin-Jacobs pocket companion for Luckmann and Sorensen's medical-surgical nursing : a psychophysiologic approach, 4th edition / Mary K. Palandri, Catherine Rollman Sorrentino.</t>
        </is>
      </c>
      <c r="H1327" t="inlineStr">
        <is>
          <t>No</t>
        </is>
      </c>
      <c r="I1327" t="inlineStr">
        <is>
          <t>1</t>
        </is>
      </c>
      <c r="J1327" t="inlineStr">
        <is>
          <t>No</t>
        </is>
      </c>
      <c r="K1327" t="inlineStr">
        <is>
          <t>No</t>
        </is>
      </c>
      <c r="L1327" t="inlineStr">
        <is>
          <t>0</t>
        </is>
      </c>
      <c r="M1327" t="inlineStr">
        <is>
          <t>Palandri, Mary K.</t>
        </is>
      </c>
      <c r="N1327" t="inlineStr">
        <is>
          <t>Philadelphia : W.B. Saunders, c1993.</t>
        </is>
      </c>
      <c r="O1327" t="inlineStr">
        <is>
          <t>1993</t>
        </is>
      </c>
      <c r="Q1327" t="inlineStr">
        <is>
          <t>eng</t>
        </is>
      </c>
      <c r="R1327" t="inlineStr">
        <is>
          <t>xxu</t>
        </is>
      </c>
      <c r="T1327" t="inlineStr">
        <is>
          <t xml:space="preserve">WY </t>
        </is>
      </c>
      <c r="U1327" t="n">
        <v>24</v>
      </c>
      <c r="V1327" t="n">
        <v>24</v>
      </c>
      <c r="W1327" t="inlineStr">
        <is>
          <t>1998-04-07</t>
        </is>
      </c>
      <c r="X1327" t="inlineStr">
        <is>
          <t>1998-04-07</t>
        </is>
      </c>
      <c r="Y1327" t="inlineStr">
        <is>
          <t>1995-01-19</t>
        </is>
      </c>
      <c r="Z1327" t="inlineStr">
        <is>
          <t>1995-01-19</t>
        </is>
      </c>
      <c r="AA1327" t="n">
        <v>22</v>
      </c>
      <c r="AB1327" t="n">
        <v>18</v>
      </c>
      <c r="AC1327" t="n">
        <v>18</v>
      </c>
      <c r="AD1327" t="n">
        <v>1</v>
      </c>
      <c r="AE1327" t="n">
        <v>1</v>
      </c>
      <c r="AF1327" t="n">
        <v>1</v>
      </c>
      <c r="AG1327" t="n">
        <v>1</v>
      </c>
      <c r="AH1327" t="n">
        <v>1</v>
      </c>
      <c r="AI1327" t="n">
        <v>1</v>
      </c>
      <c r="AJ1327" t="n">
        <v>0</v>
      </c>
      <c r="AK1327" t="n">
        <v>0</v>
      </c>
      <c r="AL1327" t="n">
        <v>0</v>
      </c>
      <c r="AM1327" t="n">
        <v>0</v>
      </c>
      <c r="AN1327" t="n">
        <v>0</v>
      </c>
      <c r="AO1327" t="n">
        <v>0</v>
      </c>
      <c r="AP1327" t="n">
        <v>0</v>
      </c>
      <c r="AQ1327" t="n">
        <v>0</v>
      </c>
      <c r="AR1327" t="inlineStr">
        <is>
          <t>No</t>
        </is>
      </c>
      <c r="AS1327" t="inlineStr">
        <is>
          <t>No</t>
        </is>
      </c>
      <c r="AU1327">
        <f>HYPERLINK("https://creighton-primo.hosted.exlibrisgroup.com/primo-explore/search?tab=default_tab&amp;search_scope=EVERYTHING&amp;vid=01CRU&amp;lang=en_US&amp;offset=0&amp;query=any,contains,991001336079702656","Catalog Record")</f>
        <v/>
      </c>
      <c r="AV1327">
        <f>HYPERLINK("http://www.worldcat.org/oclc/32589693","WorldCat Record")</f>
        <v/>
      </c>
      <c r="AW1327" t="inlineStr">
        <is>
          <t>36835956:eng</t>
        </is>
      </c>
      <c r="AX1327" t="inlineStr">
        <is>
          <t>32589693</t>
        </is>
      </c>
      <c r="AY1327" t="inlineStr">
        <is>
          <t>991001336079702656</t>
        </is>
      </c>
      <c r="AZ1327" t="inlineStr">
        <is>
          <t>991001336079702656</t>
        </is>
      </c>
      <c r="BA1327" t="inlineStr">
        <is>
          <t>2271711900002656</t>
        </is>
      </c>
      <c r="BB1327" t="inlineStr">
        <is>
          <t>BOOK</t>
        </is>
      </c>
      <c r="BD1327" t="inlineStr">
        <is>
          <t>9780721649641</t>
        </is>
      </c>
      <c r="BE1327" t="inlineStr">
        <is>
          <t>30001003111038</t>
        </is>
      </c>
      <c r="BF1327" t="inlineStr">
        <is>
          <t>893451091</t>
        </is>
      </c>
    </row>
    <row r="1328">
      <c r="A1328" t="inlineStr">
        <is>
          <t>No</t>
        </is>
      </c>
      <c r="B1328" t="inlineStr">
        <is>
          <t>CUHSL</t>
        </is>
      </c>
      <c r="C1328" t="inlineStr">
        <is>
          <t>SHELVES</t>
        </is>
      </c>
      <c r="D1328" t="inlineStr">
        <is>
          <t>WY 150 M478p 1989</t>
        </is>
      </c>
      <c r="E1328" t="inlineStr">
        <is>
          <t>0                      WY 0150000M  478p        1989</t>
        </is>
      </c>
      <c r="F1328" t="inlineStr">
        <is>
          <t>Pain : clinical manual for nursing practice / Margo McCaffery, Alexandra Beebe.</t>
        </is>
      </c>
      <c r="H1328" t="inlineStr">
        <is>
          <t>No</t>
        </is>
      </c>
      <c r="I1328" t="inlineStr">
        <is>
          <t>1</t>
        </is>
      </c>
      <c r="J1328" t="inlineStr">
        <is>
          <t>No</t>
        </is>
      </c>
      <c r="K1328" t="inlineStr">
        <is>
          <t>No</t>
        </is>
      </c>
      <c r="L1328" t="inlineStr">
        <is>
          <t>0</t>
        </is>
      </c>
      <c r="M1328" t="inlineStr">
        <is>
          <t>McCaffery, Margo.</t>
        </is>
      </c>
      <c r="N1328" t="inlineStr">
        <is>
          <t>St. Louis : Mosby, c1989.</t>
        </is>
      </c>
      <c r="O1328" t="inlineStr">
        <is>
          <t>1989</t>
        </is>
      </c>
      <c r="Q1328" t="inlineStr">
        <is>
          <t>eng</t>
        </is>
      </c>
      <c r="R1328" t="inlineStr">
        <is>
          <t>xxu</t>
        </is>
      </c>
      <c r="T1328" t="inlineStr">
        <is>
          <t xml:space="preserve">WY </t>
        </is>
      </c>
      <c r="U1328" t="n">
        <v>16</v>
      </c>
      <c r="V1328" t="n">
        <v>16</v>
      </c>
      <c r="W1328" t="inlineStr">
        <is>
          <t>1999-11-21</t>
        </is>
      </c>
      <c r="X1328" t="inlineStr">
        <is>
          <t>1999-11-21</t>
        </is>
      </c>
      <c r="Y1328" t="inlineStr">
        <is>
          <t>1990-05-24</t>
        </is>
      </c>
      <c r="Z1328" t="inlineStr">
        <is>
          <t>1990-05-24</t>
        </is>
      </c>
      <c r="AA1328" t="n">
        <v>355</v>
      </c>
      <c r="AB1328" t="n">
        <v>268</v>
      </c>
      <c r="AC1328" t="n">
        <v>270</v>
      </c>
      <c r="AD1328" t="n">
        <v>3</v>
      </c>
      <c r="AE1328" t="n">
        <v>3</v>
      </c>
      <c r="AF1328" t="n">
        <v>11</v>
      </c>
      <c r="AG1328" t="n">
        <v>11</v>
      </c>
      <c r="AH1328" t="n">
        <v>4</v>
      </c>
      <c r="AI1328" t="n">
        <v>4</v>
      </c>
      <c r="AJ1328" t="n">
        <v>2</v>
      </c>
      <c r="AK1328" t="n">
        <v>2</v>
      </c>
      <c r="AL1328" t="n">
        <v>4</v>
      </c>
      <c r="AM1328" t="n">
        <v>4</v>
      </c>
      <c r="AN1328" t="n">
        <v>1</v>
      </c>
      <c r="AO1328" t="n">
        <v>1</v>
      </c>
      <c r="AP1328" t="n">
        <v>0</v>
      </c>
      <c r="AQ1328" t="n">
        <v>0</v>
      </c>
      <c r="AR1328" t="inlineStr">
        <is>
          <t>No</t>
        </is>
      </c>
      <c r="AS1328" t="inlineStr">
        <is>
          <t>No</t>
        </is>
      </c>
      <c r="AT1328">
        <f>HYPERLINK("http://catalog.hathitrust.org/Record/001104548","HathiTrust Record")</f>
        <v/>
      </c>
      <c r="AU1328">
        <f>HYPERLINK("https://creighton-primo.hosted.exlibrisgroup.com/primo-explore/search?tab=default_tab&amp;search_scope=EVERYTHING&amp;vid=01CRU&amp;lang=en_US&amp;offset=0&amp;query=any,contains,991001448799702656","Catalog Record")</f>
        <v/>
      </c>
      <c r="AV1328">
        <f>HYPERLINK("http://www.worldcat.org/oclc/19124445","WorldCat Record")</f>
        <v/>
      </c>
      <c r="AW1328" t="inlineStr">
        <is>
          <t>4160047018:eng</t>
        </is>
      </c>
      <c r="AX1328" t="inlineStr">
        <is>
          <t>19124445</t>
        </is>
      </c>
      <c r="AY1328" t="inlineStr">
        <is>
          <t>991001448799702656</t>
        </is>
      </c>
      <c r="AZ1328" t="inlineStr">
        <is>
          <t>991001448799702656</t>
        </is>
      </c>
      <c r="BA1328" t="inlineStr">
        <is>
          <t>2269076480002656</t>
        </is>
      </c>
      <c r="BB1328" t="inlineStr">
        <is>
          <t>BOOK</t>
        </is>
      </c>
      <c r="BD1328" t="inlineStr">
        <is>
          <t>9780801632488</t>
        </is>
      </c>
      <c r="BE1328" t="inlineStr">
        <is>
          <t>30001001882028</t>
        </is>
      </c>
      <c r="BF1328" t="inlineStr">
        <is>
          <t>893460610</t>
        </is>
      </c>
    </row>
    <row r="1329">
      <c r="A1329" t="inlineStr">
        <is>
          <t>No</t>
        </is>
      </c>
      <c r="B1329" t="inlineStr">
        <is>
          <t>CUHSL</t>
        </is>
      </c>
      <c r="C1329" t="inlineStr">
        <is>
          <t>SHELVES</t>
        </is>
      </c>
      <c r="D1329" t="inlineStr">
        <is>
          <t>WY 150 M489 1975</t>
        </is>
      </c>
      <c r="E1329" t="inlineStr">
        <is>
          <t>0                      WY 0150000M  489         1975</t>
        </is>
      </c>
      <c r="F1329" t="inlineStr">
        <is>
          <t>Medical-surgical nursing / Kathleen Newton Shafer ... [et al.].</t>
        </is>
      </c>
      <c r="H1329" t="inlineStr">
        <is>
          <t>No</t>
        </is>
      </c>
      <c r="I1329" t="inlineStr">
        <is>
          <t>1</t>
        </is>
      </c>
      <c r="J1329" t="inlineStr">
        <is>
          <t>No</t>
        </is>
      </c>
      <c r="K1329" t="inlineStr">
        <is>
          <t>No</t>
        </is>
      </c>
      <c r="L1329" t="inlineStr">
        <is>
          <t>0</t>
        </is>
      </c>
      <c r="M1329" t="inlineStr">
        <is>
          <t>Shafer, Kathleen Newton.</t>
        </is>
      </c>
      <c r="N1329" t="inlineStr">
        <is>
          <t>Saint Louis : Mosby, 1975.</t>
        </is>
      </c>
      <c r="O1329" t="inlineStr">
        <is>
          <t>1975</t>
        </is>
      </c>
      <c r="P1329" t="inlineStr">
        <is>
          <t>6th ed.</t>
        </is>
      </c>
      <c r="Q1329" t="inlineStr">
        <is>
          <t>eng</t>
        </is>
      </c>
      <c r="R1329" t="inlineStr">
        <is>
          <t>mou</t>
        </is>
      </c>
      <c r="T1329" t="inlineStr">
        <is>
          <t xml:space="preserve">WY </t>
        </is>
      </c>
      <c r="U1329" t="n">
        <v>4</v>
      </c>
      <c r="V1329" t="n">
        <v>4</v>
      </c>
      <c r="W1329" t="inlineStr">
        <is>
          <t>1993-08-30</t>
        </is>
      </c>
      <c r="X1329" t="inlineStr">
        <is>
          <t>1993-08-30</t>
        </is>
      </c>
      <c r="Y1329" t="inlineStr">
        <is>
          <t>1988-01-09</t>
        </is>
      </c>
      <c r="Z1329" t="inlineStr">
        <is>
          <t>1988-01-09</t>
        </is>
      </c>
      <c r="AA1329" t="n">
        <v>219</v>
      </c>
      <c r="AB1329" t="n">
        <v>172</v>
      </c>
      <c r="AC1329" t="n">
        <v>388</v>
      </c>
      <c r="AD1329" t="n">
        <v>1</v>
      </c>
      <c r="AE1329" t="n">
        <v>3</v>
      </c>
      <c r="AF1329" t="n">
        <v>3</v>
      </c>
      <c r="AG1329" t="n">
        <v>8</v>
      </c>
      <c r="AH1329" t="n">
        <v>0</v>
      </c>
      <c r="AI1329" t="n">
        <v>0</v>
      </c>
      <c r="AJ1329" t="n">
        <v>1</v>
      </c>
      <c r="AK1329" t="n">
        <v>2</v>
      </c>
      <c r="AL1329" t="n">
        <v>2</v>
      </c>
      <c r="AM1329" t="n">
        <v>4</v>
      </c>
      <c r="AN1329" t="n">
        <v>0</v>
      </c>
      <c r="AO1329" t="n">
        <v>2</v>
      </c>
      <c r="AP1329" t="n">
        <v>0</v>
      </c>
      <c r="AQ1329" t="n">
        <v>0</v>
      </c>
      <c r="AR1329" t="inlineStr">
        <is>
          <t>No</t>
        </is>
      </c>
      <c r="AS1329" t="inlineStr">
        <is>
          <t>Yes</t>
        </is>
      </c>
      <c r="AT1329">
        <f>HYPERLINK("http://catalog.hathitrust.org/Record/001574258","HathiTrust Record")</f>
        <v/>
      </c>
      <c r="AU1329">
        <f>HYPERLINK("https://creighton-primo.hosted.exlibrisgroup.com/primo-explore/search?tab=default_tab&amp;search_scope=EVERYTHING&amp;vid=01CRU&amp;lang=en_US&amp;offset=0&amp;query=any,contains,991001085529702656","Catalog Record")</f>
        <v/>
      </c>
      <c r="AV1329">
        <f>HYPERLINK("http://www.worldcat.org/oclc/1379228","WorldCat Record")</f>
        <v/>
      </c>
      <c r="AW1329" t="inlineStr">
        <is>
          <t>451289:eng</t>
        </is>
      </c>
      <c r="AX1329" t="inlineStr">
        <is>
          <t>1379228</t>
        </is>
      </c>
      <c r="AY1329" t="inlineStr">
        <is>
          <t>991001085529702656</t>
        </is>
      </c>
      <c r="AZ1329" t="inlineStr">
        <is>
          <t>991001085529702656</t>
        </is>
      </c>
      <c r="BA1329" t="inlineStr">
        <is>
          <t>2256577650002656</t>
        </is>
      </c>
      <c r="BB1329" t="inlineStr">
        <is>
          <t>BOOK</t>
        </is>
      </c>
      <c r="BD1329" t="inlineStr">
        <is>
          <t>9780801645167</t>
        </is>
      </c>
      <c r="BE1329" t="inlineStr">
        <is>
          <t>30001000259020</t>
        </is>
      </c>
      <c r="BF1329" t="inlineStr">
        <is>
          <t>893284372</t>
        </is>
      </c>
    </row>
    <row r="1330">
      <c r="A1330" t="inlineStr">
        <is>
          <t>No</t>
        </is>
      </c>
      <c r="B1330" t="inlineStr">
        <is>
          <t>CUHSL</t>
        </is>
      </c>
      <c r="C1330" t="inlineStr">
        <is>
          <t>SHELVES</t>
        </is>
      </c>
      <c r="D1330" t="inlineStr">
        <is>
          <t>WY 150 M4893 1982</t>
        </is>
      </c>
      <c r="E1330" t="inlineStr">
        <is>
          <t>0                      WY 0150000M  4893        1982</t>
        </is>
      </c>
      <c r="F1330" t="inlineStr">
        <is>
          <t>Medical-surgical nursing, a conceptual approach / [edited by] Dorothy A. Jones, Claire Ford Dunbar, Mary Marmoll Jirovec.</t>
        </is>
      </c>
      <c r="H1330" t="inlineStr">
        <is>
          <t>No</t>
        </is>
      </c>
      <c r="I1330" t="inlineStr">
        <is>
          <t>1</t>
        </is>
      </c>
      <c r="J1330" t="inlineStr">
        <is>
          <t>No</t>
        </is>
      </c>
      <c r="K1330" t="inlineStr">
        <is>
          <t>No</t>
        </is>
      </c>
      <c r="L1330" t="inlineStr">
        <is>
          <t>0</t>
        </is>
      </c>
      <c r="N1330" t="inlineStr">
        <is>
          <t>New York : McGraw-Hill, c1982.</t>
        </is>
      </c>
      <c r="O1330" t="inlineStr">
        <is>
          <t>1982</t>
        </is>
      </c>
      <c r="P1330" t="inlineStr">
        <is>
          <t>2nd ed.</t>
        </is>
      </c>
      <c r="Q1330" t="inlineStr">
        <is>
          <t>eng</t>
        </is>
      </c>
      <c r="R1330" t="inlineStr">
        <is>
          <t>xxu</t>
        </is>
      </c>
      <c r="T1330" t="inlineStr">
        <is>
          <t xml:space="preserve">WY </t>
        </is>
      </c>
      <c r="U1330" t="n">
        <v>56</v>
      </c>
      <c r="V1330" t="n">
        <v>56</v>
      </c>
      <c r="W1330" t="inlineStr">
        <is>
          <t>1994-06-14</t>
        </is>
      </c>
      <c r="X1330" t="inlineStr">
        <is>
          <t>1994-06-14</t>
        </is>
      </c>
      <c r="Y1330" t="inlineStr">
        <is>
          <t>1987-10-23</t>
        </is>
      </c>
      <c r="Z1330" t="inlineStr">
        <is>
          <t>1987-10-23</t>
        </is>
      </c>
      <c r="AA1330" t="n">
        <v>169</v>
      </c>
      <c r="AB1330" t="n">
        <v>135</v>
      </c>
      <c r="AC1330" t="n">
        <v>233</v>
      </c>
      <c r="AD1330" t="n">
        <v>2</v>
      </c>
      <c r="AE1330" t="n">
        <v>3</v>
      </c>
      <c r="AF1330" t="n">
        <v>5</v>
      </c>
      <c r="AG1330" t="n">
        <v>6</v>
      </c>
      <c r="AH1330" t="n">
        <v>1</v>
      </c>
      <c r="AI1330" t="n">
        <v>1</v>
      </c>
      <c r="AJ1330" t="n">
        <v>1</v>
      </c>
      <c r="AK1330" t="n">
        <v>1</v>
      </c>
      <c r="AL1330" t="n">
        <v>2</v>
      </c>
      <c r="AM1330" t="n">
        <v>3</v>
      </c>
      <c r="AN1330" t="n">
        <v>1</v>
      </c>
      <c r="AO1330" t="n">
        <v>1</v>
      </c>
      <c r="AP1330" t="n">
        <v>0</v>
      </c>
      <c r="AQ1330" t="n">
        <v>0</v>
      </c>
      <c r="AR1330" t="inlineStr">
        <is>
          <t>No</t>
        </is>
      </c>
      <c r="AS1330" t="inlineStr">
        <is>
          <t>No</t>
        </is>
      </c>
      <c r="AU1330">
        <f>HYPERLINK("https://creighton-primo.hosted.exlibrisgroup.com/primo-explore/search?tab=default_tab&amp;search_scope=EVERYTHING&amp;vid=01CRU&amp;lang=en_US&amp;offset=0&amp;query=any,contains,991000735429702656","Catalog Record")</f>
        <v/>
      </c>
      <c r="AV1330">
        <f>HYPERLINK("http://www.worldcat.org/oclc/8133463","WorldCat Record")</f>
        <v/>
      </c>
      <c r="AW1330" t="inlineStr">
        <is>
          <t>836683524:eng</t>
        </is>
      </c>
      <c r="AX1330" t="inlineStr">
        <is>
          <t>8133463</t>
        </is>
      </c>
      <c r="AY1330" t="inlineStr">
        <is>
          <t>991000735429702656</t>
        </is>
      </c>
      <c r="AZ1330" t="inlineStr">
        <is>
          <t>991000735429702656</t>
        </is>
      </c>
      <c r="BA1330" t="inlineStr">
        <is>
          <t>2265494950002656</t>
        </is>
      </c>
      <c r="BB1330" t="inlineStr">
        <is>
          <t>BOOK</t>
        </is>
      </c>
      <c r="BD1330" t="inlineStr">
        <is>
          <t>9780070327870</t>
        </is>
      </c>
      <c r="BE1330" t="inlineStr">
        <is>
          <t>30001000041238</t>
        </is>
      </c>
      <c r="BF1330" t="inlineStr">
        <is>
          <t>893551396</t>
        </is>
      </c>
    </row>
    <row r="1331">
      <c r="A1331" t="inlineStr">
        <is>
          <t>No</t>
        </is>
      </c>
      <c r="B1331" t="inlineStr">
        <is>
          <t>CUHSL</t>
        </is>
      </c>
      <c r="C1331" t="inlineStr">
        <is>
          <t>SHELVES</t>
        </is>
      </c>
      <c r="D1331" t="inlineStr">
        <is>
          <t>WY 150 M48933 1989</t>
        </is>
      </c>
      <c r="E1331" t="inlineStr">
        <is>
          <t>0                      WY 0150000M  48933       1989</t>
        </is>
      </c>
      <c r="F1331" t="inlineStr">
        <is>
          <t>Medical-surgical nursing : a nursing process approach / edited by Barbara C. Long, Wilma J. Phipps.</t>
        </is>
      </c>
      <c r="H1331" t="inlineStr">
        <is>
          <t>No</t>
        </is>
      </c>
      <c r="I1331" t="inlineStr">
        <is>
          <t>1</t>
        </is>
      </c>
      <c r="J1331" t="inlineStr">
        <is>
          <t>No</t>
        </is>
      </c>
      <c r="K1331" t="inlineStr">
        <is>
          <t>No</t>
        </is>
      </c>
      <c r="L1331" t="inlineStr">
        <is>
          <t>0</t>
        </is>
      </c>
      <c r="N1331" t="inlineStr">
        <is>
          <t>St. Louis : Mosby, c1989.</t>
        </is>
      </c>
      <c r="O1331" t="inlineStr">
        <is>
          <t>1989</t>
        </is>
      </c>
      <c r="P1331" t="inlineStr">
        <is>
          <t>2nd ed.</t>
        </is>
      </c>
      <c r="Q1331" t="inlineStr">
        <is>
          <t>eng</t>
        </is>
      </c>
      <c r="R1331" t="inlineStr">
        <is>
          <t>xxu</t>
        </is>
      </c>
      <c r="T1331" t="inlineStr">
        <is>
          <t xml:space="preserve">WY </t>
        </is>
      </c>
      <c r="U1331" t="n">
        <v>22</v>
      </c>
      <c r="V1331" t="n">
        <v>22</v>
      </c>
      <c r="W1331" t="inlineStr">
        <is>
          <t>1995-11-16</t>
        </is>
      </c>
      <c r="X1331" t="inlineStr">
        <is>
          <t>1995-11-16</t>
        </is>
      </c>
      <c r="Y1331" t="inlineStr">
        <is>
          <t>1989-06-13</t>
        </is>
      </c>
      <c r="Z1331" t="inlineStr">
        <is>
          <t>1989-06-13</t>
        </is>
      </c>
      <c r="AA1331" t="n">
        <v>187</v>
      </c>
      <c r="AB1331" t="n">
        <v>151</v>
      </c>
      <c r="AC1331" t="n">
        <v>335</v>
      </c>
      <c r="AD1331" t="n">
        <v>1</v>
      </c>
      <c r="AE1331" t="n">
        <v>2</v>
      </c>
      <c r="AF1331" t="n">
        <v>4</v>
      </c>
      <c r="AG1331" t="n">
        <v>7</v>
      </c>
      <c r="AH1331" t="n">
        <v>2</v>
      </c>
      <c r="AI1331" t="n">
        <v>2</v>
      </c>
      <c r="AJ1331" t="n">
        <v>0</v>
      </c>
      <c r="AK1331" t="n">
        <v>1</v>
      </c>
      <c r="AL1331" t="n">
        <v>3</v>
      </c>
      <c r="AM1331" t="n">
        <v>6</v>
      </c>
      <c r="AN1331" t="n">
        <v>0</v>
      </c>
      <c r="AO1331" t="n">
        <v>0</v>
      </c>
      <c r="AP1331" t="n">
        <v>0</v>
      </c>
      <c r="AQ1331" t="n">
        <v>0</v>
      </c>
      <c r="AR1331" t="inlineStr">
        <is>
          <t>No</t>
        </is>
      </c>
      <c r="AS1331" t="inlineStr">
        <is>
          <t>No</t>
        </is>
      </c>
      <c r="AU1331">
        <f>HYPERLINK("https://creighton-primo.hosted.exlibrisgroup.com/primo-explore/search?tab=default_tab&amp;search_scope=EVERYTHING&amp;vid=01CRU&amp;lang=en_US&amp;offset=0&amp;query=any,contains,991001250969702656","Catalog Record")</f>
        <v/>
      </c>
      <c r="AV1331">
        <f>HYPERLINK("http://www.worldcat.org/oclc/18191537","WorldCat Record")</f>
        <v/>
      </c>
      <c r="AW1331" t="inlineStr">
        <is>
          <t>4794544774:eng</t>
        </is>
      </c>
      <c r="AX1331" t="inlineStr">
        <is>
          <t>18191537</t>
        </is>
      </c>
      <c r="AY1331" t="inlineStr">
        <is>
          <t>991001250969702656</t>
        </is>
      </c>
      <c r="AZ1331" t="inlineStr">
        <is>
          <t>991001250969702656</t>
        </is>
      </c>
      <c r="BA1331" t="inlineStr">
        <is>
          <t>2263435440002656</t>
        </is>
      </c>
      <c r="BB1331" t="inlineStr">
        <is>
          <t>BOOK</t>
        </is>
      </c>
      <c r="BD1331" t="inlineStr">
        <is>
          <t>9780801632464</t>
        </is>
      </c>
      <c r="BE1331" t="inlineStr">
        <is>
          <t>30001001678905</t>
        </is>
      </c>
      <c r="BF1331" t="inlineStr">
        <is>
          <t>893374394</t>
        </is>
      </c>
    </row>
    <row r="1332">
      <c r="A1332" t="inlineStr">
        <is>
          <t>No</t>
        </is>
      </c>
      <c r="B1332" t="inlineStr">
        <is>
          <t>CUHSL</t>
        </is>
      </c>
      <c r="C1332" t="inlineStr">
        <is>
          <t>SHELVES</t>
        </is>
      </c>
      <c r="D1332" t="inlineStr">
        <is>
          <t>WY 150 M4894 1994</t>
        </is>
      </c>
      <c r="E1332" t="inlineStr">
        <is>
          <t>0                      WY 0150000M  4894        1994</t>
        </is>
      </c>
      <c r="F1332" t="inlineStr">
        <is>
          <t>Medical-surgical nursing : concepts and clinical practice / edited by Wilma J. Phipps ... [et al.].</t>
        </is>
      </c>
      <c r="H1332" t="inlineStr">
        <is>
          <t>No</t>
        </is>
      </c>
      <c r="I1332" t="inlineStr">
        <is>
          <t>1</t>
        </is>
      </c>
      <c r="J1332" t="inlineStr">
        <is>
          <t>No</t>
        </is>
      </c>
      <c r="K1332" t="inlineStr">
        <is>
          <t>Yes</t>
        </is>
      </c>
      <c r="L1332" t="inlineStr">
        <is>
          <t>0</t>
        </is>
      </c>
      <c r="N1332" t="inlineStr">
        <is>
          <t>St. Louis : Mosby, 1994.</t>
        </is>
      </c>
      <c r="O1332" t="inlineStr">
        <is>
          <t>1994</t>
        </is>
      </c>
      <c r="P1332" t="inlineStr">
        <is>
          <t>5th ed.</t>
        </is>
      </c>
      <c r="Q1332" t="inlineStr">
        <is>
          <t>eng</t>
        </is>
      </c>
      <c r="R1332" t="inlineStr">
        <is>
          <t>mou</t>
        </is>
      </c>
      <c r="T1332" t="inlineStr">
        <is>
          <t xml:space="preserve">WY </t>
        </is>
      </c>
      <c r="U1332" t="n">
        <v>138</v>
      </c>
      <c r="V1332" t="n">
        <v>138</v>
      </c>
      <c r="W1332" t="inlineStr">
        <is>
          <t>1999-01-23</t>
        </is>
      </c>
      <c r="X1332" t="inlineStr">
        <is>
          <t>1999-01-23</t>
        </is>
      </c>
      <c r="Y1332" t="inlineStr">
        <is>
          <t>1995-02-06</t>
        </is>
      </c>
      <c r="Z1332" t="inlineStr">
        <is>
          <t>1995-02-06</t>
        </is>
      </c>
      <c r="AA1332" t="n">
        <v>271</v>
      </c>
      <c r="AB1332" t="n">
        <v>196</v>
      </c>
      <c r="AC1332" t="n">
        <v>738</v>
      </c>
      <c r="AD1332" t="n">
        <v>2</v>
      </c>
      <c r="AE1332" t="n">
        <v>6</v>
      </c>
      <c r="AF1332" t="n">
        <v>3</v>
      </c>
      <c r="AG1332" t="n">
        <v>20</v>
      </c>
      <c r="AH1332" t="n">
        <v>1</v>
      </c>
      <c r="AI1332" t="n">
        <v>8</v>
      </c>
      <c r="AJ1332" t="n">
        <v>0</v>
      </c>
      <c r="AK1332" t="n">
        <v>3</v>
      </c>
      <c r="AL1332" t="n">
        <v>2</v>
      </c>
      <c r="AM1332" t="n">
        <v>9</v>
      </c>
      <c r="AN1332" t="n">
        <v>0</v>
      </c>
      <c r="AO1332" t="n">
        <v>3</v>
      </c>
      <c r="AP1332" t="n">
        <v>0</v>
      </c>
      <c r="AQ1332" t="n">
        <v>0</v>
      </c>
      <c r="AR1332" t="inlineStr">
        <is>
          <t>No</t>
        </is>
      </c>
      <c r="AS1332" t="inlineStr">
        <is>
          <t>Yes</t>
        </is>
      </c>
      <c r="AT1332">
        <f>HYPERLINK("http://catalog.hathitrust.org/Record/002938606","HathiTrust Record")</f>
        <v/>
      </c>
      <c r="AU1332">
        <f>HYPERLINK("https://creighton-primo.hosted.exlibrisgroup.com/primo-explore/search?tab=default_tab&amp;search_scope=EVERYTHING&amp;vid=01CRU&amp;lang=en_US&amp;offset=0&amp;query=any,contains,991000686519702656","Catalog Record")</f>
        <v/>
      </c>
      <c r="AV1332">
        <f>HYPERLINK("http://www.worldcat.org/oclc/31287981","WorldCat Record")</f>
        <v/>
      </c>
      <c r="AW1332" t="inlineStr">
        <is>
          <t>9846428997:eng</t>
        </is>
      </c>
      <c r="AX1332" t="inlineStr">
        <is>
          <t>31287981</t>
        </is>
      </c>
      <c r="AY1332" t="inlineStr">
        <is>
          <t>991000686519702656</t>
        </is>
      </c>
      <c r="AZ1332" t="inlineStr">
        <is>
          <t>991000686519702656</t>
        </is>
      </c>
      <c r="BA1332" t="inlineStr">
        <is>
          <t>2258325970002656</t>
        </is>
      </c>
      <c r="BB1332" t="inlineStr">
        <is>
          <t>BOOK</t>
        </is>
      </c>
      <c r="BD1332" t="inlineStr">
        <is>
          <t>9780801678882</t>
        </is>
      </c>
      <c r="BE1332" t="inlineStr">
        <is>
          <t>30001002699173</t>
        </is>
      </c>
      <c r="BF1332" t="inlineStr">
        <is>
          <t>893459692</t>
        </is>
      </c>
    </row>
    <row r="1333">
      <c r="A1333" t="inlineStr">
        <is>
          <t>No</t>
        </is>
      </c>
      <c r="B1333" t="inlineStr">
        <is>
          <t>CUHSL</t>
        </is>
      </c>
      <c r="C1333" t="inlineStr">
        <is>
          <t>SHELVES</t>
        </is>
      </c>
      <c r="D1333" t="inlineStr">
        <is>
          <t>WY150 M489cc 2007</t>
        </is>
      </c>
      <c r="E1333" t="inlineStr">
        <is>
          <t>0                      WY 0150000M  489cc       2007</t>
        </is>
      </c>
      <c r="F1333" t="inlineStr">
        <is>
          <t>Clinical companion, Medical-surgical nursing / prepared by Patricia Graber O'Brien ... [et al.].</t>
        </is>
      </c>
      <c r="H1333" t="inlineStr">
        <is>
          <t>No</t>
        </is>
      </c>
      <c r="I1333" t="inlineStr">
        <is>
          <t>1</t>
        </is>
      </c>
      <c r="J1333" t="inlineStr">
        <is>
          <t>No</t>
        </is>
      </c>
      <c r="K1333" t="inlineStr">
        <is>
          <t>No</t>
        </is>
      </c>
      <c r="L1333" t="inlineStr">
        <is>
          <t>0</t>
        </is>
      </c>
      <c r="N1333" t="inlineStr">
        <is>
          <t>St. Louis, Mo. : Mosby Elsevier, c2007.</t>
        </is>
      </c>
      <c r="O1333" t="inlineStr">
        <is>
          <t>2007</t>
        </is>
      </c>
      <c r="P1333" t="inlineStr">
        <is>
          <t>7th ed.</t>
        </is>
      </c>
      <c r="Q1333" t="inlineStr">
        <is>
          <t>eng</t>
        </is>
      </c>
      <c r="R1333" t="inlineStr">
        <is>
          <t>mou</t>
        </is>
      </c>
      <c r="T1333" t="inlineStr">
        <is>
          <t xml:space="preserve">WY </t>
        </is>
      </c>
      <c r="U1333" t="n">
        <v>2</v>
      </c>
      <c r="V1333" t="n">
        <v>2</v>
      </c>
      <c r="W1333" t="inlineStr">
        <is>
          <t>2010-03-05</t>
        </is>
      </c>
      <c r="X1333" t="inlineStr">
        <is>
          <t>2010-03-05</t>
        </is>
      </c>
      <c r="Y1333" t="inlineStr">
        <is>
          <t>2010-03-04</t>
        </is>
      </c>
      <c r="Z1333" t="inlineStr">
        <is>
          <t>2010-03-04</t>
        </is>
      </c>
      <c r="AA1333" t="n">
        <v>68</v>
      </c>
      <c r="AB1333" t="n">
        <v>45</v>
      </c>
      <c r="AC1333" t="n">
        <v>323</v>
      </c>
      <c r="AD1333" t="n">
        <v>1</v>
      </c>
      <c r="AE1333" t="n">
        <v>2</v>
      </c>
      <c r="AF1333" t="n">
        <v>1</v>
      </c>
      <c r="AG1333" t="n">
        <v>6</v>
      </c>
      <c r="AH1333" t="n">
        <v>0</v>
      </c>
      <c r="AI1333" t="n">
        <v>1</v>
      </c>
      <c r="AJ1333" t="n">
        <v>0</v>
      </c>
      <c r="AK1333" t="n">
        <v>1</v>
      </c>
      <c r="AL1333" t="n">
        <v>1</v>
      </c>
      <c r="AM1333" t="n">
        <v>4</v>
      </c>
      <c r="AN1333" t="n">
        <v>0</v>
      </c>
      <c r="AO1333" t="n">
        <v>1</v>
      </c>
      <c r="AP1333" t="n">
        <v>0</v>
      </c>
      <c r="AQ1333" t="n">
        <v>0</v>
      </c>
      <c r="AR1333" t="inlineStr">
        <is>
          <t>No</t>
        </is>
      </c>
      <c r="AS1333" t="inlineStr">
        <is>
          <t>No</t>
        </is>
      </c>
      <c r="AU1333">
        <f>HYPERLINK("https://creighton-primo.hosted.exlibrisgroup.com/primo-explore/search?tab=default_tab&amp;search_scope=EVERYTHING&amp;vid=01CRU&amp;lang=en_US&amp;offset=0&amp;query=any,contains,991001576709702656","Catalog Record")</f>
        <v/>
      </c>
      <c r="AV1333">
        <f>HYPERLINK("http://www.worldcat.org/oclc/143171695","WorldCat Record")</f>
        <v/>
      </c>
      <c r="AW1333" t="inlineStr">
        <is>
          <t>865138295:eng</t>
        </is>
      </c>
      <c r="AX1333" t="inlineStr">
        <is>
          <t>143171695</t>
        </is>
      </c>
      <c r="AY1333" t="inlineStr">
        <is>
          <t>991001576709702656</t>
        </is>
      </c>
      <c r="AZ1333" t="inlineStr">
        <is>
          <t>991001576709702656</t>
        </is>
      </c>
      <c r="BA1333" t="inlineStr">
        <is>
          <t>2266300080002656</t>
        </is>
      </c>
      <c r="BB1333" t="inlineStr">
        <is>
          <t>BOOK</t>
        </is>
      </c>
      <c r="BD1333" t="inlineStr">
        <is>
          <t>9780323036894</t>
        </is>
      </c>
      <c r="BE1333" t="inlineStr">
        <is>
          <t>30001005364320</t>
        </is>
      </c>
      <c r="BF1333" t="inlineStr">
        <is>
          <t>893121653</t>
        </is>
      </c>
    </row>
    <row r="1334">
      <c r="A1334" t="inlineStr">
        <is>
          <t>No</t>
        </is>
      </c>
      <c r="B1334" t="inlineStr">
        <is>
          <t>CUHSL</t>
        </is>
      </c>
      <c r="C1334" t="inlineStr">
        <is>
          <t>SHELVES</t>
        </is>
      </c>
      <c r="D1334" t="inlineStr">
        <is>
          <t>WY 150 M587 1988</t>
        </is>
      </c>
      <c r="E1334" t="inlineStr">
        <is>
          <t>0                      WY 0150000M  587         1988</t>
        </is>
      </c>
      <c r="F1334" t="inlineStr">
        <is>
          <t>Metabolic problems.</t>
        </is>
      </c>
      <c r="H1334" t="inlineStr">
        <is>
          <t>No</t>
        </is>
      </c>
      <c r="I1334" t="inlineStr">
        <is>
          <t>1</t>
        </is>
      </c>
      <c r="J1334" t="inlineStr">
        <is>
          <t>No</t>
        </is>
      </c>
      <c r="K1334" t="inlineStr">
        <is>
          <t>No</t>
        </is>
      </c>
      <c r="L1334" t="inlineStr">
        <is>
          <t>0</t>
        </is>
      </c>
      <c r="N1334" t="inlineStr">
        <is>
          <t>Springhouse, Pa. : Springhouse Corp., c1988.</t>
        </is>
      </c>
      <c r="O1334" t="inlineStr">
        <is>
          <t>1988</t>
        </is>
      </c>
      <c r="Q1334" t="inlineStr">
        <is>
          <t>eng</t>
        </is>
      </c>
      <c r="R1334" t="inlineStr">
        <is>
          <t>xxu</t>
        </is>
      </c>
      <c r="S1334" t="inlineStr">
        <is>
          <t>NurseReview</t>
        </is>
      </c>
      <c r="T1334" t="inlineStr">
        <is>
          <t xml:space="preserve">WY </t>
        </is>
      </c>
      <c r="U1334" t="n">
        <v>3</v>
      </c>
      <c r="V1334" t="n">
        <v>3</v>
      </c>
      <c r="W1334" t="inlineStr">
        <is>
          <t>1989-08-21</t>
        </is>
      </c>
      <c r="X1334" t="inlineStr">
        <is>
          <t>1989-08-21</t>
        </is>
      </c>
      <c r="Y1334" t="inlineStr">
        <is>
          <t>1989-06-23</t>
        </is>
      </c>
      <c r="Z1334" t="inlineStr">
        <is>
          <t>1989-06-23</t>
        </is>
      </c>
      <c r="AA1334" t="n">
        <v>88</v>
      </c>
      <c r="AB1334" t="n">
        <v>74</v>
      </c>
      <c r="AC1334" t="n">
        <v>74</v>
      </c>
      <c r="AD1334" t="n">
        <v>1</v>
      </c>
      <c r="AE1334" t="n">
        <v>1</v>
      </c>
      <c r="AF1334" t="n">
        <v>3</v>
      </c>
      <c r="AG1334" t="n">
        <v>3</v>
      </c>
      <c r="AH1334" t="n">
        <v>1</v>
      </c>
      <c r="AI1334" t="n">
        <v>1</v>
      </c>
      <c r="AJ1334" t="n">
        <v>2</v>
      </c>
      <c r="AK1334" t="n">
        <v>2</v>
      </c>
      <c r="AL1334" t="n">
        <v>2</v>
      </c>
      <c r="AM1334" t="n">
        <v>2</v>
      </c>
      <c r="AN1334" t="n">
        <v>0</v>
      </c>
      <c r="AO1334" t="n">
        <v>0</v>
      </c>
      <c r="AP1334" t="n">
        <v>0</v>
      </c>
      <c r="AQ1334" t="n">
        <v>0</v>
      </c>
      <c r="AR1334" t="inlineStr">
        <is>
          <t>No</t>
        </is>
      </c>
      <c r="AS1334" t="inlineStr">
        <is>
          <t>No</t>
        </is>
      </c>
      <c r="AU1334">
        <f>HYPERLINK("https://creighton-primo.hosted.exlibrisgroup.com/primo-explore/search?tab=default_tab&amp;search_scope=EVERYTHING&amp;vid=01CRU&amp;lang=en_US&amp;offset=0&amp;query=any,contains,991001308429702656","Catalog Record")</f>
        <v/>
      </c>
      <c r="AV1334">
        <f>HYPERLINK("http://www.worldcat.org/oclc/16950591","WorldCat Record")</f>
        <v/>
      </c>
      <c r="AW1334" t="inlineStr">
        <is>
          <t>13076724:eng</t>
        </is>
      </c>
      <c r="AX1334" t="inlineStr">
        <is>
          <t>16950591</t>
        </is>
      </c>
      <c r="AY1334" t="inlineStr">
        <is>
          <t>991001308429702656</t>
        </is>
      </c>
      <c r="AZ1334" t="inlineStr">
        <is>
          <t>991001308429702656</t>
        </is>
      </c>
      <c r="BA1334" t="inlineStr">
        <is>
          <t>2262903930002656</t>
        </is>
      </c>
      <c r="BB1334" t="inlineStr">
        <is>
          <t>BOOK</t>
        </is>
      </c>
      <c r="BD1334" t="inlineStr">
        <is>
          <t>9780874341850</t>
        </is>
      </c>
      <c r="BE1334" t="inlineStr">
        <is>
          <t>30001001750084</t>
        </is>
      </c>
      <c r="BF1334" t="inlineStr">
        <is>
          <t>893369312</t>
        </is>
      </c>
    </row>
    <row r="1335">
      <c r="A1335" t="inlineStr">
        <is>
          <t>No</t>
        </is>
      </c>
      <c r="B1335" t="inlineStr">
        <is>
          <t>CUHSL</t>
        </is>
      </c>
      <c r="C1335" t="inlineStr">
        <is>
          <t>SHELVES</t>
        </is>
      </c>
      <c r="D1335" t="inlineStr">
        <is>
          <t>WY 150 M592n 1983</t>
        </is>
      </c>
      <c r="E1335" t="inlineStr">
        <is>
          <t>0                      WY 0150000M  592n        1983</t>
        </is>
      </c>
      <c r="F1335" t="inlineStr">
        <is>
          <t>Nurses' handbook of fluid balance / Norma Milligan Metheny, W.D. Snively, Jr., with 7 additional contributors.</t>
        </is>
      </c>
      <c r="H1335" t="inlineStr">
        <is>
          <t>No</t>
        </is>
      </c>
      <c r="I1335" t="inlineStr">
        <is>
          <t>1</t>
        </is>
      </c>
      <c r="J1335" t="inlineStr">
        <is>
          <t>No</t>
        </is>
      </c>
      <c r="K1335" t="inlineStr">
        <is>
          <t>No</t>
        </is>
      </c>
      <c r="L1335" t="inlineStr">
        <is>
          <t>0</t>
        </is>
      </c>
      <c r="M1335" t="inlineStr">
        <is>
          <t>Metheny, Norma Milligan.</t>
        </is>
      </c>
      <c r="N1335" t="inlineStr">
        <is>
          <t>Philadelphia : Lippincott, c1983.</t>
        </is>
      </c>
      <c r="O1335" t="inlineStr">
        <is>
          <t>1983</t>
        </is>
      </c>
      <c r="P1335" t="inlineStr">
        <is>
          <t>4th ed.</t>
        </is>
      </c>
      <c r="Q1335" t="inlineStr">
        <is>
          <t>eng</t>
        </is>
      </c>
      <c r="R1335" t="inlineStr">
        <is>
          <t>xxu</t>
        </is>
      </c>
      <c r="T1335" t="inlineStr">
        <is>
          <t xml:space="preserve">WY </t>
        </is>
      </c>
      <c r="U1335" t="n">
        <v>4</v>
      </c>
      <c r="V1335" t="n">
        <v>4</v>
      </c>
      <c r="W1335" t="inlineStr">
        <is>
          <t>2005-08-01</t>
        </is>
      </c>
      <c r="X1335" t="inlineStr">
        <is>
          <t>2005-08-01</t>
        </is>
      </c>
      <c r="Y1335" t="inlineStr">
        <is>
          <t>1987-10-23</t>
        </is>
      </c>
      <c r="Z1335" t="inlineStr">
        <is>
          <t>1987-10-23</t>
        </is>
      </c>
      <c r="AA1335" t="n">
        <v>319</v>
      </c>
      <c r="AB1335" t="n">
        <v>272</v>
      </c>
      <c r="AC1335" t="n">
        <v>501</v>
      </c>
      <c r="AD1335" t="n">
        <v>1</v>
      </c>
      <c r="AE1335" t="n">
        <v>4</v>
      </c>
      <c r="AF1335" t="n">
        <v>9</v>
      </c>
      <c r="AG1335" t="n">
        <v>17</v>
      </c>
      <c r="AH1335" t="n">
        <v>5</v>
      </c>
      <c r="AI1335" t="n">
        <v>8</v>
      </c>
      <c r="AJ1335" t="n">
        <v>1</v>
      </c>
      <c r="AK1335" t="n">
        <v>4</v>
      </c>
      <c r="AL1335" t="n">
        <v>6</v>
      </c>
      <c r="AM1335" t="n">
        <v>6</v>
      </c>
      <c r="AN1335" t="n">
        <v>0</v>
      </c>
      <c r="AO1335" t="n">
        <v>2</v>
      </c>
      <c r="AP1335" t="n">
        <v>0</v>
      </c>
      <c r="AQ1335" t="n">
        <v>0</v>
      </c>
      <c r="AR1335" t="inlineStr">
        <is>
          <t>No</t>
        </is>
      </c>
      <c r="AS1335" t="inlineStr">
        <is>
          <t>Yes</t>
        </is>
      </c>
      <c r="AT1335">
        <f>HYPERLINK("http://catalog.hathitrust.org/Record/000322051","HathiTrust Record")</f>
        <v/>
      </c>
      <c r="AU1335">
        <f>HYPERLINK("https://creighton-primo.hosted.exlibrisgroup.com/primo-explore/search?tab=default_tab&amp;search_scope=EVERYTHING&amp;vid=01CRU&amp;lang=en_US&amp;offset=0&amp;query=any,contains,991000735679702656","Catalog Record")</f>
        <v/>
      </c>
      <c r="AV1335">
        <f>HYPERLINK("http://www.worldcat.org/oclc/8762796","WorldCat Record")</f>
        <v/>
      </c>
      <c r="AW1335" t="inlineStr">
        <is>
          <t>1323343:eng</t>
        </is>
      </c>
      <c r="AX1335" t="inlineStr">
        <is>
          <t>8762796</t>
        </is>
      </c>
      <c r="AY1335" t="inlineStr">
        <is>
          <t>991000735679702656</t>
        </is>
      </c>
      <c r="AZ1335" t="inlineStr">
        <is>
          <t>991000735679702656</t>
        </is>
      </c>
      <c r="BA1335" t="inlineStr">
        <is>
          <t>2265303400002656</t>
        </is>
      </c>
      <c r="BB1335" t="inlineStr">
        <is>
          <t>BOOK</t>
        </is>
      </c>
      <c r="BD1335" t="inlineStr">
        <is>
          <t>9780397543816</t>
        </is>
      </c>
      <c r="BE1335" t="inlineStr">
        <is>
          <t>30001000041303</t>
        </is>
      </c>
      <c r="BF1335" t="inlineStr">
        <is>
          <t>893731010</t>
        </is>
      </c>
    </row>
    <row r="1336">
      <c r="A1336" t="inlineStr">
        <is>
          <t>No</t>
        </is>
      </c>
      <c r="B1336" t="inlineStr">
        <is>
          <t>CUHSL</t>
        </is>
      </c>
      <c r="C1336" t="inlineStr">
        <is>
          <t>SHELVES</t>
        </is>
      </c>
      <c r="D1336" t="inlineStr">
        <is>
          <t>WY 150 N97145 1993</t>
        </is>
      </c>
      <c r="E1336" t="inlineStr">
        <is>
          <t>0                      WY 0150000N  97145       1993</t>
        </is>
      </c>
      <c r="F1336" t="inlineStr">
        <is>
          <t>Nursing care of survivors of family violence / [edited by] Jacquelyn Campbell, Janice Humphreys.</t>
        </is>
      </c>
      <c r="H1336" t="inlineStr">
        <is>
          <t>No</t>
        </is>
      </c>
      <c r="I1336" t="inlineStr">
        <is>
          <t>1</t>
        </is>
      </c>
      <c r="J1336" t="inlineStr">
        <is>
          <t>No</t>
        </is>
      </c>
      <c r="K1336" t="inlineStr">
        <is>
          <t>No</t>
        </is>
      </c>
      <c r="L1336" t="inlineStr">
        <is>
          <t>0</t>
        </is>
      </c>
      <c r="N1336" t="inlineStr">
        <is>
          <t>St. Louis : Mosby, c1993.</t>
        </is>
      </c>
      <c r="O1336" t="inlineStr">
        <is>
          <t>1993</t>
        </is>
      </c>
      <c r="P1336" t="inlineStr">
        <is>
          <t>2nd ed.</t>
        </is>
      </c>
      <c r="Q1336" t="inlineStr">
        <is>
          <t>eng</t>
        </is>
      </c>
      <c r="R1336" t="inlineStr">
        <is>
          <t>mou</t>
        </is>
      </c>
      <c r="T1336" t="inlineStr">
        <is>
          <t xml:space="preserve">WY </t>
        </is>
      </c>
      <c r="U1336" t="n">
        <v>8</v>
      </c>
      <c r="V1336" t="n">
        <v>8</v>
      </c>
      <c r="W1336" t="inlineStr">
        <is>
          <t>2000-09-06</t>
        </is>
      </c>
      <c r="X1336" t="inlineStr">
        <is>
          <t>2000-09-06</t>
        </is>
      </c>
      <c r="Y1336" t="inlineStr">
        <is>
          <t>1996-01-25</t>
        </is>
      </c>
      <c r="Z1336" t="inlineStr">
        <is>
          <t>1996-01-25</t>
        </is>
      </c>
      <c r="AA1336" t="n">
        <v>460</v>
      </c>
      <c r="AB1336" t="n">
        <v>379</v>
      </c>
      <c r="AC1336" t="n">
        <v>386</v>
      </c>
      <c r="AD1336" t="n">
        <v>1</v>
      </c>
      <c r="AE1336" t="n">
        <v>1</v>
      </c>
      <c r="AF1336" t="n">
        <v>16</v>
      </c>
      <c r="AG1336" t="n">
        <v>16</v>
      </c>
      <c r="AH1336" t="n">
        <v>5</v>
      </c>
      <c r="AI1336" t="n">
        <v>5</v>
      </c>
      <c r="AJ1336" t="n">
        <v>3</v>
      </c>
      <c r="AK1336" t="n">
        <v>3</v>
      </c>
      <c r="AL1336" t="n">
        <v>12</v>
      </c>
      <c r="AM1336" t="n">
        <v>12</v>
      </c>
      <c r="AN1336" t="n">
        <v>0</v>
      </c>
      <c r="AO1336" t="n">
        <v>0</v>
      </c>
      <c r="AP1336" t="n">
        <v>0</v>
      </c>
      <c r="AQ1336" t="n">
        <v>0</v>
      </c>
      <c r="AR1336" t="inlineStr">
        <is>
          <t>No</t>
        </is>
      </c>
      <c r="AS1336" t="inlineStr">
        <is>
          <t>Yes</t>
        </is>
      </c>
      <c r="AT1336">
        <f>HYPERLINK("http://catalog.hathitrust.org/Record/002620064","HathiTrust Record")</f>
        <v/>
      </c>
      <c r="AU1336">
        <f>HYPERLINK("https://creighton-primo.hosted.exlibrisgroup.com/primo-explore/search?tab=default_tab&amp;search_scope=EVERYTHING&amp;vid=01CRU&amp;lang=en_US&amp;offset=0&amp;query=any,contains,991001503529702656","Catalog Record")</f>
        <v/>
      </c>
      <c r="AV1336">
        <f>HYPERLINK("http://www.worldcat.org/oclc/26769084","WorldCat Record")</f>
        <v/>
      </c>
      <c r="AW1336" t="inlineStr">
        <is>
          <t>476472511:eng</t>
        </is>
      </c>
      <c r="AX1336" t="inlineStr">
        <is>
          <t>26769084</t>
        </is>
      </c>
      <c r="AY1336" t="inlineStr">
        <is>
          <t>991001503529702656</t>
        </is>
      </c>
      <c r="AZ1336" t="inlineStr">
        <is>
          <t>991001503529702656</t>
        </is>
      </c>
      <c r="BA1336" t="inlineStr">
        <is>
          <t>2267409770002656</t>
        </is>
      </c>
      <c r="BB1336" t="inlineStr">
        <is>
          <t>BOOK</t>
        </is>
      </c>
      <c r="BD1336" t="inlineStr">
        <is>
          <t>9780801663789</t>
        </is>
      </c>
      <c r="BE1336" t="inlineStr">
        <is>
          <t>30001003263268</t>
        </is>
      </c>
      <c r="BF1336" t="inlineStr">
        <is>
          <t>893149290</t>
        </is>
      </c>
    </row>
    <row r="1337">
      <c r="A1337" t="inlineStr">
        <is>
          <t>No</t>
        </is>
      </c>
      <c r="B1337" t="inlineStr">
        <is>
          <t>CUHSL</t>
        </is>
      </c>
      <c r="C1337" t="inlineStr">
        <is>
          <t>SHELVES</t>
        </is>
      </c>
      <c r="D1337" t="inlineStr">
        <is>
          <t>WY 150 N9715 1988</t>
        </is>
      </c>
      <c r="E1337" t="inlineStr">
        <is>
          <t>0                      WY 0150000N  9715        1988</t>
        </is>
      </c>
      <c r="F1337" t="inlineStr">
        <is>
          <t>Nursing care of the person with AIDS/ARC / edited by Angie Lewis.</t>
        </is>
      </c>
      <c r="H1337" t="inlineStr">
        <is>
          <t>No</t>
        </is>
      </c>
      <c r="I1337" t="inlineStr">
        <is>
          <t>1</t>
        </is>
      </c>
      <c r="J1337" t="inlineStr">
        <is>
          <t>No</t>
        </is>
      </c>
      <c r="K1337" t="inlineStr">
        <is>
          <t>No</t>
        </is>
      </c>
      <c r="L1337" t="inlineStr">
        <is>
          <t>0</t>
        </is>
      </c>
      <c r="N1337" t="inlineStr">
        <is>
          <t>Rockville, Md. : Aspen Publishers, c1988.</t>
        </is>
      </c>
      <c r="O1337" t="inlineStr">
        <is>
          <t>1988</t>
        </is>
      </c>
      <c r="Q1337" t="inlineStr">
        <is>
          <t>eng</t>
        </is>
      </c>
      <c r="R1337" t="inlineStr">
        <is>
          <t>xxu</t>
        </is>
      </c>
      <c r="S1337" t="inlineStr">
        <is>
          <t>Aspen series in medical surgical nursing</t>
        </is>
      </c>
      <c r="T1337" t="inlineStr">
        <is>
          <t xml:space="preserve">WY </t>
        </is>
      </c>
      <c r="U1337" t="n">
        <v>6</v>
      </c>
      <c r="V1337" t="n">
        <v>6</v>
      </c>
      <c r="W1337" t="inlineStr">
        <is>
          <t>1996-08-04</t>
        </is>
      </c>
      <c r="X1337" t="inlineStr">
        <is>
          <t>1996-08-04</t>
        </is>
      </c>
      <c r="Y1337" t="inlineStr">
        <is>
          <t>1989-11-06</t>
        </is>
      </c>
      <c r="Z1337" t="inlineStr">
        <is>
          <t>1989-11-06</t>
        </is>
      </c>
      <c r="AA1337" t="n">
        <v>431</v>
      </c>
      <c r="AB1337" t="n">
        <v>383</v>
      </c>
      <c r="AC1337" t="n">
        <v>390</v>
      </c>
      <c r="AD1337" t="n">
        <v>2</v>
      </c>
      <c r="AE1337" t="n">
        <v>2</v>
      </c>
      <c r="AF1337" t="n">
        <v>15</v>
      </c>
      <c r="AG1337" t="n">
        <v>15</v>
      </c>
      <c r="AH1337" t="n">
        <v>5</v>
      </c>
      <c r="AI1337" t="n">
        <v>5</v>
      </c>
      <c r="AJ1337" t="n">
        <v>3</v>
      </c>
      <c r="AK1337" t="n">
        <v>3</v>
      </c>
      <c r="AL1337" t="n">
        <v>9</v>
      </c>
      <c r="AM1337" t="n">
        <v>9</v>
      </c>
      <c r="AN1337" t="n">
        <v>1</v>
      </c>
      <c r="AO1337" t="n">
        <v>1</v>
      </c>
      <c r="AP1337" t="n">
        <v>1</v>
      </c>
      <c r="AQ1337" t="n">
        <v>1</v>
      </c>
      <c r="AR1337" t="inlineStr">
        <is>
          <t>No</t>
        </is>
      </c>
      <c r="AS1337" t="inlineStr">
        <is>
          <t>Yes</t>
        </is>
      </c>
      <c r="AT1337">
        <f>HYPERLINK("http://catalog.hathitrust.org/Record/000946494","HathiTrust Record")</f>
        <v/>
      </c>
      <c r="AU1337">
        <f>HYPERLINK("https://creighton-primo.hosted.exlibrisgroup.com/primo-explore/search?tab=default_tab&amp;search_scope=EVERYTHING&amp;vid=01CRU&amp;lang=en_US&amp;offset=0&amp;query=any,contains,991001315299702656","Catalog Record")</f>
        <v/>
      </c>
      <c r="AV1337">
        <f>HYPERLINK("http://www.worldcat.org/oclc/17733000","WorldCat Record")</f>
        <v/>
      </c>
      <c r="AW1337" t="inlineStr">
        <is>
          <t>16764251:eng</t>
        </is>
      </c>
      <c r="AX1337" t="inlineStr">
        <is>
          <t>17733000</t>
        </is>
      </c>
      <c r="AY1337" t="inlineStr">
        <is>
          <t>991001315299702656</t>
        </is>
      </c>
      <c r="AZ1337" t="inlineStr">
        <is>
          <t>991001315299702656</t>
        </is>
      </c>
      <c r="BA1337" t="inlineStr">
        <is>
          <t>2258019970002656</t>
        </is>
      </c>
      <c r="BB1337" t="inlineStr">
        <is>
          <t>BOOK</t>
        </is>
      </c>
      <c r="BD1337" t="inlineStr">
        <is>
          <t>9780871897749</t>
        </is>
      </c>
      <c r="BE1337" t="inlineStr">
        <is>
          <t>30001001752601</t>
        </is>
      </c>
      <c r="BF1337" t="inlineStr">
        <is>
          <t>893821118</t>
        </is>
      </c>
    </row>
    <row r="1338">
      <c r="A1338" t="inlineStr">
        <is>
          <t>No</t>
        </is>
      </c>
      <c r="B1338" t="inlineStr">
        <is>
          <t>CUHSL</t>
        </is>
      </c>
      <c r="C1338" t="inlineStr">
        <is>
          <t>SHELVES</t>
        </is>
      </c>
      <c r="D1338" t="inlineStr">
        <is>
          <t>WY 150 N973 1982</t>
        </is>
      </c>
      <c r="E1338" t="inlineStr">
        <is>
          <t>0                      WY 0150000N  973         1982</t>
        </is>
      </c>
      <c r="F1338" t="inlineStr">
        <is>
          <t>Nursing care planning guides for medical-surgical care / Margo Creighton Neal ... [et al.].</t>
        </is>
      </c>
      <c r="H1338" t="inlineStr">
        <is>
          <t>No</t>
        </is>
      </c>
      <c r="I1338" t="inlineStr">
        <is>
          <t>1</t>
        </is>
      </c>
      <c r="J1338" t="inlineStr">
        <is>
          <t>No</t>
        </is>
      </c>
      <c r="K1338" t="inlineStr">
        <is>
          <t>No</t>
        </is>
      </c>
      <c r="L1338" t="inlineStr">
        <is>
          <t>0</t>
        </is>
      </c>
      <c r="N1338" t="inlineStr">
        <is>
          <t>Pacific Palisades, CA : Nurseco, c1982.</t>
        </is>
      </c>
      <c r="O1338" t="inlineStr">
        <is>
          <t>1982</t>
        </is>
      </c>
      <c r="Q1338" t="inlineStr">
        <is>
          <t>eng</t>
        </is>
      </c>
      <c r="R1338" t="inlineStr">
        <is>
          <t>xxu</t>
        </is>
      </c>
      <c r="T1338" t="inlineStr">
        <is>
          <t xml:space="preserve">WY </t>
        </is>
      </c>
      <c r="U1338" t="n">
        <v>1</v>
      </c>
      <c r="V1338" t="n">
        <v>1</v>
      </c>
      <c r="W1338" t="inlineStr">
        <is>
          <t>1991-01-18</t>
        </is>
      </c>
      <c r="X1338" t="inlineStr">
        <is>
          <t>1991-01-18</t>
        </is>
      </c>
      <c r="Y1338" t="inlineStr">
        <is>
          <t>1987-12-30</t>
        </is>
      </c>
      <c r="Z1338" t="inlineStr">
        <is>
          <t>1987-12-30</t>
        </is>
      </c>
      <c r="AA1338" t="n">
        <v>41</v>
      </c>
      <c r="AB1338" t="n">
        <v>35</v>
      </c>
      <c r="AC1338" t="n">
        <v>59</v>
      </c>
      <c r="AD1338" t="n">
        <v>1</v>
      </c>
      <c r="AE1338" t="n">
        <v>1</v>
      </c>
      <c r="AF1338" t="n">
        <v>0</v>
      </c>
      <c r="AG1338" t="n">
        <v>0</v>
      </c>
      <c r="AH1338" t="n">
        <v>0</v>
      </c>
      <c r="AI1338" t="n">
        <v>0</v>
      </c>
      <c r="AJ1338" t="n">
        <v>0</v>
      </c>
      <c r="AK1338" t="n">
        <v>0</v>
      </c>
      <c r="AL1338" t="n">
        <v>0</v>
      </c>
      <c r="AM1338" t="n">
        <v>0</v>
      </c>
      <c r="AN1338" t="n">
        <v>0</v>
      </c>
      <c r="AO1338" t="n">
        <v>0</v>
      </c>
      <c r="AP1338" t="n">
        <v>0</v>
      </c>
      <c r="AQ1338" t="n">
        <v>0</v>
      </c>
      <c r="AR1338" t="inlineStr">
        <is>
          <t>No</t>
        </is>
      </c>
      <c r="AS1338" t="inlineStr">
        <is>
          <t>No</t>
        </is>
      </c>
      <c r="AU1338">
        <f>HYPERLINK("https://creighton-primo.hosted.exlibrisgroup.com/primo-explore/search?tab=default_tab&amp;search_scope=EVERYTHING&amp;vid=01CRU&amp;lang=en_US&amp;offset=0&amp;query=any,contains,991001085709702656","Catalog Record")</f>
        <v/>
      </c>
      <c r="AV1338">
        <f>HYPERLINK("http://www.worldcat.org/oclc/7999107","WorldCat Record")</f>
        <v/>
      </c>
      <c r="AW1338" t="inlineStr">
        <is>
          <t>3132327769:eng</t>
        </is>
      </c>
      <c r="AX1338" t="inlineStr">
        <is>
          <t>7999107</t>
        </is>
      </c>
      <c r="AY1338" t="inlineStr">
        <is>
          <t>991001085709702656</t>
        </is>
      </c>
      <c r="AZ1338" t="inlineStr">
        <is>
          <t>991001085709702656</t>
        </is>
      </c>
      <c r="BA1338" t="inlineStr">
        <is>
          <t>2271256230002656</t>
        </is>
      </c>
      <c r="BB1338" t="inlineStr">
        <is>
          <t>BOOK</t>
        </is>
      </c>
      <c r="BD1338" t="inlineStr">
        <is>
          <t>9780935236231</t>
        </is>
      </c>
      <c r="BE1338" t="inlineStr">
        <is>
          <t>30001000259178</t>
        </is>
      </c>
      <c r="BF1338" t="inlineStr">
        <is>
          <t>893374243</t>
        </is>
      </c>
    </row>
    <row r="1339">
      <c r="A1339" t="inlineStr">
        <is>
          <t>No</t>
        </is>
      </c>
      <c r="B1339" t="inlineStr">
        <is>
          <t>CUHSL</t>
        </is>
      </c>
      <c r="C1339" t="inlineStr">
        <is>
          <t>SHELVES</t>
        </is>
      </c>
      <c r="D1339" t="inlineStr">
        <is>
          <t>WY 150 N974 1982</t>
        </is>
      </c>
      <c r="E1339" t="inlineStr">
        <is>
          <t>0                      WY 0150000N  974         1982</t>
        </is>
      </c>
      <c r="F1339" t="inlineStr">
        <is>
          <t>Nursing skills for clinical practice / edited by Beverly J. Rambo and Lucile A. Wood.</t>
        </is>
      </c>
      <c r="H1339" t="inlineStr">
        <is>
          <t>No</t>
        </is>
      </c>
      <c r="I1339" t="inlineStr">
        <is>
          <t>1</t>
        </is>
      </c>
      <c r="J1339" t="inlineStr">
        <is>
          <t>No</t>
        </is>
      </c>
      <c r="K1339" t="inlineStr">
        <is>
          <t>No</t>
        </is>
      </c>
      <c r="L1339" t="inlineStr">
        <is>
          <t>0</t>
        </is>
      </c>
      <c r="N1339" t="inlineStr">
        <is>
          <t>Philadelphia : Saunders, c1982.</t>
        </is>
      </c>
      <c r="O1339" t="inlineStr">
        <is>
          <t>1982</t>
        </is>
      </c>
      <c r="P1339" t="inlineStr">
        <is>
          <t>3rd ed. / new revisions by Ruth Ann Barmetter.</t>
        </is>
      </c>
      <c r="Q1339" t="inlineStr">
        <is>
          <t>eng</t>
        </is>
      </c>
      <c r="R1339" t="inlineStr">
        <is>
          <t>xxu</t>
        </is>
      </c>
      <c r="T1339" t="inlineStr">
        <is>
          <t xml:space="preserve">WY </t>
        </is>
      </c>
      <c r="U1339" t="n">
        <v>3</v>
      </c>
      <c r="V1339" t="n">
        <v>3</v>
      </c>
      <c r="W1339" t="inlineStr">
        <is>
          <t>1999-02-16</t>
        </is>
      </c>
      <c r="X1339" t="inlineStr">
        <is>
          <t>1999-02-16</t>
        </is>
      </c>
      <c r="Y1339" t="inlineStr">
        <is>
          <t>1987-12-30</t>
        </is>
      </c>
      <c r="Z1339" t="inlineStr">
        <is>
          <t>1987-12-30</t>
        </is>
      </c>
      <c r="AA1339" t="n">
        <v>148</v>
      </c>
      <c r="AB1339" t="n">
        <v>126</v>
      </c>
      <c r="AC1339" t="n">
        <v>212</v>
      </c>
      <c r="AD1339" t="n">
        <v>1</v>
      </c>
      <c r="AE1339" t="n">
        <v>2</v>
      </c>
      <c r="AF1339" t="n">
        <v>1</v>
      </c>
      <c r="AG1339" t="n">
        <v>2</v>
      </c>
      <c r="AH1339" t="n">
        <v>0</v>
      </c>
      <c r="AI1339" t="n">
        <v>1</v>
      </c>
      <c r="AJ1339" t="n">
        <v>0</v>
      </c>
      <c r="AK1339" t="n">
        <v>0</v>
      </c>
      <c r="AL1339" t="n">
        <v>1</v>
      </c>
      <c r="AM1339" t="n">
        <v>2</v>
      </c>
      <c r="AN1339" t="n">
        <v>0</v>
      </c>
      <c r="AO1339" t="n">
        <v>0</v>
      </c>
      <c r="AP1339" t="n">
        <v>0</v>
      </c>
      <c r="AQ1339" t="n">
        <v>0</v>
      </c>
      <c r="AR1339" t="inlineStr">
        <is>
          <t>No</t>
        </is>
      </c>
      <c r="AS1339" t="inlineStr">
        <is>
          <t>Yes</t>
        </is>
      </c>
      <c r="AT1339">
        <f>HYPERLINK("http://catalog.hathitrust.org/Record/000767231","HathiTrust Record")</f>
        <v/>
      </c>
      <c r="AU1339">
        <f>HYPERLINK("https://creighton-primo.hosted.exlibrisgroup.com/primo-explore/search?tab=default_tab&amp;search_scope=EVERYTHING&amp;vid=01CRU&amp;lang=en_US&amp;offset=0&amp;query=any,contains,991001085749702656","Catalog Record")</f>
        <v/>
      </c>
      <c r="AV1339">
        <f>HYPERLINK("http://www.worldcat.org/oclc/7550964","WorldCat Record")</f>
        <v/>
      </c>
      <c r="AW1339" t="inlineStr">
        <is>
          <t>355433256:eng</t>
        </is>
      </c>
      <c r="AX1339" t="inlineStr">
        <is>
          <t>7550964</t>
        </is>
      </c>
      <c r="AY1339" t="inlineStr">
        <is>
          <t>991001085749702656</t>
        </is>
      </c>
      <c r="AZ1339" t="inlineStr">
        <is>
          <t>991001085749702656</t>
        </is>
      </c>
      <c r="BA1339" t="inlineStr">
        <is>
          <t>2271864360002656</t>
        </is>
      </c>
      <c r="BB1339" t="inlineStr">
        <is>
          <t>BOOK</t>
        </is>
      </c>
      <c r="BD1339" t="inlineStr">
        <is>
          <t>9780721674582</t>
        </is>
      </c>
      <c r="BE1339" t="inlineStr">
        <is>
          <t>30001000259236</t>
        </is>
      </c>
      <c r="BF1339" t="inlineStr">
        <is>
          <t>893268044</t>
        </is>
      </c>
    </row>
    <row r="1340">
      <c r="A1340" t="inlineStr">
        <is>
          <t>No</t>
        </is>
      </c>
      <c r="B1340" t="inlineStr">
        <is>
          <t>CUHSL</t>
        </is>
      </c>
      <c r="C1340" t="inlineStr">
        <is>
          <t>SHELVES</t>
        </is>
      </c>
      <c r="D1340" t="inlineStr">
        <is>
          <t>WY 150 O68 1991</t>
        </is>
      </c>
      <c r="E1340" t="inlineStr">
        <is>
          <t>0                      WY 0150000O  68          1991</t>
        </is>
      </c>
      <c r="F1340" t="inlineStr">
        <is>
          <t>Organ and tissue transplantation : nursing care from procurement through rehabilitation / M.K. Gaedeke Norris and Mary Anne House.</t>
        </is>
      </c>
      <c r="H1340" t="inlineStr">
        <is>
          <t>No</t>
        </is>
      </c>
      <c r="I1340" t="inlineStr">
        <is>
          <t>1</t>
        </is>
      </c>
      <c r="J1340" t="inlineStr">
        <is>
          <t>No</t>
        </is>
      </c>
      <c r="K1340" t="inlineStr">
        <is>
          <t>No</t>
        </is>
      </c>
      <c r="L1340" t="inlineStr">
        <is>
          <t>0</t>
        </is>
      </c>
      <c r="M1340" t="inlineStr">
        <is>
          <t>Gaedeke, M. K., 1955-</t>
        </is>
      </c>
      <c r="N1340" t="inlineStr">
        <is>
          <t>Philadelphia : F.A. Davis, c1991.</t>
        </is>
      </c>
      <c r="O1340" t="inlineStr">
        <is>
          <t>1991</t>
        </is>
      </c>
      <c r="Q1340" t="inlineStr">
        <is>
          <t>eng</t>
        </is>
      </c>
      <c r="R1340" t="inlineStr">
        <is>
          <t>pau</t>
        </is>
      </c>
      <c r="T1340" t="inlineStr">
        <is>
          <t xml:space="preserve">WY </t>
        </is>
      </c>
      <c r="U1340" t="n">
        <v>7</v>
      </c>
      <c r="V1340" t="n">
        <v>7</v>
      </c>
      <c r="W1340" t="inlineStr">
        <is>
          <t>2003-07-02</t>
        </is>
      </c>
      <c r="X1340" t="inlineStr">
        <is>
          <t>2003-07-02</t>
        </is>
      </c>
      <c r="Y1340" t="inlineStr">
        <is>
          <t>1993-03-26</t>
        </is>
      </c>
      <c r="Z1340" t="inlineStr">
        <is>
          <t>1993-03-26</t>
        </is>
      </c>
      <c r="AA1340" t="n">
        <v>271</v>
      </c>
      <c r="AB1340" t="n">
        <v>218</v>
      </c>
      <c r="AC1340" t="n">
        <v>225</v>
      </c>
      <c r="AD1340" t="n">
        <v>1</v>
      </c>
      <c r="AE1340" t="n">
        <v>1</v>
      </c>
      <c r="AF1340" t="n">
        <v>7</v>
      </c>
      <c r="AG1340" t="n">
        <v>7</v>
      </c>
      <c r="AH1340" t="n">
        <v>2</v>
      </c>
      <c r="AI1340" t="n">
        <v>2</v>
      </c>
      <c r="AJ1340" t="n">
        <v>2</v>
      </c>
      <c r="AK1340" t="n">
        <v>2</v>
      </c>
      <c r="AL1340" t="n">
        <v>6</v>
      </c>
      <c r="AM1340" t="n">
        <v>6</v>
      </c>
      <c r="AN1340" t="n">
        <v>0</v>
      </c>
      <c r="AO1340" t="n">
        <v>0</v>
      </c>
      <c r="AP1340" t="n">
        <v>0</v>
      </c>
      <c r="AQ1340" t="n">
        <v>0</v>
      </c>
      <c r="AR1340" t="inlineStr">
        <is>
          <t>No</t>
        </is>
      </c>
      <c r="AS1340" t="inlineStr">
        <is>
          <t>Yes</t>
        </is>
      </c>
      <c r="AT1340">
        <f>HYPERLINK("http://catalog.hathitrust.org/Record/002437762","HathiTrust Record")</f>
        <v/>
      </c>
      <c r="AU1340">
        <f>HYPERLINK("https://creighton-primo.hosted.exlibrisgroup.com/primo-explore/search?tab=default_tab&amp;search_scope=EVERYTHING&amp;vid=01CRU&amp;lang=en_US&amp;offset=0&amp;query=any,contains,991001476869702656","Catalog Record")</f>
        <v/>
      </c>
      <c r="AV1340">
        <f>HYPERLINK("http://www.worldcat.org/oclc/22706146","WorldCat Record")</f>
        <v/>
      </c>
      <c r="AW1340" t="inlineStr">
        <is>
          <t>476080139:eng</t>
        </is>
      </c>
      <c r="AX1340" t="inlineStr">
        <is>
          <t>22706146</t>
        </is>
      </c>
      <c r="AY1340" t="inlineStr">
        <is>
          <t>991001476869702656</t>
        </is>
      </c>
      <c r="AZ1340" t="inlineStr">
        <is>
          <t>991001476869702656</t>
        </is>
      </c>
      <c r="BA1340" t="inlineStr">
        <is>
          <t>2257513870002656</t>
        </is>
      </c>
      <c r="BB1340" t="inlineStr">
        <is>
          <t>BOOK</t>
        </is>
      </c>
      <c r="BD1340" t="inlineStr">
        <is>
          <t>9780803665873</t>
        </is>
      </c>
      <c r="BE1340" t="inlineStr">
        <is>
          <t>30001002563593</t>
        </is>
      </c>
      <c r="BF1340" t="inlineStr">
        <is>
          <t>893552541</t>
        </is>
      </c>
    </row>
    <row r="1341">
      <c r="A1341" t="inlineStr">
        <is>
          <t>No</t>
        </is>
      </c>
      <c r="B1341" t="inlineStr">
        <is>
          <t>CUHSL</t>
        </is>
      </c>
      <c r="C1341" t="inlineStr">
        <is>
          <t>SHELVES</t>
        </is>
      </c>
      <c r="D1341" t="inlineStr">
        <is>
          <t>WY 150 P467 1991</t>
        </is>
      </c>
      <c r="E1341" t="inlineStr">
        <is>
          <t>0                      WY 0150000P  467         1991</t>
        </is>
      </c>
      <c r="F1341" t="inlineStr">
        <is>
          <t>The Person with AIDS : nursing perspectives / Jerry D. Durham, Felissa L. Cohen, editors.</t>
        </is>
      </c>
      <c r="H1341" t="inlineStr">
        <is>
          <t>No</t>
        </is>
      </c>
      <c r="I1341" t="inlineStr">
        <is>
          <t>1</t>
        </is>
      </c>
      <c r="J1341" t="inlineStr">
        <is>
          <t>No</t>
        </is>
      </c>
      <c r="K1341" t="inlineStr">
        <is>
          <t>No</t>
        </is>
      </c>
      <c r="L1341" t="inlineStr">
        <is>
          <t>0</t>
        </is>
      </c>
      <c r="N1341" t="inlineStr">
        <is>
          <t>New York : Springer Pub. Co., c1991.</t>
        </is>
      </c>
      <c r="O1341" t="inlineStr">
        <is>
          <t>1991</t>
        </is>
      </c>
      <c r="P1341" t="inlineStr">
        <is>
          <t>2nd ed.</t>
        </is>
      </c>
      <c r="Q1341" t="inlineStr">
        <is>
          <t>eng</t>
        </is>
      </c>
      <c r="R1341" t="inlineStr">
        <is>
          <t>xxu</t>
        </is>
      </c>
      <c r="T1341" t="inlineStr">
        <is>
          <t xml:space="preserve">WY </t>
        </is>
      </c>
      <c r="U1341" t="n">
        <v>5</v>
      </c>
      <c r="V1341" t="n">
        <v>5</v>
      </c>
      <c r="W1341" t="inlineStr">
        <is>
          <t>1996-08-04</t>
        </is>
      </c>
      <c r="X1341" t="inlineStr">
        <is>
          <t>1996-08-04</t>
        </is>
      </c>
      <c r="Y1341" t="inlineStr">
        <is>
          <t>1991-03-27</t>
        </is>
      </c>
      <c r="Z1341" t="inlineStr">
        <is>
          <t>1991-03-27</t>
        </is>
      </c>
      <c r="AA1341" t="n">
        <v>336</v>
      </c>
      <c r="AB1341" t="n">
        <v>285</v>
      </c>
      <c r="AC1341" t="n">
        <v>528</v>
      </c>
      <c r="AD1341" t="n">
        <v>1</v>
      </c>
      <c r="AE1341" t="n">
        <v>3</v>
      </c>
      <c r="AF1341" t="n">
        <v>11</v>
      </c>
      <c r="AG1341" t="n">
        <v>21</v>
      </c>
      <c r="AH1341" t="n">
        <v>4</v>
      </c>
      <c r="AI1341" t="n">
        <v>9</v>
      </c>
      <c r="AJ1341" t="n">
        <v>4</v>
      </c>
      <c r="AK1341" t="n">
        <v>5</v>
      </c>
      <c r="AL1341" t="n">
        <v>7</v>
      </c>
      <c r="AM1341" t="n">
        <v>11</v>
      </c>
      <c r="AN1341" t="n">
        <v>0</v>
      </c>
      <c r="AO1341" t="n">
        <v>2</v>
      </c>
      <c r="AP1341" t="n">
        <v>0</v>
      </c>
      <c r="AQ1341" t="n">
        <v>0</v>
      </c>
      <c r="AR1341" t="inlineStr">
        <is>
          <t>No</t>
        </is>
      </c>
      <c r="AS1341" t="inlineStr">
        <is>
          <t>Yes</t>
        </is>
      </c>
      <c r="AT1341">
        <f>HYPERLINK("http://catalog.hathitrust.org/Record/002503257","HathiTrust Record")</f>
        <v/>
      </c>
      <c r="AU1341">
        <f>HYPERLINK("https://creighton-primo.hosted.exlibrisgroup.com/primo-explore/search?tab=default_tab&amp;search_scope=EVERYTHING&amp;vid=01CRU&amp;lang=en_US&amp;offset=0&amp;query=any,contains,991000827049702656","Catalog Record")</f>
        <v/>
      </c>
      <c r="AV1341">
        <f>HYPERLINK("http://www.worldcat.org/oclc/23080903","WorldCat Record")</f>
        <v/>
      </c>
      <c r="AW1341" t="inlineStr">
        <is>
          <t>3901097610:eng</t>
        </is>
      </c>
      <c r="AX1341" t="inlineStr">
        <is>
          <t>23080903</t>
        </is>
      </c>
      <c r="AY1341" t="inlineStr">
        <is>
          <t>991000827049702656</t>
        </is>
      </c>
      <c r="AZ1341" t="inlineStr">
        <is>
          <t>991000827049702656</t>
        </is>
      </c>
      <c r="BA1341" t="inlineStr">
        <is>
          <t>2258365040002656</t>
        </is>
      </c>
      <c r="BB1341" t="inlineStr">
        <is>
          <t>BOOK</t>
        </is>
      </c>
      <c r="BD1341" t="inlineStr">
        <is>
          <t>9780826156310</t>
        </is>
      </c>
      <c r="BE1341" t="inlineStr">
        <is>
          <t>30001002089201</t>
        </is>
      </c>
      <c r="BF1341" t="inlineStr">
        <is>
          <t>893726929</t>
        </is>
      </c>
    </row>
    <row r="1342">
      <c r="A1342" t="inlineStr">
        <is>
          <t>No</t>
        </is>
      </c>
      <c r="B1342" t="inlineStr">
        <is>
          <t>CUHSL</t>
        </is>
      </c>
      <c r="C1342" t="inlineStr">
        <is>
          <t>SHELVES</t>
        </is>
      </c>
      <c r="D1342" t="inlineStr">
        <is>
          <t>WY 150 P578 1982</t>
        </is>
      </c>
      <c r="E1342" t="inlineStr">
        <is>
          <t>0                      WY 0150000P  578         1982</t>
        </is>
      </c>
      <c r="F1342" t="inlineStr">
        <is>
          <t>Physical assessment skills for nursing practice / edited by Josephine M. Sana, Richard D. Judge.</t>
        </is>
      </c>
      <c r="H1342" t="inlineStr">
        <is>
          <t>No</t>
        </is>
      </c>
      <c r="I1342" t="inlineStr">
        <is>
          <t>1</t>
        </is>
      </c>
      <c r="J1342" t="inlineStr">
        <is>
          <t>No</t>
        </is>
      </c>
      <c r="K1342" t="inlineStr">
        <is>
          <t>No</t>
        </is>
      </c>
      <c r="L1342" t="inlineStr">
        <is>
          <t>0</t>
        </is>
      </c>
      <c r="N1342" t="inlineStr">
        <is>
          <t>Boston : Little, Brown, c1982.</t>
        </is>
      </c>
      <c r="O1342" t="inlineStr">
        <is>
          <t>1982</t>
        </is>
      </c>
      <c r="P1342" t="inlineStr">
        <is>
          <t>2nd ed.</t>
        </is>
      </c>
      <c r="Q1342" t="inlineStr">
        <is>
          <t>eng</t>
        </is>
      </c>
      <c r="R1342" t="inlineStr">
        <is>
          <t>mau</t>
        </is>
      </c>
      <c r="T1342" t="inlineStr">
        <is>
          <t xml:space="preserve">WY </t>
        </is>
      </c>
      <c r="U1342" t="n">
        <v>9</v>
      </c>
      <c r="V1342" t="n">
        <v>9</v>
      </c>
      <c r="W1342" t="inlineStr">
        <is>
          <t>1995-02-09</t>
        </is>
      </c>
      <c r="X1342" t="inlineStr">
        <is>
          <t>1995-02-09</t>
        </is>
      </c>
      <c r="Y1342" t="inlineStr">
        <is>
          <t>1987-10-23</t>
        </is>
      </c>
      <c r="Z1342" t="inlineStr">
        <is>
          <t>1987-10-23</t>
        </is>
      </c>
      <c r="AA1342" t="n">
        <v>134</v>
      </c>
      <c r="AB1342" t="n">
        <v>109</v>
      </c>
      <c r="AC1342" t="n">
        <v>112</v>
      </c>
      <c r="AD1342" t="n">
        <v>1</v>
      </c>
      <c r="AE1342" t="n">
        <v>1</v>
      </c>
      <c r="AF1342" t="n">
        <v>5</v>
      </c>
      <c r="AG1342" t="n">
        <v>5</v>
      </c>
      <c r="AH1342" t="n">
        <v>2</v>
      </c>
      <c r="AI1342" t="n">
        <v>2</v>
      </c>
      <c r="AJ1342" t="n">
        <v>2</v>
      </c>
      <c r="AK1342" t="n">
        <v>2</v>
      </c>
      <c r="AL1342" t="n">
        <v>2</v>
      </c>
      <c r="AM1342" t="n">
        <v>2</v>
      </c>
      <c r="AN1342" t="n">
        <v>0</v>
      </c>
      <c r="AO1342" t="n">
        <v>0</v>
      </c>
      <c r="AP1342" t="n">
        <v>0</v>
      </c>
      <c r="AQ1342" t="n">
        <v>0</v>
      </c>
      <c r="AR1342" t="inlineStr">
        <is>
          <t>No</t>
        </is>
      </c>
      <c r="AS1342" t="inlineStr">
        <is>
          <t>Yes</t>
        </is>
      </c>
      <c r="AT1342">
        <f>HYPERLINK("http://catalog.hathitrust.org/Record/000101784","HathiTrust Record")</f>
        <v/>
      </c>
      <c r="AU1342">
        <f>HYPERLINK("https://creighton-primo.hosted.exlibrisgroup.com/primo-explore/search?tab=default_tab&amp;search_scope=EVERYTHING&amp;vid=01CRU&amp;lang=en_US&amp;offset=0&amp;query=any,contains,991000735579702656","Catalog Record")</f>
        <v/>
      </c>
      <c r="AV1342">
        <f>HYPERLINK("http://www.worldcat.org/oclc/8428063","WorldCat Record")</f>
        <v/>
      </c>
      <c r="AW1342" t="inlineStr">
        <is>
          <t>430570263:eng</t>
        </is>
      </c>
      <c r="AX1342" t="inlineStr">
        <is>
          <t>8428063</t>
        </is>
      </c>
      <c r="AY1342" t="inlineStr">
        <is>
          <t>991000735579702656</t>
        </is>
      </c>
      <c r="AZ1342" t="inlineStr">
        <is>
          <t>991000735579702656</t>
        </is>
      </c>
      <c r="BA1342" t="inlineStr">
        <is>
          <t>2269295260002656</t>
        </is>
      </c>
      <c r="BB1342" t="inlineStr">
        <is>
          <t>BOOK</t>
        </is>
      </c>
      <c r="BD1342" t="inlineStr">
        <is>
          <t>9780316769976</t>
        </is>
      </c>
      <c r="BE1342" t="inlineStr">
        <is>
          <t>30001000041261</t>
        </is>
      </c>
      <c r="BF1342" t="inlineStr">
        <is>
          <t>893464597</t>
        </is>
      </c>
    </row>
    <row r="1343">
      <c r="A1343" t="inlineStr">
        <is>
          <t>No</t>
        </is>
      </c>
      <c r="B1343" t="inlineStr">
        <is>
          <t>CUHSL</t>
        </is>
      </c>
      <c r="C1343" t="inlineStr">
        <is>
          <t>SHELVES</t>
        </is>
      </c>
      <c r="D1343" t="inlineStr">
        <is>
          <t>WY 150 P957 1990</t>
        </is>
      </c>
      <c r="E1343" t="inlineStr">
        <is>
          <t>0                      WY 0150000P  957         1990</t>
        </is>
      </c>
      <c r="F1343" t="inlineStr">
        <is>
          <t>Principles and practice of adult health nursing / edited by Patricia Gauntlett Beare, Judith L. Myers.</t>
        </is>
      </c>
      <c r="H1343" t="inlineStr">
        <is>
          <t>No</t>
        </is>
      </c>
      <c r="I1343" t="inlineStr">
        <is>
          <t>1</t>
        </is>
      </c>
      <c r="J1343" t="inlineStr">
        <is>
          <t>No</t>
        </is>
      </c>
      <c r="K1343" t="inlineStr">
        <is>
          <t>No</t>
        </is>
      </c>
      <c r="L1343" t="inlineStr">
        <is>
          <t>0</t>
        </is>
      </c>
      <c r="N1343" t="inlineStr">
        <is>
          <t>St. Louis : Mosby, c1990.</t>
        </is>
      </c>
      <c r="O1343" t="inlineStr">
        <is>
          <t>1990</t>
        </is>
      </c>
      <c r="Q1343" t="inlineStr">
        <is>
          <t>eng</t>
        </is>
      </c>
      <c r="R1343" t="inlineStr">
        <is>
          <t>xxu</t>
        </is>
      </c>
      <c r="T1343" t="inlineStr">
        <is>
          <t xml:space="preserve">WY </t>
        </is>
      </c>
      <c r="U1343" t="n">
        <v>54</v>
      </c>
      <c r="V1343" t="n">
        <v>54</v>
      </c>
      <c r="W1343" t="inlineStr">
        <is>
          <t>1997-10-29</t>
        </is>
      </c>
      <c r="X1343" t="inlineStr">
        <is>
          <t>1997-10-29</t>
        </is>
      </c>
      <c r="Y1343" t="inlineStr">
        <is>
          <t>1991-07-26</t>
        </is>
      </c>
      <c r="Z1343" t="inlineStr">
        <is>
          <t>1991-07-26</t>
        </is>
      </c>
      <c r="AA1343" t="n">
        <v>236</v>
      </c>
      <c r="AB1343" t="n">
        <v>177</v>
      </c>
      <c r="AC1343" t="n">
        <v>313</v>
      </c>
      <c r="AD1343" t="n">
        <v>1</v>
      </c>
      <c r="AE1343" t="n">
        <v>1</v>
      </c>
      <c r="AF1343" t="n">
        <v>2</v>
      </c>
      <c r="AG1343" t="n">
        <v>8</v>
      </c>
      <c r="AH1343" t="n">
        <v>1</v>
      </c>
      <c r="AI1343" t="n">
        <v>5</v>
      </c>
      <c r="AJ1343" t="n">
        <v>0</v>
      </c>
      <c r="AK1343" t="n">
        <v>2</v>
      </c>
      <c r="AL1343" t="n">
        <v>1</v>
      </c>
      <c r="AM1343" t="n">
        <v>4</v>
      </c>
      <c r="AN1343" t="n">
        <v>0</v>
      </c>
      <c r="AO1343" t="n">
        <v>0</v>
      </c>
      <c r="AP1343" t="n">
        <v>0</v>
      </c>
      <c r="AQ1343" t="n">
        <v>0</v>
      </c>
      <c r="AR1343" t="inlineStr">
        <is>
          <t>No</t>
        </is>
      </c>
      <c r="AS1343" t="inlineStr">
        <is>
          <t>Yes</t>
        </is>
      </c>
      <c r="AT1343">
        <f>HYPERLINK("http://catalog.hathitrust.org/Record/004483614","HathiTrust Record")</f>
        <v/>
      </c>
      <c r="AU1343">
        <f>HYPERLINK("https://creighton-primo.hosted.exlibrisgroup.com/primo-explore/search?tab=default_tab&amp;search_scope=EVERYTHING&amp;vid=01CRU&amp;lang=en_US&amp;offset=0&amp;query=any,contains,991000943549702656","Catalog Record")</f>
        <v/>
      </c>
      <c r="AV1343">
        <f>HYPERLINK("http://www.worldcat.org/oclc/20723605","WorldCat Record")</f>
        <v/>
      </c>
      <c r="AW1343" t="inlineStr">
        <is>
          <t>375446713:eng</t>
        </is>
      </c>
      <c r="AX1343" t="inlineStr">
        <is>
          <t>20723605</t>
        </is>
      </c>
      <c r="AY1343" t="inlineStr">
        <is>
          <t>991000943549702656</t>
        </is>
      </c>
      <c r="AZ1343" t="inlineStr">
        <is>
          <t>991000943549702656</t>
        </is>
      </c>
      <c r="BA1343" t="inlineStr">
        <is>
          <t>2264698810002656</t>
        </is>
      </c>
      <c r="BB1343" t="inlineStr">
        <is>
          <t>BOOK</t>
        </is>
      </c>
      <c r="BD1343" t="inlineStr">
        <is>
          <t>9780801603860</t>
        </is>
      </c>
      <c r="BE1343" t="inlineStr">
        <is>
          <t>30001002193185</t>
        </is>
      </c>
      <c r="BF1343" t="inlineStr">
        <is>
          <t>893134109</t>
        </is>
      </c>
    </row>
    <row r="1344">
      <c r="A1344" t="inlineStr">
        <is>
          <t>No</t>
        </is>
      </c>
      <c r="B1344" t="inlineStr">
        <is>
          <t>CUHSL</t>
        </is>
      </c>
      <c r="C1344" t="inlineStr">
        <is>
          <t>SHELVES</t>
        </is>
      </c>
      <c r="D1344" t="inlineStr">
        <is>
          <t>WY 150 P969 1980</t>
        </is>
      </c>
      <c r="E1344" t="inlineStr">
        <is>
          <t>0                      WY 0150000P  969         1980</t>
        </is>
      </c>
      <c r="F1344" t="inlineStr">
        <is>
          <t>Providing early mobility.</t>
        </is>
      </c>
      <c r="H1344" t="inlineStr">
        <is>
          <t>No</t>
        </is>
      </c>
      <c r="I1344" t="inlineStr">
        <is>
          <t>1</t>
        </is>
      </c>
      <c r="J1344" t="inlineStr">
        <is>
          <t>No</t>
        </is>
      </c>
      <c r="K1344" t="inlineStr">
        <is>
          <t>No</t>
        </is>
      </c>
      <c r="L1344" t="inlineStr">
        <is>
          <t>0</t>
        </is>
      </c>
      <c r="N1344" t="inlineStr">
        <is>
          <t>Horsham, Pa. : Intermed Communications, c1980.</t>
        </is>
      </c>
      <c r="O1344" t="inlineStr">
        <is>
          <t>1980</t>
        </is>
      </c>
      <c r="Q1344" t="inlineStr">
        <is>
          <t>eng</t>
        </is>
      </c>
      <c r="R1344" t="inlineStr">
        <is>
          <t>xxu</t>
        </is>
      </c>
      <c r="S1344" t="inlineStr">
        <is>
          <t>Nursing photobook</t>
        </is>
      </c>
      <c r="T1344" t="inlineStr">
        <is>
          <t xml:space="preserve">WY </t>
        </is>
      </c>
      <c r="U1344" t="n">
        <v>3</v>
      </c>
      <c r="V1344" t="n">
        <v>3</v>
      </c>
      <c r="W1344" t="inlineStr">
        <is>
          <t>1994-01-31</t>
        </is>
      </c>
      <c r="X1344" t="inlineStr">
        <is>
          <t>1994-01-31</t>
        </is>
      </c>
      <c r="Y1344" t="inlineStr">
        <is>
          <t>1987-12-30</t>
        </is>
      </c>
      <c r="Z1344" t="inlineStr">
        <is>
          <t>1987-12-30</t>
        </is>
      </c>
      <c r="AA1344" t="n">
        <v>226</v>
      </c>
      <c r="AB1344" t="n">
        <v>199</v>
      </c>
      <c r="AC1344" t="n">
        <v>250</v>
      </c>
      <c r="AD1344" t="n">
        <v>1</v>
      </c>
      <c r="AE1344" t="n">
        <v>1</v>
      </c>
      <c r="AF1344" t="n">
        <v>3</v>
      </c>
      <c r="AG1344" t="n">
        <v>3</v>
      </c>
      <c r="AH1344" t="n">
        <v>1</v>
      </c>
      <c r="AI1344" t="n">
        <v>1</v>
      </c>
      <c r="AJ1344" t="n">
        <v>0</v>
      </c>
      <c r="AK1344" t="n">
        <v>0</v>
      </c>
      <c r="AL1344" t="n">
        <v>2</v>
      </c>
      <c r="AM1344" t="n">
        <v>2</v>
      </c>
      <c r="AN1344" t="n">
        <v>0</v>
      </c>
      <c r="AO1344" t="n">
        <v>0</v>
      </c>
      <c r="AP1344" t="n">
        <v>0</v>
      </c>
      <c r="AQ1344" t="n">
        <v>0</v>
      </c>
      <c r="AR1344" t="inlineStr">
        <is>
          <t>No</t>
        </is>
      </c>
      <c r="AS1344" t="inlineStr">
        <is>
          <t>Yes</t>
        </is>
      </c>
      <c r="AT1344">
        <f>HYPERLINK("http://catalog.hathitrust.org/Record/000127661","HathiTrust Record")</f>
        <v/>
      </c>
      <c r="AU1344">
        <f>HYPERLINK("https://creighton-primo.hosted.exlibrisgroup.com/primo-explore/search?tab=default_tab&amp;search_scope=EVERYTHING&amp;vid=01CRU&amp;lang=en_US&amp;offset=0&amp;query=any,contains,991001086359702656","Catalog Record")</f>
        <v/>
      </c>
      <c r="AV1344">
        <f>HYPERLINK("http://www.worldcat.org/oclc/6889036","WorldCat Record")</f>
        <v/>
      </c>
      <c r="AW1344" t="inlineStr">
        <is>
          <t>54406625:eng</t>
        </is>
      </c>
      <c r="AX1344" t="inlineStr">
        <is>
          <t>6889036</t>
        </is>
      </c>
      <c r="AY1344" t="inlineStr">
        <is>
          <t>991001086359702656</t>
        </is>
      </c>
      <c r="AZ1344" t="inlineStr">
        <is>
          <t>991001086359702656</t>
        </is>
      </c>
      <c r="BA1344" t="inlineStr">
        <is>
          <t>2269310190002656</t>
        </is>
      </c>
      <c r="BB1344" t="inlineStr">
        <is>
          <t>BOOK</t>
        </is>
      </c>
      <c r="BD1344" t="inlineStr">
        <is>
          <t>9780916730277</t>
        </is>
      </c>
      <c r="BE1344" t="inlineStr">
        <is>
          <t>30001000259558</t>
        </is>
      </c>
      <c r="BF1344" t="inlineStr">
        <is>
          <t>893648872</t>
        </is>
      </c>
    </row>
    <row r="1345">
      <c r="A1345" t="inlineStr">
        <is>
          <t>No</t>
        </is>
      </c>
      <c r="B1345" t="inlineStr">
        <is>
          <t>CUHSL</t>
        </is>
      </c>
      <c r="C1345" t="inlineStr">
        <is>
          <t>SHELVES</t>
        </is>
      </c>
      <c r="D1345" t="inlineStr">
        <is>
          <t>WY150 R345 1996</t>
        </is>
      </c>
      <c r="E1345" t="inlineStr">
        <is>
          <t>0                      WY 0150000R  345         1996</t>
        </is>
      </c>
      <c r="F1345" t="inlineStr">
        <is>
          <t>Rehabilitation nursing : process and application / [edited by] Shirley P. Hoeman.</t>
        </is>
      </c>
      <c r="H1345" t="inlineStr">
        <is>
          <t>No</t>
        </is>
      </c>
      <c r="I1345" t="inlineStr">
        <is>
          <t>1</t>
        </is>
      </c>
      <c r="J1345" t="inlineStr">
        <is>
          <t>No</t>
        </is>
      </c>
      <c r="K1345" t="inlineStr">
        <is>
          <t>Yes</t>
        </is>
      </c>
      <c r="L1345" t="inlineStr">
        <is>
          <t>0</t>
        </is>
      </c>
      <c r="N1345" t="inlineStr">
        <is>
          <t>St. Louis : Mosby, c1996.</t>
        </is>
      </c>
      <c r="O1345" t="inlineStr">
        <is>
          <t>1996</t>
        </is>
      </c>
      <c r="P1345" t="inlineStr">
        <is>
          <t>2nd ed.</t>
        </is>
      </c>
      <c r="Q1345" t="inlineStr">
        <is>
          <t>eng</t>
        </is>
      </c>
      <c r="R1345" t="inlineStr">
        <is>
          <t>mou</t>
        </is>
      </c>
      <c r="T1345" t="inlineStr">
        <is>
          <t xml:space="preserve">WY </t>
        </is>
      </c>
      <c r="U1345" t="n">
        <v>18</v>
      </c>
      <c r="V1345" t="n">
        <v>18</v>
      </c>
      <c r="W1345" t="inlineStr">
        <is>
          <t>2000-04-20</t>
        </is>
      </c>
      <c r="X1345" t="inlineStr">
        <is>
          <t>2000-04-20</t>
        </is>
      </c>
      <c r="Y1345" t="inlineStr">
        <is>
          <t>1996-01-23</t>
        </is>
      </c>
      <c r="Z1345" t="inlineStr">
        <is>
          <t>1996-01-23</t>
        </is>
      </c>
      <c r="AA1345" t="n">
        <v>396</v>
      </c>
      <c r="AB1345" t="n">
        <v>300</v>
      </c>
      <c r="AC1345" t="n">
        <v>475</v>
      </c>
      <c r="AD1345" t="n">
        <v>3</v>
      </c>
      <c r="AE1345" t="n">
        <v>3</v>
      </c>
      <c r="AF1345" t="n">
        <v>10</v>
      </c>
      <c r="AG1345" t="n">
        <v>16</v>
      </c>
      <c r="AH1345" t="n">
        <v>4</v>
      </c>
      <c r="AI1345" t="n">
        <v>8</v>
      </c>
      <c r="AJ1345" t="n">
        <v>2</v>
      </c>
      <c r="AK1345" t="n">
        <v>3</v>
      </c>
      <c r="AL1345" t="n">
        <v>7</v>
      </c>
      <c r="AM1345" t="n">
        <v>9</v>
      </c>
      <c r="AN1345" t="n">
        <v>1</v>
      </c>
      <c r="AO1345" t="n">
        <v>1</v>
      </c>
      <c r="AP1345" t="n">
        <v>0</v>
      </c>
      <c r="AQ1345" t="n">
        <v>0</v>
      </c>
      <c r="AR1345" t="inlineStr">
        <is>
          <t>No</t>
        </is>
      </c>
      <c r="AS1345" t="inlineStr">
        <is>
          <t>Yes</t>
        </is>
      </c>
      <c r="AT1345">
        <f>HYPERLINK("http://catalog.hathitrust.org/Record/003005864","HathiTrust Record")</f>
        <v/>
      </c>
      <c r="AU1345">
        <f>HYPERLINK("https://creighton-primo.hosted.exlibrisgroup.com/primo-explore/search?tab=default_tab&amp;search_scope=EVERYTHING&amp;vid=01CRU&amp;lang=en_US&amp;offset=0&amp;query=any,contains,991001503089702656","Catalog Record")</f>
        <v/>
      </c>
      <c r="AV1345">
        <f>HYPERLINK("http://www.worldcat.org/oclc/31819634","WorldCat Record")</f>
        <v/>
      </c>
      <c r="AW1345" t="inlineStr">
        <is>
          <t>33986898:eng</t>
        </is>
      </c>
      <c r="AX1345" t="inlineStr">
        <is>
          <t>31819634</t>
        </is>
      </c>
      <c r="AY1345" t="inlineStr">
        <is>
          <t>991001503089702656</t>
        </is>
      </c>
      <c r="AZ1345" t="inlineStr">
        <is>
          <t>991001503089702656</t>
        </is>
      </c>
      <c r="BA1345" t="inlineStr">
        <is>
          <t>2259804410002656</t>
        </is>
      </c>
      <c r="BB1345" t="inlineStr">
        <is>
          <t>BOOK</t>
        </is>
      </c>
      <c r="BD1345" t="inlineStr">
        <is>
          <t>9780801677663</t>
        </is>
      </c>
      <c r="BE1345" t="inlineStr">
        <is>
          <t>30001003263177</t>
        </is>
      </c>
      <c r="BF1345" t="inlineStr">
        <is>
          <t>893460654</t>
        </is>
      </c>
    </row>
    <row r="1346">
      <c r="A1346" t="inlineStr">
        <is>
          <t>No</t>
        </is>
      </c>
      <c r="B1346" t="inlineStr">
        <is>
          <t>CUHSL</t>
        </is>
      </c>
      <c r="C1346" t="inlineStr">
        <is>
          <t>SHELVES</t>
        </is>
      </c>
      <c r="D1346" t="inlineStr">
        <is>
          <t>WY 150 R345 2002</t>
        </is>
      </c>
      <c r="E1346" t="inlineStr">
        <is>
          <t>0                      WY 0150000R  345         2002</t>
        </is>
      </c>
      <c r="F1346" t="inlineStr">
        <is>
          <t>Rehabilitation nursing : process, application, &amp; outcomes / [edited by] Shirley P. Hoeman.</t>
        </is>
      </c>
      <c r="H1346" t="inlineStr">
        <is>
          <t>No</t>
        </is>
      </c>
      <c r="I1346" t="inlineStr">
        <is>
          <t>1</t>
        </is>
      </c>
      <c r="J1346" t="inlineStr">
        <is>
          <t>No</t>
        </is>
      </c>
      <c r="K1346" t="inlineStr">
        <is>
          <t>Yes</t>
        </is>
      </c>
      <c r="L1346" t="inlineStr">
        <is>
          <t>0</t>
        </is>
      </c>
      <c r="N1346" t="inlineStr">
        <is>
          <t>St. Louis : Mosby, c2002.</t>
        </is>
      </c>
      <c r="O1346" t="inlineStr">
        <is>
          <t>2002</t>
        </is>
      </c>
      <c r="P1346" t="inlineStr">
        <is>
          <t>3rd ed.</t>
        </is>
      </c>
      <c r="Q1346" t="inlineStr">
        <is>
          <t>eng</t>
        </is>
      </c>
      <c r="R1346" t="inlineStr">
        <is>
          <t>mou</t>
        </is>
      </c>
      <c r="T1346" t="inlineStr">
        <is>
          <t xml:space="preserve">WY </t>
        </is>
      </c>
      <c r="U1346" t="n">
        <v>0</v>
      </c>
      <c r="V1346" t="n">
        <v>0</v>
      </c>
      <c r="W1346" t="inlineStr">
        <is>
          <t>2006-01-17</t>
        </is>
      </c>
      <c r="X1346" t="inlineStr">
        <is>
          <t>2006-01-17</t>
        </is>
      </c>
      <c r="Y1346" t="inlineStr">
        <is>
          <t>2005-12-15</t>
        </is>
      </c>
      <c r="Z1346" t="inlineStr">
        <is>
          <t>2005-12-15</t>
        </is>
      </c>
      <c r="AA1346" t="n">
        <v>373</v>
      </c>
      <c r="AB1346" t="n">
        <v>259</v>
      </c>
      <c r="AC1346" t="n">
        <v>475</v>
      </c>
      <c r="AD1346" t="n">
        <v>1</v>
      </c>
      <c r="AE1346" t="n">
        <v>3</v>
      </c>
      <c r="AF1346" t="n">
        <v>9</v>
      </c>
      <c r="AG1346" t="n">
        <v>16</v>
      </c>
      <c r="AH1346" t="n">
        <v>5</v>
      </c>
      <c r="AI1346" t="n">
        <v>8</v>
      </c>
      <c r="AJ1346" t="n">
        <v>1</v>
      </c>
      <c r="AK1346" t="n">
        <v>3</v>
      </c>
      <c r="AL1346" t="n">
        <v>4</v>
      </c>
      <c r="AM1346" t="n">
        <v>9</v>
      </c>
      <c r="AN1346" t="n">
        <v>0</v>
      </c>
      <c r="AO1346" t="n">
        <v>1</v>
      </c>
      <c r="AP1346" t="n">
        <v>0</v>
      </c>
      <c r="AQ1346" t="n">
        <v>0</v>
      </c>
      <c r="AR1346" t="inlineStr">
        <is>
          <t>No</t>
        </is>
      </c>
      <c r="AS1346" t="inlineStr">
        <is>
          <t>Yes</t>
        </is>
      </c>
      <c r="AT1346">
        <f>HYPERLINK("http://catalog.hathitrust.org/Record/004210299","HathiTrust Record")</f>
        <v/>
      </c>
      <c r="AU1346">
        <f>HYPERLINK("https://creighton-primo.hosted.exlibrisgroup.com/primo-explore/search?tab=default_tab&amp;search_scope=EVERYTHING&amp;vid=01CRU&amp;lang=en_US&amp;offset=0&amp;query=any,contains,991000423489702656","Catalog Record")</f>
        <v/>
      </c>
      <c r="AV1346">
        <f>HYPERLINK("http://www.worldcat.org/oclc/47290036","WorldCat Record")</f>
        <v/>
      </c>
      <c r="AW1346" t="inlineStr">
        <is>
          <t>33986898:eng</t>
        </is>
      </c>
      <c r="AX1346" t="inlineStr">
        <is>
          <t>47290036</t>
        </is>
      </c>
      <c r="AY1346" t="inlineStr">
        <is>
          <t>991000423489702656</t>
        </is>
      </c>
      <c r="AZ1346" t="inlineStr">
        <is>
          <t>991000423489702656</t>
        </is>
      </c>
      <c r="BA1346" t="inlineStr">
        <is>
          <t>2264614980002656</t>
        </is>
      </c>
      <c r="BB1346" t="inlineStr">
        <is>
          <t>BOOK</t>
        </is>
      </c>
      <c r="BD1346" t="inlineStr">
        <is>
          <t>9780323011907</t>
        </is>
      </c>
      <c r="BE1346" t="inlineStr">
        <is>
          <t>30001004912509</t>
        </is>
      </c>
      <c r="BF1346" t="inlineStr">
        <is>
          <t>893452095</t>
        </is>
      </c>
    </row>
    <row r="1347">
      <c r="A1347" t="inlineStr">
        <is>
          <t>No</t>
        </is>
      </c>
      <c r="B1347" t="inlineStr">
        <is>
          <t>CUHSL</t>
        </is>
      </c>
      <c r="C1347" t="inlineStr">
        <is>
          <t>SHELVES</t>
        </is>
      </c>
      <c r="D1347" t="inlineStr">
        <is>
          <t>WY 150 S283m 1995</t>
        </is>
      </c>
      <c r="E1347" t="inlineStr">
        <is>
          <t>0                      WY 0150000S  283m        1995</t>
        </is>
      </c>
      <c r="F1347" t="inlineStr">
        <is>
          <t>Managing genetic information : implications for nursing practice / Colleen Scanlon and Wendy Fibison.</t>
        </is>
      </c>
      <c r="H1347" t="inlineStr">
        <is>
          <t>No</t>
        </is>
      </c>
      <c r="I1347" t="inlineStr">
        <is>
          <t>1</t>
        </is>
      </c>
      <c r="J1347" t="inlineStr">
        <is>
          <t>No</t>
        </is>
      </c>
      <c r="K1347" t="inlineStr">
        <is>
          <t>No</t>
        </is>
      </c>
      <c r="L1347" t="inlineStr">
        <is>
          <t>0</t>
        </is>
      </c>
      <c r="M1347" t="inlineStr">
        <is>
          <t>Scanlon, Colleen.</t>
        </is>
      </c>
      <c r="N1347" t="inlineStr">
        <is>
          <t>Washington, DC : American Nurses Publishing, c1995.</t>
        </is>
      </c>
      <c r="O1347" t="inlineStr">
        <is>
          <t>1995</t>
        </is>
      </c>
      <c r="Q1347" t="inlineStr">
        <is>
          <t>eng</t>
        </is>
      </c>
      <c r="R1347" t="inlineStr">
        <is>
          <t>dcu</t>
        </is>
      </c>
      <c r="S1347" t="inlineStr">
        <is>
          <t>ANA pub ; no. NP-102</t>
        </is>
      </c>
      <c r="T1347" t="inlineStr">
        <is>
          <t xml:space="preserve">WY </t>
        </is>
      </c>
      <c r="U1347" t="n">
        <v>0</v>
      </c>
      <c r="V1347" t="n">
        <v>0</v>
      </c>
      <c r="W1347" t="inlineStr">
        <is>
          <t>2007-04-16</t>
        </is>
      </c>
      <c r="X1347" t="inlineStr">
        <is>
          <t>2007-04-16</t>
        </is>
      </c>
      <c r="Y1347" t="inlineStr">
        <is>
          <t>2000-06-15</t>
        </is>
      </c>
      <c r="Z1347" t="inlineStr">
        <is>
          <t>2000-06-15</t>
        </is>
      </c>
      <c r="AA1347" t="n">
        <v>158</v>
      </c>
      <c r="AB1347" t="n">
        <v>151</v>
      </c>
      <c r="AC1347" t="n">
        <v>164</v>
      </c>
      <c r="AD1347" t="n">
        <v>1</v>
      </c>
      <c r="AE1347" t="n">
        <v>1</v>
      </c>
      <c r="AF1347" t="n">
        <v>10</v>
      </c>
      <c r="AG1347" t="n">
        <v>11</v>
      </c>
      <c r="AH1347" t="n">
        <v>3</v>
      </c>
      <c r="AI1347" t="n">
        <v>4</v>
      </c>
      <c r="AJ1347" t="n">
        <v>2</v>
      </c>
      <c r="AK1347" t="n">
        <v>2</v>
      </c>
      <c r="AL1347" t="n">
        <v>5</v>
      </c>
      <c r="AM1347" t="n">
        <v>6</v>
      </c>
      <c r="AN1347" t="n">
        <v>0</v>
      </c>
      <c r="AO1347" t="n">
        <v>0</v>
      </c>
      <c r="AP1347" t="n">
        <v>0</v>
      </c>
      <c r="AQ1347" t="n">
        <v>0</v>
      </c>
      <c r="AR1347" t="inlineStr">
        <is>
          <t>No</t>
        </is>
      </c>
      <c r="AS1347" t="inlineStr">
        <is>
          <t>Yes</t>
        </is>
      </c>
      <c r="AT1347">
        <f>HYPERLINK("http://catalog.hathitrust.org/Record/002965301","HathiTrust Record")</f>
        <v/>
      </c>
      <c r="AU1347">
        <f>HYPERLINK("https://creighton-primo.hosted.exlibrisgroup.com/primo-explore/search?tab=default_tab&amp;search_scope=EVERYTHING&amp;vid=01CRU&amp;lang=en_US&amp;offset=0&amp;query=any,contains,991000253639702656","Catalog Record")</f>
        <v/>
      </c>
      <c r="AV1347">
        <f>HYPERLINK("http://www.worldcat.org/oclc/32188889","WorldCat Record")</f>
        <v/>
      </c>
      <c r="AW1347" t="inlineStr">
        <is>
          <t>930450180:eng</t>
        </is>
      </c>
      <c r="AX1347" t="inlineStr">
        <is>
          <t>32188889</t>
        </is>
      </c>
      <c r="AY1347" t="inlineStr">
        <is>
          <t>991000253639702656</t>
        </is>
      </c>
      <c r="AZ1347" t="inlineStr">
        <is>
          <t>991000253639702656</t>
        </is>
      </c>
      <c r="BA1347" t="inlineStr">
        <is>
          <t>2267122320002656</t>
        </is>
      </c>
      <c r="BB1347" t="inlineStr">
        <is>
          <t>BOOK</t>
        </is>
      </c>
      <c r="BD1347" t="inlineStr">
        <is>
          <t>9781558101111</t>
        </is>
      </c>
      <c r="BE1347" t="inlineStr">
        <is>
          <t>30001003205301</t>
        </is>
      </c>
      <c r="BF1347" t="inlineStr">
        <is>
          <t>893542067</t>
        </is>
      </c>
    </row>
    <row r="1348">
      <c r="A1348" t="inlineStr">
        <is>
          <t>No</t>
        </is>
      </c>
      <c r="B1348" t="inlineStr">
        <is>
          <t>CUHSL</t>
        </is>
      </c>
      <c r="C1348" t="inlineStr">
        <is>
          <t>SHELVES</t>
        </is>
      </c>
      <c r="D1348" t="inlineStr">
        <is>
          <t>WY 150 S846f 2004</t>
        </is>
      </c>
      <c r="E1348" t="inlineStr">
        <is>
          <t>0                      WY 0150000S  846f        2004</t>
        </is>
      </c>
      <c r="F1348" t="inlineStr">
        <is>
          <t>Forensic nurse : the new role of the nurse in law enforcement / Serita Stevens with the assistance of members of the International Association of Forensic Nurses.</t>
        </is>
      </c>
      <c r="H1348" t="inlineStr">
        <is>
          <t>No</t>
        </is>
      </c>
      <c r="I1348" t="inlineStr">
        <is>
          <t>1</t>
        </is>
      </c>
      <c r="J1348" t="inlineStr">
        <is>
          <t>No</t>
        </is>
      </c>
      <c r="K1348" t="inlineStr">
        <is>
          <t>No</t>
        </is>
      </c>
      <c r="L1348" t="inlineStr">
        <is>
          <t>0</t>
        </is>
      </c>
      <c r="M1348" t="inlineStr">
        <is>
          <t>Stevens, Serita, 1949-</t>
        </is>
      </c>
      <c r="N1348" t="inlineStr">
        <is>
          <t>New York : Thomas Dunne Books, 2004.</t>
        </is>
      </c>
      <c r="O1348" t="inlineStr">
        <is>
          <t>2004</t>
        </is>
      </c>
      <c r="Q1348" t="inlineStr">
        <is>
          <t>eng</t>
        </is>
      </c>
      <c r="R1348" t="inlineStr">
        <is>
          <t>nyu</t>
        </is>
      </c>
      <c r="T1348" t="inlineStr">
        <is>
          <t xml:space="preserve">WY </t>
        </is>
      </c>
      <c r="U1348" t="n">
        <v>0</v>
      </c>
      <c r="V1348" t="n">
        <v>0</v>
      </c>
      <c r="W1348" t="inlineStr">
        <is>
          <t>2005-07-17</t>
        </is>
      </c>
      <c r="X1348" t="inlineStr">
        <is>
          <t>2005-07-17</t>
        </is>
      </c>
      <c r="Y1348" t="inlineStr">
        <is>
          <t>2005-07-14</t>
        </is>
      </c>
      <c r="Z1348" t="inlineStr">
        <is>
          <t>2005-07-14</t>
        </is>
      </c>
      <c r="AA1348" t="n">
        <v>638</v>
      </c>
      <c r="AB1348" t="n">
        <v>591</v>
      </c>
      <c r="AC1348" t="n">
        <v>630</v>
      </c>
      <c r="AD1348" t="n">
        <v>4</v>
      </c>
      <c r="AE1348" t="n">
        <v>5</v>
      </c>
      <c r="AF1348" t="n">
        <v>11</v>
      </c>
      <c r="AG1348" t="n">
        <v>12</v>
      </c>
      <c r="AH1348" t="n">
        <v>3</v>
      </c>
      <c r="AI1348" t="n">
        <v>3</v>
      </c>
      <c r="AJ1348" t="n">
        <v>5</v>
      </c>
      <c r="AK1348" t="n">
        <v>5</v>
      </c>
      <c r="AL1348" t="n">
        <v>4</v>
      </c>
      <c r="AM1348" t="n">
        <v>4</v>
      </c>
      <c r="AN1348" t="n">
        <v>1</v>
      </c>
      <c r="AO1348" t="n">
        <v>2</v>
      </c>
      <c r="AP1348" t="n">
        <v>0</v>
      </c>
      <c r="AQ1348" t="n">
        <v>0</v>
      </c>
      <c r="AR1348" t="inlineStr">
        <is>
          <t>No</t>
        </is>
      </c>
      <c r="AS1348" t="inlineStr">
        <is>
          <t>No</t>
        </is>
      </c>
      <c r="AU1348">
        <f>HYPERLINK("https://creighton-primo.hosted.exlibrisgroup.com/primo-explore/search?tab=default_tab&amp;search_scope=EVERYTHING&amp;vid=01CRU&amp;lang=en_US&amp;offset=0&amp;query=any,contains,991000440979702656","Catalog Record")</f>
        <v/>
      </c>
      <c r="AV1348">
        <f>HYPERLINK("http://www.worldcat.org/oclc/54500857","WorldCat Record")</f>
        <v/>
      </c>
      <c r="AW1348" t="inlineStr">
        <is>
          <t>364857565:eng</t>
        </is>
      </c>
      <c r="AX1348" t="inlineStr">
        <is>
          <t>54500857</t>
        </is>
      </c>
      <c r="AY1348" t="inlineStr">
        <is>
          <t>991000440979702656</t>
        </is>
      </c>
      <c r="AZ1348" t="inlineStr">
        <is>
          <t>991000440979702656</t>
        </is>
      </c>
      <c r="BA1348" t="inlineStr">
        <is>
          <t>2266414990002656</t>
        </is>
      </c>
      <c r="BB1348" t="inlineStr">
        <is>
          <t>BOOK</t>
        </is>
      </c>
      <c r="BD1348" t="inlineStr">
        <is>
          <t>9780312251994</t>
        </is>
      </c>
      <c r="BE1348" t="inlineStr">
        <is>
          <t>30001005000452</t>
        </is>
      </c>
      <c r="BF1348" t="inlineStr">
        <is>
          <t>893109659</t>
        </is>
      </c>
    </row>
    <row r="1349">
      <c r="A1349" t="inlineStr">
        <is>
          <t>No</t>
        </is>
      </c>
      <c r="B1349" t="inlineStr">
        <is>
          <t>CUHSL</t>
        </is>
      </c>
      <c r="C1349" t="inlineStr">
        <is>
          <t>SHELVES</t>
        </is>
      </c>
      <c r="D1349" t="inlineStr">
        <is>
          <t>WY 150 T473c 1982</t>
        </is>
      </c>
      <c r="E1349" t="inlineStr">
        <is>
          <t>0                      WY 0150000T  473c        1982</t>
        </is>
      </c>
      <c r="F1349" t="inlineStr">
        <is>
          <t>Comprehensive triage : a manual for developing and implementing a nursing care system / June Thompson, Joyce Dains.</t>
        </is>
      </c>
      <c r="H1349" t="inlineStr">
        <is>
          <t>No</t>
        </is>
      </c>
      <c r="I1349" t="inlineStr">
        <is>
          <t>1</t>
        </is>
      </c>
      <c r="J1349" t="inlineStr">
        <is>
          <t>No</t>
        </is>
      </c>
      <c r="K1349" t="inlineStr">
        <is>
          <t>No</t>
        </is>
      </c>
      <c r="L1349" t="inlineStr">
        <is>
          <t>0</t>
        </is>
      </c>
      <c r="M1349" t="inlineStr">
        <is>
          <t>Thompson, June D.</t>
        </is>
      </c>
      <c r="N1349" t="inlineStr">
        <is>
          <t>Reston, Va. : Reston Pub. Co., c1982.</t>
        </is>
      </c>
      <c r="O1349" t="inlineStr">
        <is>
          <t>1982</t>
        </is>
      </c>
      <c r="Q1349" t="inlineStr">
        <is>
          <t>eng</t>
        </is>
      </c>
      <c r="R1349" t="inlineStr">
        <is>
          <t>xxu</t>
        </is>
      </c>
      <c r="T1349" t="inlineStr">
        <is>
          <t xml:space="preserve">WY </t>
        </is>
      </c>
      <c r="U1349" t="n">
        <v>6</v>
      </c>
      <c r="V1349" t="n">
        <v>6</v>
      </c>
      <c r="W1349" t="inlineStr">
        <is>
          <t>1989-04-21</t>
        </is>
      </c>
      <c r="X1349" t="inlineStr">
        <is>
          <t>1989-04-21</t>
        </is>
      </c>
      <c r="Y1349" t="inlineStr">
        <is>
          <t>1988-04-25</t>
        </is>
      </c>
      <c r="Z1349" t="inlineStr">
        <is>
          <t>1988-04-25</t>
        </is>
      </c>
      <c r="AA1349" t="n">
        <v>94</v>
      </c>
      <c r="AB1349" t="n">
        <v>83</v>
      </c>
      <c r="AC1349" t="n">
        <v>85</v>
      </c>
      <c r="AD1349" t="n">
        <v>1</v>
      </c>
      <c r="AE1349" t="n">
        <v>1</v>
      </c>
      <c r="AF1349" t="n">
        <v>1</v>
      </c>
      <c r="AG1349" t="n">
        <v>1</v>
      </c>
      <c r="AH1349" t="n">
        <v>0</v>
      </c>
      <c r="AI1349" t="n">
        <v>0</v>
      </c>
      <c r="AJ1349" t="n">
        <v>0</v>
      </c>
      <c r="AK1349" t="n">
        <v>0</v>
      </c>
      <c r="AL1349" t="n">
        <v>1</v>
      </c>
      <c r="AM1349" t="n">
        <v>1</v>
      </c>
      <c r="AN1349" t="n">
        <v>0</v>
      </c>
      <c r="AO1349" t="n">
        <v>0</v>
      </c>
      <c r="AP1349" t="n">
        <v>0</v>
      </c>
      <c r="AQ1349" t="n">
        <v>0</v>
      </c>
      <c r="AR1349" t="inlineStr">
        <is>
          <t>No</t>
        </is>
      </c>
      <c r="AS1349" t="inlineStr">
        <is>
          <t>Yes</t>
        </is>
      </c>
      <c r="AT1349">
        <f>HYPERLINK("http://catalog.hathitrust.org/Record/000279680","HathiTrust Record")</f>
        <v/>
      </c>
      <c r="AU1349">
        <f>HYPERLINK("https://creighton-primo.hosted.exlibrisgroup.com/primo-explore/search?tab=default_tab&amp;search_scope=EVERYTHING&amp;vid=01CRU&amp;lang=en_US&amp;offset=0&amp;query=any,contains,991000735139702656","Catalog Record")</f>
        <v/>
      </c>
      <c r="AV1349">
        <f>HYPERLINK("http://www.worldcat.org/oclc/7875415","WorldCat Record")</f>
        <v/>
      </c>
      <c r="AW1349" t="inlineStr">
        <is>
          <t>427615167:eng</t>
        </is>
      </c>
      <c r="AX1349" t="inlineStr">
        <is>
          <t>7875415</t>
        </is>
      </c>
      <c r="AY1349" t="inlineStr">
        <is>
          <t>991000735139702656</t>
        </is>
      </c>
      <c r="AZ1349" t="inlineStr">
        <is>
          <t>991000735139702656</t>
        </is>
      </c>
      <c r="BA1349" t="inlineStr">
        <is>
          <t>2266183780002656</t>
        </is>
      </c>
      <c r="BB1349" t="inlineStr">
        <is>
          <t>BOOK</t>
        </is>
      </c>
      <c r="BD1349" t="inlineStr">
        <is>
          <t>9780835909044</t>
        </is>
      </c>
      <c r="BE1349" t="inlineStr">
        <is>
          <t>30001000041188</t>
        </is>
      </c>
      <c r="BF1349" t="inlineStr">
        <is>
          <t>893545725</t>
        </is>
      </c>
    </row>
    <row r="1350">
      <c r="A1350" t="inlineStr">
        <is>
          <t>No</t>
        </is>
      </c>
      <c r="B1350" t="inlineStr">
        <is>
          <t>CUHSL</t>
        </is>
      </c>
      <c r="C1350" t="inlineStr">
        <is>
          <t>SHELVES</t>
        </is>
      </c>
      <c r="D1350" t="inlineStr">
        <is>
          <t>WY150 T583i 2003</t>
        </is>
      </c>
      <c r="E1350" t="inlineStr">
        <is>
          <t>0                      WY 0150000T  583i        2003</t>
        </is>
      </c>
      <c r="F1350" t="inlineStr">
        <is>
          <t>Introductory medical-surgical nursing / Barbara K. Timby, Nancy E. Smith [editors].</t>
        </is>
      </c>
      <c r="H1350" t="inlineStr">
        <is>
          <t>No</t>
        </is>
      </c>
      <c r="I1350" t="inlineStr">
        <is>
          <t>1</t>
        </is>
      </c>
      <c r="J1350" t="inlineStr">
        <is>
          <t>No</t>
        </is>
      </c>
      <c r="K1350" t="inlineStr">
        <is>
          <t>Yes</t>
        </is>
      </c>
      <c r="L1350" t="inlineStr">
        <is>
          <t>0</t>
        </is>
      </c>
      <c r="N1350" t="inlineStr">
        <is>
          <t>Philadelphia : Lippincott William &amp; Wilkins, c2003.</t>
        </is>
      </c>
      <c r="O1350" t="inlineStr">
        <is>
          <t>2003</t>
        </is>
      </c>
      <c r="P1350" t="inlineStr">
        <is>
          <t>8th ed.</t>
        </is>
      </c>
      <c r="Q1350" t="inlineStr">
        <is>
          <t>eng</t>
        </is>
      </c>
      <c r="R1350" t="inlineStr">
        <is>
          <t>pau</t>
        </is>
      </c>
      <c r="T1350" t="inlineStr">
        <is>
          <t xml:space="preserve">WY </t>
        </is>
      </c>
      <c r="U1350" t="n">
        <v>1</v>
      </c>
      <c r="V1350" t="n">
        <v>1</v>
      </c>
      <c r="W1350" t="inlineStr">
        <is>
          <t>2003-06-09</t>
        </is>
      </c>
      <c r="X1350" t="inlineStr">
        <is>
          <t>2003-06-09</t>
        </is>
      </c>
      <c r="Y1350" t="inlineStr">
        <is>
          <t>2003-06-06</t>
        </is>
      </c>
      <c r="Z1350" t="inlineStr">
        <is>
          <t>2003-06-06</t>
        </is>
      </c>
      <c r="AA1350" t="n">
        <v>183</v>
      </c>
      <c r="AB1350" t="n">
        <v>133</v>
      </c>
      <c r="AC1350" t="n">
        <v>729</v>
      </c>
      <c r="AD1350" t="n">
        <v>1</v>
      </c>
      <c r="AE1350" t="n">
        <v>4</v>
      </c>
      <c r="AF1350" t="n">
        <v>3</v>
      </c>
      <c r="AG1350" t="n">
        <v>14</v>
      </c>
      <c r="AH1350" t="n">
        <v>1</v>
      </c>
      <c r="AI1350" t="n">
        <v>3</v>
      </c>
      <c r="AJ1350" t="n">
        <v>0</v>
      </c>
      <c r="AK1350" t="n">
        <v>4</v>
      </c>
      <c r="AL1350" t="n">
        <v>2</v>
      </c>
      <c r="AM1350" t="n">
        <v>8</v>
      </c>
      <c r="AN1350" t="n">
        <v>0</v>
      </c>
      <c r="AO1350" t="n">
        <v>2</v>
      </c>
      <c r="AP1350" t="n">
        <v>0</v>
      </c>
      <c r="AQ1350" t="n">
        <v>0</v>
      </c>
      <c r="AR1350" t="inlineStr">
        <is>
          <t>No</t>
        </is>
      </c>
      <c r="AS1350" t="inlineStr">
        <is>
          <t>Yes</t>
        </is>
      </c>
      <c r="AT1350">
        <f>HYPERLINK("http://catalog.hathitrust.org/Record/003800438","HathiTrust Record")</f>
        <v/>
      </c>
      <c r="AU1350">
        <f>HYPERLINK("https://creighton-primo.hosted.exlibrisgroup.com/primo-explore/search?tab=default_tab&amp;search_scope=EVERYTHING&amp;vid=01CRU&amp;lang=en_US&amp;offset=0&amp;query=any,contains,991000349399702656","Catalog Record")</f>
        <v/>
      </c>
      <c r="AV1350">
        <f>HYPERLINK("http://www.worldcat.org/oclc/49712784","WorldCat Record")</f>
        <v/>
      </c>
      <c r="AW1350" t="inlineStr">
        <is>
          <t>4917228973:eng</t>
        </is>
      </c>
      <c r="AX1350" t="inlineStr">
        <is>
          <t>49712784</t>
        </is>
      </c>
      <c r="AY1350" t="inlineStr">
        <is>
          <t>991000349399702656</t>
        </is>
      </c>
      <c r="AZ1350" t="inlineStr">
        <is>
          <t>991000349399702656</t>
        </is>
      </c>
      <c r="BA1350" t="inlineStr">
        <is>
          <t>2267951350002656</t>
        </is>
      </c>
      <c r="BB1350" t="inlineStr">
        <is>
          <t>BOOK</t>
        </is>
      </c>
      <c r="BD1350" t="inlineStr">
        <is>
          <t>9780781735537</t>
        </is>
      </c>
      <c r="BE1350" t="inlineStr">
        <is>
          <t>30001004501385</t>
        </is>
      </c>
      <c r="BF1350" t="inlineStr">
        <is>
          <t>893633816</t>
        </is>
      </c>
    </row>
    <row r="1351">
      <c r="A1351" t="inlineStr">
        <is>
          <t>No</t>
        </is>
      </c>
      <c r="B1351" t="inlineStr">
        <is>
          <t>CUHSL</t>
        </is>
      </c>
      <c r="C1351" t="inlineStr">
        <is>
          <t>SHELVES</t>
        </is>
      </c>
      <c r="D1351" t="inlineStr">
        <is>
          <t>WY150 T583i 2006</t>
        </is>
      </c>
      <c r="E1351" t="inlineStr">
        <is>
          <t>0                      WY 0150000T  583i        2006</t>
        </is>
      </c>
      <c r="F1351" t="inlineStr">
        <is>
          <t>Introductory medical-surgical nursing / Barbara K. Timby, Nancy E. Smith.</t>
        </is>
      </c>
      <c r="H1351" t="inlineStr">
        <is>
          <t>No</t>
        </is>
      </c>
      <c r="I1351" t="inlineStr">
        <is>
          <t>1</t>
        </is>
      </c>
      <c r="J1351" t="inlineStr">
        <is>
          <t>No</t>
        </is>
      </c>
      <c r="K1351" t="inlineStr">
        <is>
          <t>Yes</t>
        </is>
      </c>
      <c r="L1351" t="inlineStr">
        <is>
          <t>0</t>
        </is>
      </c>
      <c r="M1351" t="inlineStr">
        <is>
          <t>Timby, Barbara Kuhn.</t>
        </is>
      </c>
      <c r="N1351" t="inlineStr">
        <is>
          <t>Philadelphia : Lippincott Williams &amp; Wilkins, c2007.</t>
        </is>
      </c>
      <c r="O1351" t="inlineStr">
        <is>
          <t>2007</t>
        </is>
      </c>
      <c r="P1351" t="inlineStr">
        <is>
          <t>9th ed.</t>
        </is>
      </c>
      <c r="Q1351" t="inlineStr">
        <is>
          <t>eng</t>
        </is>
      </c>
      <c r="R1351" t="inlineStr">
        <is>
          <t>pau</t>
        </is>
      </c>
      <c r="T1351" t="inlineStr">
        <is>
          <t xml:space="preserve">WY </t>
        </is>
      </c>
      <c r="U1351" t="n">
        <v>6</v>
      </c>
      <c r="V1351" t="n">
        <v>6</v>
      </c>
      <c r="W1351" t="inlineStr">
        <is>
          <t>2008-11-03</t>
        </is>
      </c>
      <c r="X1351" t="inlineStr">
        <is>
          <t>2008-11-03</t>
        </is>
      </c>
      <c r="Y1351" t="inlineStr">
        <is>
          <t>2006-03-30</t>
        </is>
      </c>
      <c r="Z1351" t="inlineStr">
        <is>
          <t>2006-03-30</t>
        </is>
      </c>
      <c r="AA1351" t="n">
        <v>211</v>
      </c>
      <c r="AB1351" t="n">
        <v>160</v>
      </c>
      <c r="AC1351" t="n">
        <v>729</v>
      </c>
      <c r="AD1351" t="n">
        <v>1</v>
      </c>
      <c r="AE1351" t="n">
        <v>4</v>
      </c>
      <c r="AF1351" t="n">
        <v>2</v>
      </c>
      <c r="AG1351" t="n">
        <v>14</v>
      </c>
      <c r="AH1351" t="n">
        <v>0</v>
      </c>
      <c r="AI1351" t="n">
        <v>3</v>
      </c>
      <c r="AJ1351" t="n">
        <v>1</v>
      </c>
      <c r="AK1351" t="n">
        <v>4</v>
      </c>
      <c r="AL1351" t="n">
        <v>2</v>
      </c>
      <c r="AM1351" t="n">
        <v>8</v>
      </c>
      <c r="AN1351" t="n">
        <v>0</v>
      </c>
      <c r="AO1351" t="n">
        <v>2</v>
      </c>
      <c r="AP1351" t="n">
        <v>0</v>
      </c>
      <c r="AQ1351" t="n">
        <v>0</v>
      </c>
      <c r="AR1351" t="inlineStr">
        <is>
          <t>No</t>
        </is>
      </c>
      <c r="AS1351" t="inlineStr">
        <is>
          <t>No</t>
        </is>
      </c>
      <c r="AU1351">
        <f>HYPERLINK("https://creighton-primo.hosted.exlibrisgroup.com/primo-explore/search?tab=default_tab&amp;search_scope=EVERYTHING&amp;vid=01CRU&amp;lang=en_US&amp;offset=0&amp;query=any,contains,991001738229702656","Catalog Record")</f>
        <v/>
      </c>
      <c r="AV1351">
        <f>HYPERLINK("http://www.worldcat.org/oclc/61351658","WorldCat Record")</f>
        <v/>
      </c>
      <c r="AW1351" t="inlineStr">
        <is>
          <t>4917228973:eng</t>
        </is>
      </c>
      <c r="AX1351" t="inlineStr">
        <is>
          <t>61351658</t>
        </is>
      </c>
      <c r="AY1351" t="inlineStr">
        <is>
          <t>991001738229702656</t>
        </is>
      </c>
      <c r="AZ1351" t="inlineStr">
        <is>
          <t>991001738229702656</t>
        </is>
      </c>
      <c r="BA1351" t="inlineStr">
        <is>
          <t>2258847290002656</t>
        </is>
      </c>
      <c r="BB1351" t="inlineStr">
        <is>
          <t>BOOK</t>
        </is>
      </c>
      <c r="BD1351" t="inlineStr">
        <is>
          <t>9780781780322</t>
        </is>
      </c>
      <c r="BE1351" t="inlineStr">
        <is>
          <t>30001005127057</t>
        </is>
      </c>
      <c r="BF1351" t="inlineStr">
        <is>
          <t>893274432</t>
        </is>
      </c>
    </row>
    <row r="1352">
      <c r="A1352" t="inlineStr">
        <is>
          <t>No</t>
        </is>
      </c>
      <c r="B1352" t="inlineStr">
        <is>
          <t>CUHSL</t>
        </is>
      </c>
      <c r="C1352" t="inlineStr">
        <is>
          <t>SHELVES</t>
        </is>
      </c>
      <c r="D1352" t="inlineStr">
        <is>
          <t>WY 150 U85 1980</t>
        </is>
      </c>
      <c r="E1352" t="inlineStr">
        <is>
          <t>0                      WY 0150000U  85          1980</t>
        </is>
      </c>
      <c r="F1352" t="inlineStr">
        <is>
          <t>Using monitors.</t>
        </is>
      </c>
      <c r="H1352" t="inlineStr">
        <is>
          <t>No</t>
        </is>
      </c>
      <c r="I1352" t="inlineStr">
        <is>
          <t>1</t>
        </is>
      </c>
      <c r="J1352" t="inlineStr">
        <is>
          <t>No</t>
        </is>
      </c>
      <c r="K1352" t="inlineStr">
        <is>
          <t>No</t>
        </is>
      </c>
      <c r="L1352" t="inlineStr">
        <is>
          <t>0</t>
        </is>
      </c>
      <c r="N1352" t="inlineStr">
        <is>
          <t>Horsham, Pa. : Intermed Communications, c1980.</t>
        </is>
      </c>
      <c r="O1352" t="inlineStr">
        <is>
          <t>1980</t>
        </is>
      </c>
      <c r="Q1352" t="inlineStr">
        <is>
          <t>eng</t>
        </is>
      </c>
      <c r="R1352" t="inlineStr">
        <is>
          <t>xxu</t>
        </is>
      </c>
      <c r="S1352" t="inlineStr">
        <is>
          <t>Nursing photobook</t>
        </is>
      </c>
      <c r="T1352" t="inlineStr">
        <is>
          <t xml:space="preserve">WY </t>
        </is>
      </c>
      <c r="U1352" t="n">
        <v>4</v>
      </c>
      <c r="V1352" t="n">
        <v>4</v>
      </c>
      <c r="W1352" t="inlineStr">
        <is>
          <t>1989-03-27</t>
        </is>
      </c>
      <c r="X1352" t="inlineStr">
        <is>
          <t>1989-03-27</t>
        </is>
      </c>
      <c r="Y1352" t="inlineStr">
        <is>
          <t>1987-12-30</t>
        </is>
      </c>
      <c r="Z1352" t="inlineStr">
        <is>
          <t>1987-12-30</t>
        </is>
      </c>
      <c r="AA1352" t="n">
        <v>225</v>
      </c>
      <c r="AB1352" t="n">
        <v>206</v>
      </c>
      <c r="AC1352" t="n">
        <v>253</v>
      </c>
      <c r="AD1352" t="n">
        <v>1</v>
      </c>
      <c r="AE1352" t="n">
        <v>1</v>
      </c>
      <c r="AF1352" t="n">
        <v>4</v>
      </c>
      <c r="AG1352" t="n">
        <v>5</v>
      </c>
      <c r="AH1352" t="n">
        <v>2</v>
      </c>
      <c r="AI1352" t="n">
        <v>3</v>
      </c>
      <c r="AJ1352" t="n">
        <v>0</v>
      </c>
      <c r="AK1352" t="n">
        <v>0</v>
      </c>
      <c r="AL1352" t="n">
        <v>2</v>
      </c>
      <c r="AM1352" t="n">
        <v>3</v>
      </c>
      <c r="AN1352" t="n">
        <v>0</v>
      </c>
      <c r="AO1352" t="n">
        <v>0</v>
      </c>
      <c r="AP1352" t="n">
        <v>0</v>
      </c>
      <c r="AQ1352" t="n">
        <v>0</v>
      </c>
      <c r="AR1352" t="inlineStr">
        <is>
          <t>No</t>
        </is>
      </c>
      <c r="AS1352" t="inlineStr">
        <is>
          <t>Yes</t>
        </is>
      </c>
      <c r="AT1352">
        <f>HYPERLINK("http://catalog.hathitrust.org/Record/000331715","HathiTrust Record")</f>
        <v/>
      </c>
      <c r="AU1352">
        <f>HYPERLINK("https://creighton-primo.hosted.exlibrisgroup.com/primo-explore/search?tab=default_tab&amp;search_scope=EVERYTHING&amp;vid=01CRU&amp;lang=en_US&amp;offset=0&amp;query=any,contains,991001086029702656","Catalog Record")</f>
        <v/>
      </c>
      <c r="AV1352">
        <f>HYPERLINK("http://www.worldcat.org/oclc/6666623","WorldCat Record")</f>
        <v/>
      </c>
      <c r="AW1352" t="inlineStr">
        <is>
          <t>426661734:eng</t>
        </is>
      </c>
      <c r="AX1352" t="inlineStr">
        <is>
          <t>6666623</t>
        </is>
      </c>
      <c r="AY1352" t="inlineStr">
        <is>
          <t>991001086029702656</t>
        </is>
      </c>
      <c r="AZ1352" t="inlineStr">
        <is>
          <t>991001086029702656</t>
        </is>
      </c>
      <c r="BA1352" t="inlineStr">
        <is>
          <t>2260509100002656</t>
        </is>
      </c>
      <c r="BB1352" t="inlineStr">
        <is>
          <t>BOOK</t>
        </is>
      </c>
      <c r="BD1352" t="inlineStr">
        <is>
          <t>9780916730260</t>
        </is>
      </c>
      <c r="BE1352" t="inlineStr">
        <is>
          <t>30001000259400</t>
        </is>
      </c>
      <c r="BF1352" t="inlineStr">
        <is>
          <t>893450860</t>
        </is>
      </c>
    </row>
    <row r="1353">
      <c r="A1353" t="inlineStr">
        <is>
          <t>No</t>
        </is>
      </c>
      <c r="B1353" t="inlineStr">
        <is>
          <t>CUHSL</t>
        </is>
      </c>
      <c r="C1353" t="inlineStr">
        <is>
          <t>SHELVES</t>
        </is>
      </c>
      <c r="D1353" t="inlineStr">
        <is>
          <t>WY 150.5 R345 1998</t>
        </is>
      </c>
      <c r="E1353" t="inlineStr">
        <is>
          <t>0                      WY 0150500R  345         1998</t>
        </is>
      </c>
      <c r="F1353" t="inlineStr">
        <is>
          <t>Rehabilitation nursing practice / edited by Patricia A. Chin, Darlene N. Finocchiaro, Anita Rosebrough.</t>
        </is>
      </c>
      <c r="H1353" t="inlineStr">
        <is>
          <t>No</t>
        </is>
      </c>
      <c r="I1353" t="inlineStr">
        <is>
          <t>1</t>
        </is>
      </c>
      <c r="J1353" t="inlineStr">
        <is>
          <t>No</t>
        </is>
      </c>
      <c r="K1353" t="inlineStr">
        <is>
          <t>No</t>
        </is>
      </c>
      <c r="L1353" t="inlineStr">
        <is>
          <t>0</t>
        </is>
      </c>
      <c r="N1353" t="inlineStr">
        <is>
          <t>New York : McGraw-Hill, Health Professions Division, c1998.</t>
        </is>
      </c>
      <c r="O1353" t="inlineStr">
        <is>
          <t>1998</t>
        </is>
      </c>
      <c r="Q1353" t="inlineStr">
        <is>
          <t>eng</t>
        </is>
      </c>
      <c r="R1353" t="inlineStr">
        <is>
          <t>nyu</t>
        </is>
      </c>
      <c r="T1353" t="inlineStr">
        <is>
          <t xml:space="preserve">WY </t>
        </is>
      </c>
      <c r="U1353" t="n">
        <v>3</v>
      </c>
      <c r="V1353" t="n">
        <v>3</v>
      </c>
      <c r="W1353" t="inlineStr">
        <is>
          <t>1999-08-10</t>
        </is>
      </c>
      <c r="X1353" t="inlineStr">
        <is>
          <t>1999-08-10</t>
        </is>
      </c>
      <c r="Y1353" t="inlineStr">
        <is>
          <t>1999-04-13</t>
        </is>
      </c>
      <c r="Z1353" t="inlineStr">
        <is>
          <t>1999-04-13</t>
        </is>
      </c>
      <c r="AA1353" t="n">
        <v>293</v>
      </c>
      <c r="AB1353" t="n">
        <v>221</v>
      </c>
      <c r="AC1353" t="n">
        <v>228</v>
      </c>
      <c r="AD1353" t="n">
        <v>1</v>
      </c>
      <c r="AE1353" t="n">
        <v>1</v>
      </c>
      <c r="AF1353" t="n">
        <v>8</v>
      </c>
      <c r="AG1353" t="n">
        <v>8</v>
      </c>
      <c r="AH1353" t="n">
        <v>3</v>
      </c>
      <c r="AI1353" t="n">
        <v>3</v>
      </c>
      <c r="AJ1353" t="n">
        <v>2</v>
      </c>
      <c r="AK1353" t="n">
        <v>2</v>
      </c>
      <c r="AL1353" t="n">
        <v>5</v>
      </c>
      <c r="AM1353" t="n">
        <v>5</v>
      </c>
      <c r="AN1353" t="n">
        <v>0</v>
      </c>
      <c r="AO1353" t="n">
        <v>0</v>
      </c>
      <c r="AP1353" t="n">
        <v>0</v>
      </c>
      <c r="AQ1353" t="n">
        <v>0</v>
      </c>
      <c r="AR1353" t="inlineStr">
        <is>
          <t>No</t>
        </is>
      </c>
      <c r="AS1353" t="inlineStr">
        <is>
          <t>Yes</t>
        </is>
      </c>
      <c r="AT1353">
        <f>HYPERLINK("http://catalog.hathitrust.org/Record/003245214","HathiTrust Record")</f>
        <v/>
      </c>
      <c r="AU1353">
        <f>HYPERLINK("https://creighton-primo.hosted.exlibrisgroup.com/primo-explore/search?tab=default_tab&amp;search_scope=EVERYTHING&amp;vid=01CRU&amp;lang=en_US&amp;offset=0&amp;query=any,contains,991001572979702656","Catalog Record")</f>
        <v/>
      </c>
      <c r="AV1353">
        <f>HYPERLINK("http://www.worldcat.org/oclc/38236234","WorldCat Record")</f>
        <v/>
      </c>
      <c r="AW1353" t="inlineStr">
        <is>
          <t>364690698:eng</t>
        </is>
      </c>
      <c r="AX1353" t="inlineStr">
        <is>
          <t>38236234</t>
        </is>
      </c>
      <c r="AY1353" t="inlineStr">
        <is>
          <t>991001572979702656</t>
        </is>
      </c>
      <c r="AZ1353" t="inlineStr">
        <is>
          <t>991001572979702656</t>
        </is>
      </c>
      <c r="BA1353" t="inlineStr">
        <is>
          <t>2267048970002656</t>
        </is>
      </c>
      <c r="BB1353" t="inlineStr">
        <is>
          <t>BOOK</t>
        </is>
      </c>
      <c r="BD1353" t="inlineStr">
        <is>
          <t>9780071054829</t>
        </is>
      </c>
      <c r="BE1353" t="inlineStr">
        <is>
          <t>30001004071231</t>
        </is>
      </c>
      <c r="BF1353" t="inlineStr">
        <is>
          <t>893369491</t>
        </is>
      </c>
    </row>
    <row r="1354">
      <c r="A1354" t="inlineStr">
        <is>
          <t>No</t>
        </is>
      </c>
      <c r="B1354" t="inlineStr">
        <is>
          <t>CUHSL</t>
        </is>
      </c>
      <c r="C1354" t="inlineStr">
        <is>
          <t>SHELVES</t>
        </is>
      </c>
      <c r="D1354" t="inlineStr">
        <is>
          <t>WY 152 A549c 1981</t>
        </is>
      </c>
      <c r="E1354" t="inlineStr">
        <is>
          <t>0                      WY 0152000A  549c        1981</t>
        </is>
      </c>
      <c r="F1354" t="inlineStr">
        <is>
          <t>Chronic health problems : concepts and application / [compiled by] Sandra VanDam Anderson, Eleanor E. Bauwens.</t>
        </is>
      </c>
      <c r="H1354" t="inlineStr">
        <is>
          <t>No</t>
        </is>
      </c>
      <c r="I1354" t="inlineStr">
        <is>
          <t>1</t>
        </is>
      </c>
      <c r="J1354" t="inlineStr">
        <is>
          <t>No</t>
        </is>
      </c>
      <c r="K1354" t="inlineStr">
        <is>
          <t>No</t>
        </is>
      </c>
      <c r="L1354" t="inlineStr">
        <is>
          <t>0</t>
        </is>
      </c>
      <c r="N1354" t="inlineStr">
        <is>
          <t>St. Louis : Mosby, c1981.</t>
        </is>
      </c>
      <c r="O1354" t="inlineStr">
        <is>
          <t>1981</t>
        </is>
      </c>
      <c r="Q1354" t="inlineStr">
        <is>
          <t>eng</t>
        </is>
      </c>
      <c r="R1354" t="inlineStr">
        <is>
          <t>mou</t>
        </is>
      </c>
      <c r="T1354" t="inlineStr">
        <is>
          <t xml:space="preserve">WY </t>
        </is>
      </c>
      <c r="U1354" t="n">
        <v>6</v>
      </c>
      <c r="V1354" t="n">
        <v>6</v>
      </c>
      <c r="W1354" t="inlineStr">
        <is>
          <t>1990-11-28</t>
        </is>
      </c>
      <c r="X1354" t="inlineStr">
        <is>
          <t>1990-11-28</t>
        </is>
      </c>
      <c r="Y1354" t="inlineStr">
        <is>
          <t>1987-12-30</t>
        </is>
      </c>
      <c r="Z1354" t="inlineStr">
        <is>
          <t>1987-12-30</t>
        </is>
      </c>
      <c r="AA1354" t="n">
        <v>199</v>
      </c>
      <c r="AB1354" t="n">
        <v>168</v>
      </c>
      <c r="AC1354" t="n">
        <v>168</v>
      </c>
      <c r="AD1354" t="n">
        <v>1</v>
      </c>
      <c r="AE1354" t="n">
        <v>1</v>
      </c>
      <c r="AF1354" t="n">
        <v>4</v>
      </c>
      <c r="AG1354" t="n">
        <v>4</v>
      </c>
      <c r="AH1354" t="n">
        <v>1</v>
      </c>
      <c r="AI1354" t="n">
        <v>1</v>
      </c>
      <c r="AJ1354" t="n">
        <v>1</v>
      </c>
      <c r="AK1354" t="n">
        <v>1</v>
      </c>
      <c r="AL1354" t="n">
        <v>3</v>
      </c>
      <c r="AM1354" t="n">
        <v>3</v>
      </c>
      <c r="AN1354" t="n">
        <v>0</v>
      </c>
      <c r="AO1354" t="n">
        <v>0</v>
      </c>
      <c r="AP1354" t="n">
        <v>0</v>
      </c>
      <c r="AQ1354" t="n">
        <v>0</v>
      </c>
      <c r="AR1354" t="inlineStr">
        <is>
          <t>No</t>
        </is>
      </c>
      <c r="AS1354" t="inlineStr">
        <is>
          <t>No</t>
        </is>
      </c>
      <c r="AU1354">
        <f>HYPERLINK("https://creighton-primo.hosted.exlibrisgroup.com/primo-explore/search?tab=default_tab&amp;search_scope=EVERYTHING&amp;vid=01CRU&amp;lang=en_US&amp;offset=0&amp;query=any,contains,991001086209702656","Catalog Record")</f>
        <v/>
      </c>
      <c r="AV1354">
        <f>HYPERLINK("http://www.worldcat.org/oclc/7178838","WorldCat Record")</f>
        <v/>
      </c>
      <c r="AW1354" t="inlineStr">
        <is>
          <t>451159:eng</t>
        </is>
      </c>
      <c r="AX1354" t="inlineStr">
        <is>
          <t>7178838</t>
        </is>
      </c>
      <c r="AY1354" t="inlineStr">
        <is>
          <t>991001086209702656</t>
        </is>
      </c>
      <c r="AZ1354" t="inlineStr">
        <is>
          <t>991001086209702656</t>
        </is>
      </c>
      <c r="BA1354" t="inlineStr">
        <is>
          <t>2267608490002656</t>
        </is>
      </c>
      <c r="BB1354" t="inlineStr">
        <is>
          <t>BOOK</t>
        </is>
      </c>
      <c r="BD1354" t="inlineStr">
        <is>
          <t>9780801601996</t>
        </is>
      </c>
      <c r="BE1354" t="inlineStr">
        <is>
          <t>30001000259483</t>
        </is>
      </c>
      <c r="BF1354" t="inlineStr">
        <is>
          <t>893552110</t>
        </is>
      </c>
    </row>
    <row r="1355">
      <c r="A1355" t="inlineStr">
        <is>
          <t>No</t>
        </is>
      </c>
      <c r="B1355" t="inlineStr">
        <is>
          <t>CUHSL</t>
        </is>
      </c>
      <c r="C1355" t="inlineStr">
        <is>
          <t>SHELVES</t>
        </is>
      </c>
      <c r="D1355" t="inlineStr">
        <is>
          <t>WY 152 A849 1988</t>
        </is>
      </c>
      <c r="E1355" t="inlineStr">
        <is>
          <t>0                      WY 0152000A  849         1988</t>
        </is>
      </c>
      <c r="F1355" t="inlineStr">
        <is>
          <t>Associate degree nursing and the nursing home.</t>
        </is>
      </c>
      <c r="H1355" t="inlineStr">
        <is>
          <t>No</t>
        </is>
      </c>
      <c r="I1355" t="inlineStr">
        <is>
          <t>1</t>
        </is>
      </c>
      <c r="J1355" t="inlineStr">
        <is>
          <t>No</t>
        </is>
      </c>
      <c r="K1355" t="inlineStr">
        <is>
          <t>No</t>
        </is>
      </c>
      <c r="L1355" t="inlineStr">
        <is>
          <t>0</t>
        </is>
      </c>
      <c r="N1355" t="inlineStr">
        <is>
          <t>New York, NY : National League for Nursing, c1988.</t>
        </is>
      </c>
      <c r="O1355" t="inlineStr">
        <is>
          <t>1988</t>
        </is>
      </c>
      <c r="Q1355" t="inlineStr">
        <is>
          <t>eng</t>
        </is>
      </c>
      <c r="R1355" t="inlineStr">
        <is>
          <t>xxu</t>
        </is>
      </c>
      <c r="S1355" t="inlineStr">
        <is>
          <t>NLN pub. no. 15-2241.</t>
        </is>
      </c>
      <c r="T1355" t="inlineStr">
        <is>
          <t xml:space="preserve">WY </t>
        </is>
      </c>
      <c r="U1355" t="n">
        <v>7</v>
      </c>
      <c r="V1355" t="n">
        <v>7</v>
      </c>
      <c r="W1355" t="inlineStr">
        <is>
          <t>1994-07-11</t>
        </is>
      </c>
      <c r="X1355" t="inlineStr">
        <is>
          <t>1994-07-11</t>
        </is>
      </c>
      <c r="Y1355" t="inlineStr">
        <is>
          <t>1989-01-18</t>
        </is>
      </c>
      <c r="Z1355" t="inlineStr">
        <is>
          <t>1989-01-18</t>
        </is>
      </c>
      <c r="AA1355" t="n">
        <v>182</v>
      </c>
      <c r="AB1355" t="n">
        <v>161</v>
      </c>
      <c r="AC1355" t="n">
        <v>161</v>
      </c>
      <c r="AD1355" t="n">
        <v>2</v>
      </c>
      <c r="AE1355" t="n">
        <v>2</v>
      </c>
      <c r="AF1355" t="n">
        <v>10</v>
      </c>
      <c r="AG1355" t="n">
        <v>10</v>
      </c>
      <c r="AH1355" t="n">
        <v>3</v>
      </c>
      <c r="AI1355" t="n">
        <v>3</v>
      </c>
      <c r="AJ1355" t="n">
        <v>3</v>
      </c>
      <c r="AK1355" t="n">
        <v>3</v>
      </c>
      <c r="AL1355" t="n">
        <v>6</v>
      </c>
      <c r="AM1355" t="n">
        <v>6</v>
      </c>
      <c r="AN1355" t="n">
        <v>0</v>
      </c>
      <c r="AO1355" t="n">
        <v>0</v>
      </c>
      <c r="AP1355" t="n">
        <v>0</v>
      </c>
      <c r="AQ1355" t="n">
        <v>0</v>
      </c>
      <c r="AR1355" t="inlineStr">
        <is>
          <t>No</t>
        </is>
      </c>
      <c r="AS1355" t="inlineStr">
        <is>
          <t>No</t>
        </is>
      </c>
      <c r="AU1355">
        <f>HYPERLINK("https://creighton-primo.hosted.exlibrisgroup.com/primo-explore/search?tab=default_tab&amp;search_scope=EVERYTHING&amp;vid=01CRU&amp;lang=en_US&amp;offset=0&amp;query=any,contains,991001114639702656","Catalog Record")</f>
        <v/>
      </c>
      <c r="AV1355">
        <f>HYPERLINK("http://www.worldcat.org/oclc/20491756","WorldCat Record")</f>
        <v/>
      </c>
      <c r="AW1355" t="inlineStr">
        <is>
          <t>22374436:eng</t>
        </is>
      </c>
      <c r="AX1355" t="inlineStr">
        <is>
          <t>20491756</t>
        </is>
      </c>
      <c r="AY1355" t="inlineStr">
        <is>
          <t>991001114639702656</t>
        </is>
      </c>
      <c r="AZ1355" t="inlineStr">
        <is>
          <t>991001114639702656</t>
        </is>
      </c>
      <c r="BA1355" t="inlineStr">
        <is>
          <t>2264583360002656</t>
        </is>
      </c>
      <c r="BB1355" t="inlineStr">
        <is>
          <t>BOOK</t>
        </is>
      </c>
      <c r="BD1355" t="inlineStr">
        <is>
          <t>9780887374234</t>
        </is>
      </c>
      <c r="BE1355" t="inlineStr">
        <is>
          <t>30001001612995</t>
        </is>
      </c>
      <c r="BF1355" t="inlineStr">
        <is>
          <t>893278733</t>
        </is>
      </c>
    </row>
    <row r="1356">
      <c r="A1356" t="inlineStr">
        <is>
          <t>No</t>
        </is>
      </c>
      <c r="B1356" t="inlineStr">
        <is>
          <t>CUHSL</t>
        </is>
      </c>
      <c r="C1356" t="inlineStr">
        <is>
          <t>SHELVES</t>
        </is>
      </c>
      <c r="D1356" t="inlineStr">
        <is>
          <t>WY 152 B369m 1998</t>
        </is>
      </c>
      <c r="E1356" t="inlineStr">
        <is>
          <t>0                      WY 0152000B  369m        1998</t>
        </is>
      </c>
      <c r="F1356" t="inlineStr">
        <is>
          <t>Measurements for long-term care : a guidebook for nurses / Sarah R. Beaton &amp; Susan A. Voge.</t>
        </is>
      </c>
      <c r="H1356" t="inlineStr">
        <is>
          <t>No</t>
        </is>
      </c>
      <c r="I1356" t="inlineStr">
        <is>
          <t>1</t>
        </is>
      </c>
      <c r="J1356" t="inlineStr">
        <is>
          <t>No</t>
        </is>
      </c>
      <c r="K1356" t="inlineStr">
        <is>
          <t>No</t>
        </is>
      </c>
      <c r="L1356" t="inlineStr">
        <is>
          <t>0</t>
        </is>
      </c>
      <c r="M1356" t="inlineStr">
        <is>
          <t>Beaton, Sarah Reese.</t>
        </is>
      </c>
      <c r="N1356" t="inlineStr">
        <is>
          <t>Thousand Oaks, Calif. : Sage Publications, c1998.</t>
        </is>
      </c>
      <c r="O1356" t="inlineStr">
        <is>
          <t>1998</t>
        </is>
      </c>
      <c r="Q1356" t="inlineStr">
        <is>
          <t>eng</t>
        </is>
      </c>
      <c r="R1356" t="inlineStr">
        <is>
          <t>cau</t>
        </is>
      </c>
      <c r="T1356" t="inlineStr">
        <is>
          <t xml:space="preserve">WY </t>
        </is>
      </c>
      <c r="U1356" t="n">
        <v>1</v>
      </c>
      <c r="V1356" t="n">
        <v>1</v>
      </c>
      <c r="W1356" t="inlineStr">
        <is>
          <t>1999-11-02</t>
        </is>
      </c>
      <c r="X1356" t="inlineStr">
        <is>
          <t>1999-11-02</t>
        </is>
      </c>
      <c r="Y1356" t="inlineStr">
        <is>
          <t>1999-11-02</t>
        </is>
      </c>
      <c r="Z1356" t="inlineStr">
        <is>
          <t>1999-11-02</t>
        </is>
      </c>
      <c r="AA1356" t="n">
        <v>271</v>
      </c>
      <c r="AB1356" t="n">
        <v>213</v>
      </c>
      <c r="AC1356" t="n">
        <v>220</v>
      </c>
      <c r="AD1356" t="n">
        <v>1</v>
      </c>
      <c r="AE1356" t="n">
        <v>1</v>
      </c>
      <c r="AF1356" t="n">
        <v>12</v>
      </c>
      <c r="AG1356" t="n">
        <v>12</v>
      </c>
      <c r="AH1356" t="n">
        <v>6</v>
      </c>
      <c r="AI1356" t="n">
        <v>6</v>
      </c>
      <c r="AJ1356" t="n">
        <v>2</v>
      </c>
      <c r="AK1356" t="n">
        <v>2</v>
      </c>
      <c r="AL1356" t="n">
        <v>7</v>
      </c>
      <c r="AM1356" t="n">
        <v>7</v>
      </c>
      <c r="AN1356" t="n">
        <v>0</v>
      </c>
      <c r="AO1356" t="n">
        <v>0</v>
      </c>
      <c r="AP1356" t="n">
        <v>0</v>
      </c>
      <c r="AQ1356" t="n">
        <v>0</v>
      </c>
      <c r="AR1356" t="inlineStr">
        <is>
          <t>No</t>
        </is>
      </c>
      <c r="AS1356" t="inlineStr">
        <is>
          <t>Yes</t>
        </is>
      </c>
      <c r="AT1356">
        <f>HYPERLINK("http://catalog.hathitrust.org/Record/003981095","HathiTrust Record")</f>
        <v/>
      </c>
      <c r="AU1356">
        <f>HYPERLINK("https://creighton-primo.hosted.exlibrisgroup.com/primo-explore/search?tab=default_tab&amp;search_scope=EVERYTHING&amp;vid=01CRU&amp;lang=en_US&amp;offset=0&amp;query=any,contains,991000598309702656","Catalog Record")</f>
        <v/>
      </c>
      <c r="AV1356">
        <f>HYPERLINK("http://www.worldcat.org/oclc/37666367","WorldCat Record")</f>
        <v/>
      </c>
      <c r="AW1356" t="inlineStr">
        <is>
          <t>837004859:eng</t>
        </is>
      </c>
      <c r="AX1356" t="inlineStr">
        <is>
          <t>37666367</t>
        </is>
      </c>
      <c r="AY1356" t="inlineStr">
        <is>
          <t>991000598309702656</t>
        </is>
      </c>
      <c r="AZ1356" t="inlineStr">
        <is>
          <t>991000598309702656</t>
        </is>
      </c>
      <c r="BA1356" t="inlineStr">
        <is>
          <t>2272270120002656</t>
        </is>
      </c>
      <c r="BB1356" t="inlineStr">
        <is>
          <t>BOOK</t>
        </is>
      </c>
      <c r="BD1356" t="inlineStr">
        <is>
          <t>9780803953888</t>
        </is>
      </c>
      <c r="BE1356" t="inlineStr">
        <is>
          <t>30001004015949</t>
        </is>
      </c>
      <c r="BF1356" t="inlineStr">
        <is>
          <t>893824780</t>
        </is>
      </c>
    </row>
    <row r="1357">
      <c r="A1357" t="inlineStr">
        <is>
          <t>No</t>
        </is>
      </c>
      <c r="B1357" t="inlineStr">
        <is>
          <t>CUHSL</t>
        </is>
      </c>
      <c r="C1357" t="inlineStr">
        <is>
          <t>SHELVES</t>
        </is>
      </c>
      <c r="D1357" t="inlineStr">
        <is>
          <t>WY 152 B835ca 1987</t>
        </is>
      </c>
      <c r="E1357" t="inlineStr">
        <is>
          <t>0                      WY 0152000B  835ca       1987</t>
        </is>
      </c>
      <c r="F1357" t="inlineStr">
        <is>
          <t>Caring for older adults : basic nursing skills and concepts / Joan Carson Breitung.</t>
        </is>
      </c>
      <c r="H1357" t="inlineStr">
        <is>
          <t>No</t>
        </is>
      </c>
      <c r="I1357" t="inlineStr">
        <is>
          <t>1</t>
        </is>
      </c>
      <c r="J1357" t="inlineStr">
        <is>
          <t>No</t>
        </is>
      </c>
      <c r="K1357" t="inlineStr">
        <is>
          <t>No</t>
        </is>
      </c>
      <c r="L1357" t="inlineStr">
        <is>
          <t>0</t>
        </is>
      </c>
      <c r="M1357" t="inlineStr">
        <is>
          <t>Breitung, Joan Carson.</t>
        </is>
      </c>
      <c r="N1357" t="inlineStr">
        <is>
          <t>Philadelphia : Saunders, c1987.</t>
        </is>
      </c>
      <c r="O1357" t="inlineStr">
        <is>
          <t>1987</t>
        </is>
      </c>
      <c r="Q1357" t="inlineStr">
        <is>
          <t>eng</t>
        </is>
      </c>
      <c r="R1357" t="inlineStr">
        <is>
          <t>xxu</t>
        </is>
      </c>
      <c r="T1357" t="inlineStr">
        <is>
          <t xml:space="preserve">WY </t>
        </is>
      </c>
      <c r="U1357" t="n">
        <v>5</v>
      </c>
      <c r="V1357" t="n">
        <v>5</v>
      </c>
      <c r="W1357" t="inlineStr">
        <is>
          <t>1990-11-28</t>
        </is>
      </c>
      <c r="X1357" t="inlineStr">
        <is>
          <t>1990-11-28</t>
        </is>
      </c>
      <c r="Y1357" t="inlineStr">
        <is>
          <t>1987-12-30</t>
        </is>
      </c>
      <c r="Z1357" t="inlineStr">
        <is>
          <t>1987-12-30</t>
        </is>
      </c>
      <c r="AA1357" t="n">
        <v>236</v>
      </c>
      <c r="AB1357" t="n">
        <v>169</v>
      </c>
      <c r="AC1357" t="n">
        <v>171</v>
      </c>
      <c r="AD1357" t="n">
        <v>1</v>
      </c>
      <c r="AE1357" t="n">
        <v>1</v>
      </c>
      <c r="AF1357" t="n">
        <v>5</v>
      </c>
      <c r="AG1357" t="n">
        <v>5</v>
      </c>
      <c r="AH1357" t="n">
        <v>1</v>
      </c>
      <c r="AI1357" t="n">
        <v>1</v>
      </c>
      <c r="AJ1357" t="n">
        <v>1</v>
      </c>
      <c r="AK1357" t="n">
        <v>1</v>
      </c>
      <c r="AL1357" t="n">
        <v>4</v>
      </c>
      <c r="AM1357" t="n">
        <v>4</v>
      </c>
      <c r="AN1357" t="n">
        <v>0</v>
      </c>
      <c r="AO1357" t="n">
        <v>0</v>
      </c>
      <c r="AP1357" t="n">
        <v>0</v>
      </c>
      <c r="AQ1357" t="n">
        <v>0</v>
      </c>
      <c r="AR1357" t="inlineStr">
        <is>
          <t>No</t>
        </is>
      </c>
      <c r="AS1357" t="inlineStr">
        <is>
          <t>Yes</t>
        </is>
      </c>
      <c r="AT1357">
        <f>HYPERLINK("http://catalog.hathitrust.org/Record/000812324","HathiTrust Record")</f>
        <v/>
      </c>
      <c r="AU1357">
        <f>HYPERLINK("https://creighton-primo.hosted.exlibrisgroup.com/primo-explore/search?tab=default_tab&amp;search_scope=EVERYTHING&amp;vid=01CRU&amp;lang=en_US&amp;offset=0&amp;query=any,contains,991000587009702656","Catalog Record")</f>
        <v/>
      </c>
      <c r="AV1357">
        <f>HYPERLINK("http://www.worldcat.org/oclc/14692111","WorldCat Record")</f>
        <v/>
      </c>
      <c r="AW1357" t="inlineStr">
        <is>
          <t>9061850:eng</t>
        </is>
      </c>
      <c r="AX1357" t="inlineStr">
        <is>
          <t>14692111</t>
        </is>
      </c>
      <c r="AY1357" t="inlineStr">
        <is>
          <t>991000587009702656</t>
        </is>
      </c>
      <c r="AZ1357" t="inlineStr">
        <is>
          <t>991000587009702656</t>
        </is>
      </c>
      <c r="BA1357" t="inlineStr">
        <is>
          <t>2257602660002656</t>
        </is>
      </c>
      <c r="BB1357" t="inlineStr">
        <is>
          <t>BOOK</t>
        </is>
      </c>
      <c r="BD1357" t="inlineStr">
        <is>
          <t>9780721615769</t>
        </is>
      </c>
      <c r="BE1357" t="inlineStr">
        <is>
          <t>30001000005100</t>
        </is>
      </c>
      <c r="BF1357" t="inlineStr">
        <is>
          <t>893453958</t>
        </is>
      </c>
    </row>
    <row r="1358">
      <c r="A1358" t="inlineStr">
        <is>
          <t>No</t>
        </is>
      </c>
      <c r="B1358" t="inlineStr">
        <is>
          <t>CUHSL</t>
        </is>
      </c>
      <c r="C1358" t="inlineStr">
        <is>
          <t>SHELVES</t>
        </is>
      </c>
      <c r="D1358" t="inlineStr">
        <is>
          <t>WY 152 B959g 1992</t>
        </is>
      </c>
      <c r="E1358" t="inlineStr">
        <is>
          <t>0                      WY 0152000B  959g        1992</t>
        </is>
      </c>
      <c r="F1358" t="inlineStr">
        <is>
          <t>Gerontologic nursing : care of the frail elderly / Mary M. Burke, Mary B. Walsh.</t>
        </is>
      </c>
      <c r="H1358" t="inlineStr">
        <is>
          <t>No</t>
        </is>
      </c>
      <c r="I1358" t="inlineStr">
        <is>
          <t>1</t>
        </is>
      </c>
      <c r="J1358" t="inlineStr">
        <is>
          <t>No</t>
        </is>
      </c>
      <c r="K1358" t="inlineStr">
        <is>
          <t>No</t>
        </is>
      </c>
      <c r="L1358" t="inlineStr">
        <is>
          <t>0</t>
        </is>
      </c>
      <c r="M1358" t="inlineStr">
        <is>
          <t>Burke, Mary M.</t>
        </is>
      </c>
      <c r="N1358" t="inlineStr">
        <is>
          <t>St. Louis : Mosby-Year Book, c1992.</t>
        </is>
      </c>
      <c r="O1358" t="inlineStr">
        <is>
          <t>1992</t>
        </is>
      </c>
      <c r="Q1358" t="inlineStr">
        <is>
          <t>eng</t>
        </is>
      </c>
      <c r="R1358" t="inlineStr">
        <is>
          <t>mou</t>
        </is>
      </c>
      <c r="T1358" t="inlineStr">
        <is>
          <t xml:space="preserve">WY </t>
        </is>
      </c>
      <c r="U1358" t="n">
        <v>10</v>
      </c>
      <c r="V1358" t="n">
        <v>10</v>
      </c>
      <c r="W1358" t="inlineStr">
        <is>
          <t>1996-01-16</t>
        </is>
      </c>
      <c r="X1358" t="inlineStr">
        <is>
          <t>1996-01-16</t>
        </is>
      </c>
      <c r="Y1358" t="inlineStr">
        <is>
          <t>1993-03-26</t>
        </is>
      </c>
      <c r="Z1358" t="inlineStr">
        <is>
          <t>1993-03-26</t>
        </is>
      </c>
      <c r="AA1358" t="n">
        <v>383</v>
      </c>
      <c r="AB1358" t="n">
        <v>322</v>
      </c>
      <c r="AC1358" t="n">
        <v>324</v>
      </c>
      <c r="AD1358" t="n">
        <v>1</v>
      </c>
      <c r="AE1358" t="n">
        <v>1</v>
      </c>
      <c r="AF1358" t="n">
        <v>13</v>
      </c>
      <c r="AG1358" t="n">
        <v>13</v>
      </c>
      <c r="AH1358" t="n">
        <v>4</v>
      </c>
      <c r="AI1358" t="n">
        <v>4</v>
      </c>
      <c r="AJ1358" t="n">
        <v>4</v>
      </c>
      <c r="AK1358" t="n">
        <v>4</v>
      </c>
      <c r="AL1358" t="n">
        <v>9</v>
      </c>
      <c r="AM1358" t="n">
        <v>9</v>
      </c>
      <c r="AN1358" t="n">
        <v>0</v>
      </c>
      <c r="AO1358" t="n">
        <v>0</v>
      </c>
      <c r="AP1358" t="n">
        <v>0</v>
      </c>
      <c r="AQ1358" t="n">
        <v>0</v>
      </c>
      <c r="AR1358" t="inlineStr">
        <is>
          <t>No</t>
        </is>
      </c>
      <c r="AS1358" t="inlineStr">
        <is>
          <t>Yes</t>
        </is>
      </c>
      <c r="AT1358">
        <f>HYPERLINK("http://catalog.hathitrust.org/Record/002512949","HathiTrust Record")</f>
        <v/>
      </c>
      <c r="AU1358">
        <f>HYPERLINK("https://creighton-primo.hosted.exlibrisgroup.com/primo-explore/search?tab=default_tab&amp;search_scope=EVERYTHING&amp;vid=01CRU&amp;lang=en_US&amp;offset=0&amp;query=any,contains,991001472419702656","Catalog Record")</f>
        <v/>
      </c>
      <c r="AV1358">
        <f>HYPERLINK("http://www.worldcat.org/oclc/24545983","WorldCat Record")</f>
        <v/>
      </c>
      <c r="AW1358" t="inlineStr">
        <is>
          <t>836914508:eng</t>
        </is>
      </c>
      <c r="AX1358" t="inlineStr">
        <is>
          <t>24545983</t>
        </is>
      </c>
      <c r="AY1358" t="inlineStr">
        <is>
          <t>991001472419702656</t>
        </is>
      </c>
      <c r="AZ1358" t="inlineStr">
        <is>
          <t>991001472419702656</t>
        </is>
      </c>
      <c r="BA1358" t="inlineStr">
        <is>
          <t>2264600490002656</t>
        </is>
      </c>
      <c r="BB1358" t="inlineStr">
        <is>
          <t>BOOK</t>
        </is>
      </c>
      <c r="BD1358" t="inlineStr">
        <is>
          <t>9780801658846</t>
        </is>
      </c>
      <c r="BE1358" t="inlineStr">
        <is>
          <t>30001002563239</t>
        </is>
      </c>
      <c r="BF1358" t="inlineStr">
        <is>
          <t>893134608</t>
        </is>
      </c>
    </row>
    <row r="1359">
      <c r="A1359" t="inlineStr">
        <is>
          <t>No</t>
        </is>
      </c>
      <c r="B1359" t="inlineStr">
        <is>
          <t>CUHSL</t>
        </is>
      </c>
      <c r="C1359" t="inlineStr">
        <is>
          <t>SHELVES</t>
        </is>
      </c>
      <c r="D1359" t="inlineStr">
        <is>
          <t>WY 152 B967p 1980</t>
        </is>
      </c>
      <c r="E1359" t="inlineStr">
        <is>
          <t>0                      WY 0152000B  967p        1980</t>
        </is>
      </c>
      <c r="F1359" t="inlineStr">
        <is>
          <t>Psychosocial nursing care of the aged / edited by Irene Mortenson Burnside.</t>
        </is>
      </c>
      <c r="H1359" t="inlineStr">
        <is>
          <t>No</t>
        </is>
      </c>
      <c r="I1359" t="inlineStr">
        <is>
          <t>1</t>
        </is>
      </c>
      <c r="J1359" t="inlineStr">
        <is>
          <t>No</t>
        </is>
      </c>
      <c r="K1359" t="inlineStr">
        <is>
          <t>No</t>
        </is>
      </c>
      <c r="L1359" t="inlineStr">
        <is>
          <t>0</t>
        </is>
      </c>
      <c r="N1359" t="inlineStr">
        <is>
          <t>New York : McGraw-Hill, c1980.</t>
        </is>
      </c>
      <c r="O1359" t="inlineStr">
        <is>
          <t>1980</t>
        </is>
      </c>
      <c r="P1359" t="inlineStr">
        <is>
          <t>2d ed.</t>
        </is>
      </c>
      <c r="Q1359" t="inlineStr">
        <is>
          <t>eng</t>
        </is>
      </c>
      <c r="R1359" t="inlineStr">
        <is>
          <t>nyu</t>
        </is>
      </c>
      <c r="T1359" t="inlineStr">
        <is>
          <t xml:space="preserve">WY </t>
        </is>
      </c>
      <c r="U1359" t="n">
        <v>4</v>
      </c>
      <c r="V1359" t="n">
        <v>4</v>
      </c>
      <c r="W1359" t="inlineStr">
        <is>
          <t>1994-06-03</t>
        </is>
      </c>
      <c r="X1359" t="inlineStr">
        <is>
          <t>1994-06-03</t>
        </is>
      </c>
      <c r="Y1359" t="inlineStr">
        <is>
          <t>1987-10-23</t>
        </is>
      </c>
      <c r="Z1359" t="inlineStr">
        <is>
          <t>1987-10-23</t>
        </is>
      </c>
      <c r="AA1359" t="n">
        <v>319</v>
      </c>
      <c r="AB1359" t="n">
        <v>264</v>
      </c>
      <c r="AC1359" t="n">
        <v>432</v>
      </c>
      <c r="AD1359" t="n">
        <v>4</v>
      </c>
      <c r="AE1359" t="n">
        <v>4</v>
      </c>
      <c r="AF1359" t="n">
        <v>12</v>
      </c>
      <c r="AG1359" t="n">
        <v>17</v>
      </c>
      <c r="AH1359" t="n">
        <v>3</v>
      </c>
      <c r="AI1359" t="n">
        <v>4</v>
      </c>
      <c r="AJ1359" t="n">
        <v>2</v>
      </c>
      <c r="AK1359" t="n">
        <v>4</v>
      </c>
      <c r="AL1359" t="n">
        <v>7</v>
      </c>
      <c r="AM1359" t="n">
        <v>9</v>
      </c>
      <c r="AN1359" t="n">
        <v>3</v>
      </c>
      <c r="AO1359" t="n">
        <v>3</v>
      </c>
      <c r="AP1359" t="n">
        <v>0</v>
      </c>
      <c r="AQ1359" t="n">
        <v>0</v>
      </c>
      <c r="AR1359" t="inlineStr">
        <is>
          <t>No</t>
        </is>
      </c>
      <c r="AS1359" t="inlineStr">
        <is>
          <t>Yes</t>
        </is>
      </c>
      <c r="AT1359">
        <f>HYPERLINK("http://catalog.hathitrust.org/Record/000746706","HathiTrust Record")</f>
        <v/>
      </c>
      <c r="AU1359">
        <f>HYPERLINK("https://creighton-primo.hosted.exlibrisgroup.com/primo-explore/search?tab=default_tab&amp;search_scope=EVERYTHING&amp;vid=01CRU&amp;lang=en_US&amp;offset=0&amp;query=any,contains,991000734989702656","Catalog Record")</f>
        <v/>
      </c>
      <c r="AV1359">
        <f>HYPERLINK("http://www.worldcat.org/oclc/4933469","WorldCat Record")</f>
        <v/>
      </c>
      <c r="AW1359" t="inlineStr">
        <is>
          <t>1408314:eng</t>
        </is>
      </c>
      <c r="AX1359" t="inlineStr">
        <is>
          <t>4933469</t>
        </is>
      </c>
      <c r="AY1359" t="inlineStr">
        <is>
          <t>991000734989702656</t>
        </is>
      </c>
      <c r="AZ1359" t="inlineStr">
        <is>
          <t>991000734989702656</t>
        </is>
      </c>
      <c r="BA1359" t="inlineStr">
        <is>
          <t>2269172810002656</t>
        </is>
      </c>
      <c r="BB1359" t="inlineStr">
        <is>
          <t>BOOK</t>
        </is>
      </c>
      <c r="BD1359" t="inlineStr">
        <is>
          <t>9780070092105</t>
        </is>
      </c>
      <c r="BE1359" t="inlineStr">
        <is>
          <t>30001000041162</t>
        </is>
      </c>
      <c r="BF1359" t="inlineStr">
        <is>
          <t>893459767</t>
        </is>
      </c>
    </row>
    <row r="1360">
      <c r="A1360" t="inlineStr">
        <is>
          <t>No</t>
        </is>
      </c>
      <c r="B1360" t="inlineStr">
        <is>
          <t>CUHSL</t>
        </is>
      </c>
      <c r="C1360" t="inlineStr">
        <is>
          <t>SHELVES</t>
        </is>
      </c>
      <c r="D1360" t="inlineStr">
        <is>
          <t>WY 152 C271 1981</t>
        </is>
      </c>
      <c r="E1360" t="inlineStr">
        <is>
          <t>0                      WY 0152000C  271         1981</t>
        </is>
      </c>
      <c r="F1360" t="inlineStr">
        <is>
          <t>Care of the aging / edited by Laurel Archer Copp.</t>
        </is>
      </c>
      <c r="H1360" t="inlineStr">
        <is>
          <t>No</t>
        </is>
      </c>
      <c r="I1360" t="inlineStr">
        <is>
          <t>1</t>
        </is>
      </c>
      <c r="J1360" t="inlineStr">
        <is>
          <t>No</t>
        </is>
      </c>
      <c r="K1360" t="inlineStr">
        <is>
          <t>No</t>
        </is>
      </c>
      <c r="L1360" t="inlineStr">
        <is>
          <t>0</t>
        </is>
      </c>
      <c r="N1360" t="inlineStr">
        <is>
          <t>Edinburgh ; New York : Churchill Livingstone, 1981.</t>
        </is>
      </c>
      <c r="O1360" t="inlineStr">
        <is>
          <t>1981</t>
        </is>
      </c>
      <c r="Q1360" t="inlineStr">
        <is>
          <t>eng</t>
        </is>
      </c>
      <c r="R1360" t="inlineStr">
        <is>
          <t>stk</t>
        </is>
      </c>
      <c r="S1360" t="inlineStr">
        <is>
          <t>Recent advances in nursing, ISSN 0144-6592 ; 2</t>
        </is>
      </c>
      <c r="T1360" t="inlineStr">
        <is>
          <t xml:space="preserve">WY </t>
        </is>
      </c>
      <c r="U1360" t="n">
        <v>3</v>
      </c>
      <c r="V1360" t="n">
        <v>3</v>
      </c>
      <c r="W1360" t="inlineStr">
        <is>
          <t>1990-03-18</t>
        </is>
      </c>
      <c r="X1360" t="inlineStr">
        <is>
          <t>1990-03-18</t>
        </is>
      </c>
      <c r="Y1360" t="inlineStr">
        <is>
          <t>1987-12-21</t>
        </is>
      </c>
      <c r="Z1360" t="inlineStr">
        <is>
          <t>1987-12-21</t>
        </is>
      </c>
      <c r="AA1360" t="n">
        <v>148</v>
      </c>
      <c r="AB1360" t="n">
        <v>80</v>
      </c>
      <c r="AC1360" t="n">
        <v>80</v>
      </c>
      <c r="AD1360" t="n">
        <v>1</v>
      </c>
      <c r="AE1360" t="n">
        <v>1</v>
      </c>
      <c r="AF1360" t="n">
        <v>1</v>
      </c>
      <c r="AG1360" t="n">
        <v>1</v>
      </c>
      <c r="AH1360" t="n">
        <v>0</v>
      </c>
      <c r="AI1360" t="n">
        <v>0</v>
      </c>
      <c r="AJ1360" t="n">
        <v>0</v>
      </c>
      <c r="AK1360" t="n">
        <v>0</v>
      </c>
      <c r="AL1360" t="n">
        <v>1</v>
      </c>
      <c r="AM1360" t="n">
        <v>1</v>
      </c>
      <c r="AN1360" t="n">
        <v>0</v>
      </c>
      <c r="AO1360" t="n">
        <v>0</v>
      </c>
      <c r="AP1360" t="n">
        <v>0</v>
      </c>
      <c r="AQ1360" t="n">
        <v>0</v>
      </c>
      <c r="AR1360" t="inlineStr">
        <is>
          <t>No</t>
        </is>
      </c>
      <c r="AS1360" t="inlineStr">
        <is>
          <t>No</t>
        </is>
      </c>
      <c r="AU1360">
        <f>HYPERLINK("https://creighton-primo.hosted.exlibrisgroup.com/primo-explore/search?tab=default_tab&amp;search_scope=EVERYTHING&amp;vid=01CRU&amp;lang=en_US&amp;offset=0&amp;query=any,contains,991000863879702656","Catalog Record")</f>
        <v/>
      </c>
      <c r="AV1360">
        <f>HYPERLINK("http://www.worldcat.org/oclc/7552268","WorldCat Record")</f>
        <v/>
      </c>
      <c r="AW1360" t="inlineStr">
        <is>
          <t>482369:eng</t>
        </is>
      </c>
      <c r="AX1360" t="inlineStr">
        <is>
          <t>7552268</t>
        </is>
      </c>
      <c r="AY1360" t="inlineStr">
        <is>
          <t>991000863879702656</t>
        </is>
      </c>
      <c r="AZ1360" t="inlineStr">
        <is>
          <t>991000863879702656</t>
        </is>
      </c>
      <c r="BA1360" t="inlineStr">
        <is>
          <t>2255949380002656</t>
        </is>
      </c>
      <c r="BB1360" t="inlineStr">
        <is>
          <t>BOOK</t>
        </is>
      </c>
      <c r="BD1360" t="inlineStr">
        <is>
          <t>9780443021879</t>
        </is>
      </c>
      <c r="BE1360" t="inlineStr">
        <is>
          <t>30001000143745</t>
        </is>
      </c>
      <c r="BF1360" t="inlineStr">
        <is>
          <t>893450564</t>
        </is>
      </c>
    </row>
    <row r="1361">
      <c r="A1361" t="inlineStr">
        <is>
          <t>No</t>
        </is>
      </c>
      <c r="B1361" t="inlineStr">
        <is>
          <t>CUHSL</t>
        </is>
      </c>
      <c r="C1361" t="inlineStr">
        <is>
          <t>SHELVES</t>
        </is>
      </c>
      <c r="D1361" t="inlineStr">
        <is>
          <t>WY 152 C277 1972</t>
        </is>
      </c>
      <c r="E1361" t="inlineStr">
        <is>
          <t>0                      WY 0152000C  277         1972</t>
        </is>
      </c>
      <c r="F1361" t="inlineStr">
        <is>
          <t>Caring for and caring about elderly people : a guide to the rehabilitative approach / Editor: Janet M. Long.</t>
        </is>
      </c>
      <c r="H1361" t="inlineStr">
        <is>
          <t>No</t>
        </is>
      </c>
      <c r="I1361" t="inlineStr">
        <is>
          <t>1</t>
        </is>
      </c>
      <c r="J1361" t="inlineStr">
        <is>
          <t>No</t>
        </is>
      </c>
      <c r="K1361" t="inlineStr">
        <is>
          <t>No</t>
        </is>
      </c>
      <c r="L1361" t="inlineStr">
        <is>
          <t>0</t>
        </is>
      </c>
      <c r="N1361" t="inlineStr">
        <is>
          <t>Rochester, N.Y. : Rochester Regional Medical Program and the Univ. of Rochester School of Nursing, 1972.</t>
        </is>
      </c>
      <c r="O1361" t="inlineStr">
        <is>
          <t>1972</t>
        </is>
      </c>
      <c r="P1361" t="inlineStr">
        <is>
          <t>[1st ed.</t>
        </is>
      </c>
      <c r="Q1361" t="inlineStr">
        <is>
          <t>eng</t>
        </is>
      </c>
      <c r="R1361" t="inlineStr">
        <is>
          <t xml:space="preserve">xx </t>
        </is>
      </c>
      <c r="T1361" t="inlineStr">
        <is>
          <t xml:space="preserve">WY </t>
        </is>
      </c>
      <c r="U1361" t="n">
        <v>1</v>
      </c>
      <c r="V1361" t="n">
        <v>1</v>
      </c>
      <c r="W1361" t="inlineStr">
        <is>
          <t>1992-08-31</t>
        </is>
      </c>
      <c r="X1361" t="inlineStr">
        <is>
          <t>1992-08-31</t>
        </is>
      </c>
      <c r="Y1361" t="inlineStr">
        <is>
          <t>1992-08-31</t>
        </is>
      </c>
      <c r="Z1361" t="inlineStr">
        <is>
          <t>1992-08-31</t>
        </is>
      </c>
      <c r="AA1361" t="n">
        <v>39</v>
      </c>
      <c r="AB1361" t="n">
        <v>24</v>
      </c>
      <c r="AC1361" t="n">
        <v>24</v>
      </c>
      <c r="AD1361" t="n">
        <v>1</v>
      </c>
      <c r="AE1361" t="n">
        <v>1</v>
      </c>
      <c r="AF1361" t="n">
        <v>1</v>
      </c>
      <c r="AG1361" t="n">
        <v>1</v>
      </c>
      <c r="AH1361" t="n">
        <v>0</v>
      </c>
      <c r="AI1361" t="n">
        <v>0</v>
      </c>
      <c r="AJ1361" t="n">
        <v>0</v>
      </c>
      <c r="AK1361" t="n">
        <v>0</v>
      </c>
      <c r="AL1361" t="n">
        <v>1</v>
      </c>
      <c r="AM1361" t="n">
        <v>1</v>
      </c>
      <c r="AN1361" t="n">
        <v>0</v>
      </c>
      <c r="AO1361" t="n">
        <v>0</v>
      </c>
      <c r="AP1361" t="n">
        <v>0</v>
      </c>
      <c r="AQ1361" t="n">
        <v>0</v>
      </c>
      <c r="AR1361" t="inlineStr">
        <is>
          <t>No</t>
        </is>
      </c>
      <c r="AS1361" t="inlineStr">
        <is>
          <t>No</t>
        </is>
      </c>
      <c r="AU1361">
        <f>HYPERLINK("https://creighton-primo.hosted.exlibrisgroup.com/primo-explore/search?tab=default_tab&amp;search_scope=EVERYTHING&amp;vid=01CRU&amp;lang=en_US&amp;offset=0&amp;query=any,contains,991001339299702656","Catalog Record")</f>
        <v/>
      </c>
      <c r="AV1361">
        <f>HYPERLINK("http://www.worldcat.org/oclc/14427755","WorldCat Record")</f>
        <v/>
      </c>
      <c r="AW1361" t="inlineStr">
        <is>
          <t>4020069053:eng</t>
        </is>
      </c>
      <c r="AX1361" t="inlineStr">
        <is>
          <t>14427755</t>
        </is>
      </c>
      <c r="AY1361" t="inlineStr">
        <is>
          <t>991001339299702656</t>
        </is>
      </c>
      <c r="AZ1361" t="inlineStr">
        <is>
          <t>991001339299702656</t>
        </is>
      </c>
      <c r="BA1361" t="inlineStr">
        <is>
          <t>2265507970002656</t>
        </is>
      </c>
      <c r="BB1361" t="inlineStr">
        <is>
          <t>BOOK</t>
        </is>
      </c>
      <c r="BE1361" t="inlineStr">
        <is>
          <t>30001002455097</t>
        </is>
      </c>
      <c r="BF1361" t="inlineStr">
        <is>
          <t>893284708</t>
        </is>
      </c>
    </row>
    <row r="1362">
      <c r="A1362" t="inlineStr">
        <is>
          <t>No</t>
        </is>
      </c>
      <c r="B1362" t="inlineStr">
        <is>
          <t>CUHSL</t>
        </is>
      </c>
      <c r="C1362" t="inlineStr">
        <is>
          <t>SHELVES</t>
        </is>
      </c>
      <c r="D1362" t="inlineStr">
        <is>
          <t>WY 152 C27723 1990</t>
        </is>
      </c>
      <c r="E1362" t="inlineStr">
        <is>
          <t>0                      WY 0152000C  27723       1990</t>
        </is>
      </c>
      <c r="F1362" t="inlineStr">
        <is>
          <t>Caring for the elderly in diverse care settings / [edited by] Charlotte Eliopoulos.</t>
        </is>
      </c>
      <c r="H1362" t="inlineStr">
        <is>
          <t>No</t>
        </is>
      </c>
      <c r="I1362" t="inlineStr">
        <is>
          <t>1</t>
        </is>
      </c>
      <c r="J1362" t="inlineStr">
        <is>
          <t>No</t>
        </is>
      </c>
      <c r="K1362" t="inlineStr">
        <is>
          <t>No</t>
        </is>
      </c>
      <c r="L1362" t="inlineStr">
        <is>
          <t>0</t>
        </is>
      </c>
      <c r="N1362" t="inlineStr">
        <is>
          <t>Philadelphia : Lippincott, c1990.</t>
        </is>
      </c>
      <c r="O1362" t="inlineStr">
        <is>
          <t>1990</t>
        </is>
      </c>
      <c r="Q1362" t="inlineStr">
        <is>
          <t>eng</t>
        </is>
      </c>
      <c r="R1362" t="inlineStr">
        <is>
          <t>pau</t>
        </is>
      </c>
      <c r="T1362" t="inlineStr">
        <is>
          <t xml:space="preserve">WY </t>
        </is>
      </c>
      <c r="U1362" t="n">
        <v>6</v>
      </c>
      <c r="V1362" t="n">
        <v>6</v>
      </c>
      <c r="W1362" t="inlineStr">
        <is>
          <t>1993-11-14</t>
        </is>
      </c>
      <c r="X1362" t="inlineStr">
        <is>
          <t>1993-11-14</t>
        </is>
      </c>
      <c r="Y1362" t="inlineStr">
        <is>
          <t>1993-03-26</t>
        </is>
      </c>
      <c r="Z1362" t="inlineStr">
        <is>
          <t>1993-03-26</t>
        </is>
      </c>
      <c r="AA1362" t="n">
        <v>360</v>
      </c>
      <c r="AB1362" t="n">
        <v>271</v>
      </c>
      <c r="AC1362" t="n">
        <v>280</v>
      </c>
      <c r="AD1362" t="n">
        <v>1</v>
      </c>
      <c r="AE1362" t="n">
        <v>1</v>
      </c>
      <c r="AF1362" t="n">
        <v>9</v>
      </c>
      <c r="AG1362" t="n">
        <v>9</v>
      </c>
      <c r="AH1362" t="n">
        <v>4</v>
      </c>
      <c r="AI1362" t="n">
        <v>4</v>
      </c>
      <c r="AJ1362" t="n">
        <v>2</v>
      </c>
      <c r="AK1362" t="n">
        <v>2</v>
      </c>
      <c r="AL1362" t="n">
        <v>7</v>
      </c>
      <c r="AM1362" t="n">
        <v>7</v>
      </c>
      <c r="AN1362" t="n">
        <v>0</v>
      </c>
      <c r="AO1362" t="n">
        <v>0</v>
      </c>
      <c r="AP1362" t="n">
        <v>0</v>
      </c>
      <c r="AQ1362" t="n">
        <v>0</v>
      </c>
      <c r="AR1362" t="inlineStr">
        <is>
          <t>No</t>
        </is>
      </c>
      <c r="AS1362" t="inlineStr">
        <is>
          <t>Yes</t>
        </is>
      </c>
      <c r="AT1362">
        <f>HYPERLINK("http://catalog.hathitrust.org/Record/002237843","HathiTrust Record")</f>
        <v/>
      </c>
      <c r="AU1362">
        <f>HYPERLINK("https://creighton-primo.hosted.exlibrisgroup.com/primo-explore/search?tab=default_tab&amp;search_scope=EVERYTHING&amp;vid=01CRU&amp;lang=en_US&amp;offset=0&amp;query=any,contains,991001472449702656","Catalog Record")</f>
        <v/>
      </c>
      <c r="AV1362">
        <f>HYPERLINK("http://www.worldcat.org/oclc/20167883","WorldCat Record")</f>
        <v/>
      </c>
      <c r="AW1362" t="inlineStr">
        <is>
          <t>21388633:eng</t>
        </is>
      </c>
      <c r="AX1362" t="inlineStr">
        <is>
          <t>20167883</t>
        </is>
      </c>
      <c r="AY1362" t="inlineStr">
        <is>
          <t>991001472449702656</t>
        </is>
      </c>
      <c r="AZ1362" t="inlineStr">
        <is>
          <t>991001472449702656</t>
        </is>
      </c>
      <c r="BA1362" t="inlineStr">
        <is>
          <t>2270447850002656</t>
        </is>
      </c>
      <c r="BB1362" t="inlineStr">
        <is>
          <t>BOOK</t>
        </is>
      </c>
      <c r="BD1362" t="inlineStr">
        <is>
          <t>9780397546718</t>
        </is>
      </c>
      <c r="BE1362" t="inlineStr">
        <is>
          <t>30001002563254</t>
        </is>
      </c>
      <c r="BF1362" t="inlineStr">
        <is>
          <t>893460622</t>
        </is>
      </c>
    </row>
    <row r="1363">
      <c r="A1363" t="inlineStr">
        <is>
          <t>No</t>
        </is>
      </c>
      <c r="B1363" t="inlineStr">
        <is>
          <t>CUHSL</t>
        </is>
      </c>
      <c r="C1363" t="inlineStr">
        <is>
          <t>SHELVES</t>
        </is>
      </c>
      <c r="D1363" t="inlineStr">
        <is>
          <t>WY 152 C293p 1981</t>
        </is>
      </c>
      <c r="E1363" t="inlineStr">
        <is>
          <t>0                      WY 0152000C  293p        1981</t>
        </is>
      </c>
      <c r="F1363" t="inlineStr">
        <is>
          <t>Physical assessment of the gerontologic client / Rosine Carotenuto, John Bullock.</t>
        </is>
      </c>
      <c r="H1363" t="inlineStr">
        <is>
          <t>No</t>
        </is>
      </c>
      <c r="I1363" t="inlineStr">
        <is>
          <t>1</t>
        </is>
      </c>
      <c r="J1363" t="inlineStr">
        <is>
          <t>No</t>
        </is>
      </c>
      <c r="K1363" t="inlineStr">
        <is>
          <t>No</t>
        </is>
      </c>
      <c r="L1363" t="inlineStr">
        <is>
          <t>0</t>
        </is>
      </c>
      <c r="M1363" t="inlineStr">
        <is>
          <t>Carotenuto, Rosine.</t>
        </is>
      </c>
      <c r="N1363" t="inlineStr">
        <is>
          <t>Philadelphia : Davis, c1981.</t>
        </is>
      </c>
      <c r="O1363" t="inlineStr">
        <is>
          <t>1981</t>
        </is>
      </c>
      <c r="Q1363" t="inlineStr">
        <is>
          <t>eng</t>
        </is>
      </c>
      <c r="R1363" t="inlineStr">
        <is>
          <t>xxu</t>
        </is>
      </c>
      <c r="T1363" t="inlineStr">
        <is>
          <t xml:space="preserve">WY </t>
        </is>
      </c>
      <c r="U1363" t="n">
        <v>2</v>
      </c>
      <c r="V1363" t="n">
        <v>2</v>
      </c>
      <c r="W1363" t="inlineStr">
        <is>
          <t>1997-08-22</t>
        </is>
      </c>
      <c r="X1363" t="inlineStr">
        <is>
          <t>1997-08-22</t>
        </is>
      </c>
      <c r="Y1363" t="inlineStr">
        <is>
          <t>1987-12-21</t>
        </is>
      </c>
      <c r="Z1363" t="inlineStr">
        <is>
          <t>1987-12-21</t>
        </is>
      </c>
      <c r="AA1363" t="n">
        <v>222</v>
      </c>
      <c r="AB1363" t="n">
        <v>199</v>
      </c>
      <c r="AC1363" t="n">
        <v>215</v>
      </c>
      <c r="AD1363" t="n">
        <v>3</v>
      </c>
      <c r="AE1363" t="n">
        <v>3</v>
      </c>
      <c r="AF1363" t="n">
        <v>10</v>
      </c>
      <c r="AG1363" t="n">
        <v>10</v>
      </c>
      <c r="AH1363" t="n">
        <v>4</v>
      </c>
      <c r="AI1363" t="n">
        <v>4</v>
      </c>
      <c r="AJ1363" t="n">
        <v>3</v>
      </c>
      <c r="AK1363" t="n">
        <v>3</v>
      </c>
      <c r="AL1363" t="n">
        <v>3</v>
      </c>
      <c r="AM1363" t="n">
        <v>3</v>
      </c>
      <c r="AN1363" t="n">
        <v>1</v>
      </c>
      <c r="AO1363" t="n">
        <v>1</v>
      </c>
      <c r="AP1363" t="n">
        <v>0</v>
      </c>
      <c r="AQ1363" t="n">
        <v>0</v>
      </c>
      <c r="AR1363" t="inlineStr">
        <is>
          <t>No</t>
        </is>
      </c>
      <c r="AS1363" t="inlineStr">
        <is>
          <t>No</t>
        </is>
      </c>
      <c r="AU1363">
        <f>HYPERLINK("https://creighton-primo.hosted.exlibrisgroup.com/primo-explore/search?tab=default_tab&amp;search_scope=EVERYTHING&amp;vid=01CRU&amp;lang=en_US&amp;offset=0&amp;query=any,contains,991000863959702656","Catalog Record")</f>
        <v/>
      </c>
      <c r="AV1363">
        <f>HYPERLINK("http://www.worldcat.org/oclc/6378479","WorldCat Record")</f>
        <v/>
      </c>
      <c r="AW1363" t="inlineStr">
        <is>
          <t>22316299:eng</t>
        </is>
      </c>
      <c r="AX1363" t="inlineStr">
        <is>
          <t>6378479</t>
        </is>
      </c>
      <c r="AY1363" t="inlineStr">
        <is>
          <t>991000863959702656</t>
        </is>
      </c>
      <c r="AZ1363" t="inlineStr">
        <is>
          <t>991000863959702656</t>
        </is>
      </c>
      <c r="BA1363" t="inlineStr">
        <is>
          <t>2267405540002656</t>
        </is>
      </c>
      <c r="BB1363" t="inlineStr">
        <is>
          <t>BOOK</t>
        </is>
      </c>
      <c r="BD1363" t="inlineStr">
        <is>
          <t>9780803616806</t>
        </is>
      </c>
      <c r="BE1363" t="inlineStr">
        <is>
          <t>30001000143752</t>
        </is>
      </c>
      <c r="BF1363" t="inlineStr">
        <is>
          <t>893357895</t>
        </is>
      </c>
    </row>
    <row r="1364">
      <c r="A1364" t="inlineStr">
        <is>
          <t>No</t>
        </is>
      </c>
      <c r="B1364" t="inlineStr">
        <is>
          <t>CUHSL</t>
        </is>
      </c>
      <c r="C1364" t="inlineStr">
        <is>
          <t>SHELVES</t>
        </is>
      </c>
      <c r="D1364" t="inlineStr">
        <is>
          <t>WY 152 C319n 1988</t>
        </is>
      </c>
      <c r="E1364" t="inlineStr">
        <is>
          <t>0                      WY 0152000C  319n        1988</t>
        </is>
      </c>
      <c r="F1364" t="inlineStr">
        <is>
          <t>A nurse's guide to caring for elders / Mary Carroll, L. Jane Brue.</t>
        </is>
      </c>
      <c r="H1364" t="inlineStr">
        <is>
          <t>No</t>
        </is>
      </c>
      <c r="I1364" t="inlineStr">
        <is>
          <t>1</t>
        </is>
      </c>
      <c r="J1364" t="inlineStr">
        <is>
          <t>No</t>
        </is>
      </c>
      <c r="K1364" t="inlineStr">
        <is>
          <t>No</t>
        </is>
      </c>
      <c r="L1364" t="inlineStr">
        <is>
          <t>0</t>
        </is>
      </c>
      <c r="M1364" t="inlineStr">
        <is>
          <t>Carroll, Mary, R.N.</t>
        </is>
      </c>
      <c r="N1364" t="inlineStr">
        <is>
          <t>New York : Springer Pub. Co., c1988.</t>
        </is>
      </c>
      <c r="O1364" t="inlineStr">
        <is>
          <t>1988</t>
        </is>
      </c>
      <c r="Q1364" t="inlineStr">
        <is>
          <t>eng</t>
        </is>
      </c>
      <c r="R1364" t="inlineStr">
        <is>
          <t>xxu</t>
        </is>
      </c>
      <c r="T1364" t="inlineStr">
        <is>
          <t xml:space="preserve">WY </t>
        </is>
      </c>
      <c r="U1364" t="n">
        <v>6</v>
      </c>
      <c r="V1364" t="n">
        <v>6</v>
      </c>
      <c r="W1364" t="inlineStr">
        <is>
          <t>1990-01-24</t>
        </is>
      </c>
      <c r="X1364" t="inlineStr">
        <is>
          <t>1990-01-24</t>
        </is>
      </c>
      <c r="Y1364" t="inlineStr">
        <is>
          <t>1988-04-16</t>
        </is>
      </c>
      <c r="Z1364" t="inlineStr">
        <is>
          <t>1988-04-16</t>
        </is>
      </c>
      <c r="AA1364" t="n">
        <v>269</v>
      </c>
      <c r="AB1364" t="n">
        <v>230</v>
      </c>
      <c r="AC1364" t="n">
        <v>233</v>
      </c>
      <c r="AD1364" t="n">
        <v>1</v>
      </c>
      <c r="AE1364" t="n">
        <v>1</v>
      </c>
      <c r="AF1364" t="n">
        <v>10</v>
      </c>
      <c r="AG1364" t="n">
        <v>10</v>
      </c>
      <c r="AH1364" t="n">
        <v>3</v>
      </c>
      <c r="AI1364" t="n">
        <v>3</v>
      </c>
      <c r="AJ1364" t="n">
        <v>4</v>
      </c>
      <c r="AK1364" t="n">
        <v>4</v>
      </c>
      <c r="AL1364" t="n">
        <v>5</v>
      </c>
      <c r="AM1364" t="n">
        <v>5</v>
      </c>
      <c r="AN1364" t="n">
        <v>0</v>
      </c>
      <c r="AO1364" t="n">
        <v>0</v>
      </c>
      <c r="AP1364" t="n">
        <v>0</v>
      </c>
      <c r="AQ1364" t="n">
        <v>0</v>
      </c>
      <c r="AR1364" t="inlineStr">
        <is>
          <t>No</t>
        </is>
      </c>
      <c r="AS1364" t="inlineStr">
        <is>
          <t>Yes</t>
        </is>
      </c>
      <c r="AT1364">
        <f>HYPERLINK("http://catalog.hathitrust.org/Record/000843113","HathiTrust Record")</f>
        <v/>
      </c>
      <c r="AU1364">
        <f>HYPERLINK("https://creighton-primo.hosted.exlibrisgroup.com/primo-explore/search?tab=default_tab&amp;search_scope=EVERYTHING&amp;vid=01CRU&amp;lang=en_US&amp;offset=0&amp;query=any,contains,991001186059702656","Catalog Record")</f>
        <v/>
      </c>
      <c r="AV1364">
        <f>HYPERLINK("http://www.worldcat.org/oclc/16802231","WorldCat Record")</f>
        <v/>
      </c>
      <c r="AW1364" t="inlineStr">
        <is>
          <t>967391:eng</t>
        </is>
      </c>
      <c r="AX1364" t="inlineStr">
        <is>
          <t>16802231</t>
        </is>
      </c>
      <c r="AY1364" t="inlineStr">
        <is>
          <t>991001186059702656</t>
        </is>
      </c>
      <c r="AZ1364" t="inlineStr">
        <is>
          <t>991001186059702656</t>
        </is>
      </c>
      <c r="BA1364" t="inlineStr">
        <is>
          <t>2263254750002656</t>
        </is>
      </c>
      <c r="BB1364" t="inlineStr">
        <is>
          <t>BOOK</t>
        </is>
      </c>
      <c r="BD1364" t="inlineStr">
        <is>
          <t>9780826155207</t>
        </is>
      </c>
      <c r="BE1364" t="inlineStr">
        <is>
          <t>30001000977951</t>
        </is>
      </c>
      <c r="BF1364" t="inlineStr">
        <is>
          <t>893557674</t>
        </is>
      </c>
    </row>
    <row r="1365">
      <c r="A1365" t="inlineStr">
        <is>
          <t>No</t>
        </is>
      </c>
      <c r="B1365" t="inlineStr">
        <is>
          <t>CUHSL</t>
        </is>
      </c>
      <c r="C1365" t="inlineStr">
        <is>
          <t>SHELVES</t>
        </is>
      </c>
      <c r="D1365" t="inlineStr">
        <is>
          <t>WY 152 C518c 1991</t>
        </is>
      </c>
      <c r="E1365" t="inlineStr">
        <is>
          <t>0                      WY 0152000C  518c        1991</t>
        </is>
      </c>
      <c r="F1365" t="inlineStr">
        <is>
          <t>Clinical gerontological nursing : a guide to advanced practice / W. Carole Chenitz, Joyce Takano Stone, Sally A. Salisbury.</t>
        </is>
      </c>
      <c r="H1365" t="inlineStr">
        <is>
          <t>No</t>
        </is>
      </c>
      <c r="I1365" t="inlineStr">
        <is>
          <t>1</t>
        </is>
      </c>
      <c r="J1365" t="inlineStr">
        <is>
          <t>No</t>
        </is>
      </c>
      <c r="K1365" t="inlineStr">
        <is>
          <t>Yes</t>
        </is>
      </c>
      <c r="L1365" t="inlineStr">
        <is>
          <t>0</t>
        </is>
      </c>
      <c r="M1365" t="inlineStr">
        <is>
          <t>Chenitz, W. Carole, 1946-</t>
        </is>
      </c>
      <c r="N1365" t="inlineStr">
        <is>
          <t>Philadelphia : Saunders, c1991.</t>
        </is>
      </c>
      <c r="O1365" t="inlineStr">
        <is>
          <t>1991</t>
        </is>
      </c>
      <c r="Q1365" t="inlineStr">
        <is>
          <t>eng</t>
        </is>
      </c>
      <c r="R1365" t="inlineStr">
        <is>
          <t>pau</t>
        </is>
      </c>
      <c r="T1365" t="inlineStr">
        <is>
          <t xml:space="preserve">WY </t>
        </is>
      </c>
      <c r="U1365" t="n">
        <v>12</v>
      </c>
      <c r="V1365" t="n">
        <v>12</v>
      </c>
      <c r="W1365" t="inlineStr">
        <is>
          <t>1997-05-12</t>
        </is>
      </c>
      <c r="X1365" t="inlineStr">
        <is>
          <t>1997-05-12</t>
        </is>
      </c>
      <c r="Y1365" t="inlineStr">
        <is>
          <t>1991-12-02</t>
        </is>
      </c>
      <c r="Z1365" t="inlineStr">
        <is>
          <t>1991-12-02</t>
        </is>
      </c>
      <c r="AA1365" t="n">
        <v>339</v>
      </c>
      <c r="AB1365" t="n">
        <v>263</v>
      </c>
      <c r="AC1365" t="n">
        <v>433</v>
      </c>
      <c r="AD1365" t="n">
        <v>2</v>
      </c>
      <c r="AE1365" t="n">
        <v>2</v>
      </c>
      <c r="AF1365" t="n">
        <v>9</v>
      </c>
      <c r="AG1365" t="n">
        <v>14</v>
      </c>
      <c r="AH1365" t="n">
        <v>4</v>
      </c>
      <c r="AI1365" t="n">
        <v>7</v>
      </c>
      <c r="AJ1365" t="n">
        <v>3</v>
      </c>
      <c r="AK1365" t="n">
        <v>3</v>
      </c>
      <c r="AL1365" t="n">
        <v>6</v>
      </c>
      <c r="AM1365" t="n">
        <v>8</v>
      </c>
      <c r="AN1365" t="n">
        <v>0</v>
      </c>
      <c r="AO1365" t="n">
        <v>0</v>
      </c>
      <c r="AP1365" t="n">
        <v>0</v>
      </c>
      <c r="AQ1365" t="n">
        <v>0</v>
      </c>
      <c r="AR1365" t="inlineStr">
        <is>
          <t>No</t>
        </is>
      </c>
      <c r="AS1365" t="inlineStr">
        <is>
          <t>Yes</t>
        </is>
      </c>
      <c r="AT1365">
        <f>HYPERLINK("http://catalog.hathitrust.org/Record/002238300","HathiTrust Record")</f>
        <v/>
      </c>
      <c r="AU1365">
        <f>HYPERLINK("https://creighton-primo.hosted.exlibrisgroup.com/primo-explore/search?tab=default_tab&amp;search_scope=EVERYTHING&amp;vid=01CRU&amp;lang=en_US&amp;offset=0&amp;query=any,contains,991000950179702656","Catalog Record")</f>
        <v/>
      </c>
      <c r="AV1365">
        <f>HYPERLINK("http://www.worldcat.org/oclc/21517429","WorldCat Record")</f>
        <v/>
      </c>
      <c r="AW1365" t="inlineStr">
        <is>
          <t>837061211:eng</t>
        </is>
      </c>
      <c r="AX1365" t="inlineStr">
        <is>
          <t>21517429</t>
        </is>
      </c>
      <c r="AY1365" t="inlineStr">
        <is>
          <t>991000950179702656</t>
        </is>
      </c>
      <c r="AZ1365" t="inlineStr">
        <is>
          <t>991000950179702656</t>
        </is>
      </c>
      <c r="BA1365" t="inlineStr">
        <is>
          <t>2268336160002656</t>
        </is>
      </c>
      <c r="BB1365" t="inlineStr">
        <is>
          <t>BOOK</t>
        </is>
      </c>
      <c r="BD1365" t="inlineStr">
        <is>
          <t>9780721622996</t>
        </is>
      </c>
      <c r="BE1365" t="inlineStr">
        <is>
          <t>30001002194795</t>
        </is>
      </c>
      <c r="BF1365" t="inlineStr">
        <is>
          <t>893834500</t>
        </is>
      </c>
    </row>
    <row r="1366">
      <c r="A1366" t="inlineStr">
        <is>
          <t>No</t>
        </is>
      </c>
      <c r="B1366" t="inlineStr">
        <is>
          <t>CUHSL</t>
        </is>
      </c>
      <c r="C1366" t="inlineStr">
        <is>
          <t>SHELVES</t>
        </is>
      </c>
      <c r="D1366" t="inlineStr">
        <is>
          <t>WY 152 C536 1987</t>
        </is>
      </c>
      <c r="E1366" t="inlineStr">
        <is>
          <t>0                      WY 0152000C  536         1987</t>
        </is>
      </c>
      <c r="F1366" t="inlineStr">
        <is>
          <t>Children with chronic conditions : nursing in a family and community context / edited by Marion H. Rose, Robin B. Thomas.</t>
        </is>
      </c>
      <c r="H1366" t="inlineStr">
        <is>
          <t>No</t>
        </is>
      </c>
      <c r="I1366" t="inlineStr">
        <is>
          <t>1</t>
        </is>
      </c>
      <c r="J1366" t="inlineStr">
        <is>
          <t>No</t>
        </is>
      </c>
      <c r="K1366" t="inlineStr">
        <is>
          <t>No</t>
        </is>
      </c>
      <c r="L1366" t="inlineStr">
        <is>
          <t>0</t>
        </is>
      </c>
      <c r="N1366" t="inlineStr">
        <is>
          <t>Orlando : Grune &amp; Stratton, c1987.</t>
        </is>
      </c>
      <c r="O1366" t="inlineStr">
        <is>
          <t>1987</t>
        </is>
      </c>
      <c r="Q1366" t="inlineStr">
        <is>
          <t>eng</t>
        </is>
      </c>
      <c r="R1366" t="inlineStr">
        <is>
          <t>xxu</t>
        </is>
      </c>
      <c r="T1366" t="inlineStr">
        <is>
          <t xml:space="preserve">WY </t>
        </is>
      </c>
      <c r="U1366" t="n">
        <v>2</v>
      </c>
      <c r="V1366" t="n">
        <v>2</v>
      </c>
      <c r="W1366" t="inlineStr">
        <is>
          <t>1991-11-05</t>
        </is>
      </c>
      <c r="X1366" t="inlineStr">
        <is>
          <t>1991-11-05</t>
        </is>
      </c>
      <c r="Y1366" t="inlineStr">
        <is>
          <t>1987-10-16</t>
        </is>
      </c>
      <c r="Z1366" t="inlineStr">
        <is>
          <t>1987-10-16</t>
        </is>
      </c>
      <c r="AA1366" t="n">
        <v>306</v>
      </c>
      <c r="AB1366" t="n">
        <v>245</v>
      </c>
      <c r="AC1366" t="n">
        <v>247</v>
      </c>
      <c r="AD1366" t="n">
        <v>3</v>
      </c>
      <c r="AE1366" t="n">
        <v>3</v>
      </c>
      <c r="AF1366" t="n">
        <v>12</v>
      </c>
      <c r="AG1366" t="n">
        <v>12</v>
      </c>
      <c r="AH1366" t="n">
        <v>5</v>
      </c>
      <c r="AI1366" t="n">
        <v>5</v>
      </c>
      <c r="AJ1366" t="n">
        <v>2</v>
      </c>
      <c r="AK1366" t="n">
        <v>2</v>
      </c>
      <c r="AL1366" t="n">
        <v>7</v>
      </c>
      <c r="AM1366" t="n">
        <v>7</v>
      </c>
      <c r="AN1366" t="n">
        <v>1</v>
      </c>
      <c r="AO1366" t="n">
        <v>1</v>
      </c>
      <c r="AP1366" t="n">
        <v>0</v>
      </c>
      <c r="AQ1366" t="n">
        <v>0</v>
      </c>
      <c r="AR1366" t="inlineStr">
        <is>
          <t>No</t>
        </is>
      </c>
      <c r="AS1366" t="inlineStr">
        <is>
          <t>Yes</t>
        </is>
      </c>
      <c r="AT1366">
        <f>HYPERLINK("http://catalog.hathitrust.org/Record/000812999","HathiTrust Record")</f>
        <v/>
      </c>
      <c r="AU1366">
        <f>HYPERLINK("https://creighton-primo.hosted.exlibrisgroup.com/primo-explore/search?tab=default_tab&amp;search_scope=EVERYTHING&amp;vid=01CRU&amp;lang=en_US&amp;offset=0&amp;query=any,contains,991000766039702656","Catalog Record")</f>
        <v/>
      </c>
      <c r="AV1366">
        <f>HYPERLINK("http://www.worldcat.org/oclc/15019016","WorldCat Record")</f>
        <v/>
      </c>
      <c r="AW1366" t="inlineStr">
        <is>
          <t>836700297:eng</t>
        </is>
      </c>
      <c r="AX1366" t="inlineStr">
        <is>
          <t>15019016</t>
        </is>
      </c>
      <c r="AY1366" t="inlineStr">
        <is>
          <t>991000766039702656</t>
        </is>
      </c>
      <c r="AZ1366" t="inlineStr">
        <is>
          <t>991000766039702656</t>
        </is>
      </c>
      <c r="BA1366" t="inlineStr">
        <is>
          <t>2264219210002656</t>
        </is>
      </c>
      <c r="BB1366" t="inlineStr">
        <is>
          <t>BOOK</t>
        </is>
      </c>
      <c r="BD1366" t="inlineStr">
        <is>
          <t>9780808918479</t>
        </is>
      </c>
      <c r="BE1366" t="inlineStr">
        <is>
          <t>30001000057051</t>
        </is>
      </c>
      <c r="BF1366" t="inlineStr">
        <is>
          <t>893283729</t>
        </is>
      </c>
    </row>
    <row r="1367">
      <c r="A1367" t="inlineStr">
        <is>
          <t>No</t>
        </is>
      </c>
      <c r="B1367" t="inlineStr">
        <is>
          <t>CUHSL</t>
        </is>
      </c>
      <c r="C1367" t="inlineStr">
        <is>
          <t>SHELVES</t>
        </is>
      </c>
      <c r="D1367" t="inlineStr">
        <is>
          <t>WY 152 C5576 1992</t>
        </is>
      </c>
      <c r="E1367" t="inlineStr">
        <is>
          <t>0                      WY 0152000C  5576        1992</t>
        </is>
      </c>
      <c r="F1367" t="inlineStr">
        <is>
          <t>The Chronic illness trajectory framework : the Corbin and Strauss nursing model / Pierre Woog, editor.</t>
        </is>
      </c>
      <c r="H1367" t="inlineStr">
        <is>
          <t>No</t>
        </is>
      </c>
      <c r="I1367" t="inlineStr">
        <is>
          <t>1</t>
        </is>
      </c>
      <c r="J1367" t="inlineStr">
        <is>
          <t>No</t>
        </is>
      </c>
      <c r="K1367" t="inlineStr">
        <is>
          <t>No</t>
        </is>
      </c>
      <c r="L1367" t="inlineStr">
        <is>
          <t>0</t>
        </is>
      </c>
      <c r="N1367" t="inlineStr">
        <is>
          <t>New York : Springer Pub. Co., c1992.</t>
        </is>
      </c>
      <c r="O1367" t="inlineStr">
        <is>
          <t>1992</t>
        </is>
      </c>
      <c r="Q1367" t="inlineStr">
        <is>
          <t>eng</t>
        </is>
      </c>
      <c r="R1367" t="inlineStr">
        <is>
          <t>xxu</t>
        </is>
      </c>
      <c r="T1367" t="inlineStr">
        <is>
          <t xml:space="preserve">WY </t>
        </is>
      </c>
      <c r="U1367" t="n">
        <v>6</v>
      </c>
      <c r="V1367" t="n">
        <v>6</v>
      </c>
      <c r="W1367" t="inlineStr">
        <is>
          <t>1992-05-18</t>
        </is>
      </c>
      <c r="X1367" t="inlineStr">
        <is>
          <t>1992-05-18</t>
        </is>
      </c>
      <c r="Y1367" t="inlineStr">
        <is>
          <t>1992-03-10</t>
        </is>
      </c>
      <c r="Z1367" t="inlineStr">
        <is>
          <t>1992-03-10</t>
        </is>
      </c>
      <c r="AA1367" t="n">
        <v>266</v>
      </c>
      <c r="AB1367" t="n">
        <v>220</v>
      </c>
      <c r="AC1367" t="n">
        <v>224</v>
      </c>
      <c r="AD1367" t="n">
        <v>2</v>
      </c>
      <c r="AE1367" t="n">
        <v>2</v>
      </c>
      <c r="AF1367" t="n">
        <v>16</v>
      </c>
      <c r="AG1367" t="n">
        <v>16</v>
      </c>
      <c r="AH1367" t="n">
        <v>7</v>
      </c>
      <c r="AI1367" t="n">
        <v>7</v>
      </c>
      <c r="AJ1367" t="n">
        <v>3</v>
      </c>
      <c r="AK1367" t="n">
        <v>3</v>
      </c>
      <c r="AL1367" t="n">
        <v>9</v>
      </c>
      <c r="AM1367" t="n">
        <v>9</v>
      </c>
      <c r="AN1367" t="n">
        <v>1</v>
      </c>
      <c r="AO1367" t="n">
        <v>1</v>
      </c>
      <c r="AP1367" t="n">
        <v>0</v>
      </c>
      <c r="AQ1367" t="n">
        <v>0</v>
      </c>
      <c r="AR1367" t="inlineStr">
        <is>
          <t>No</t>
        </is>
      </c>
      <c r="AS1367" t="inlineStr">
        <is>
          <t>Yes</t>
        </is>
      </c>
      <c r="AT1367">
        <f>HYPERLINK("http://catalog.hathitrust.org/Record/002624656","HathiTrust Record")</f>
        <v/>
      </c>
      <c r="AU1367">
        <f>HYPERLINK("https://creighton-primo.hosted.exlibrisgroup.com/primo-explore/search?tab=default_tab&amp;search_scope=EVERYTHING&amp;vid=01CRU&amp;lang=en_US&amp;offset=0&amp;query=any,contains,991000946589702656","Catalog Record")</f>
        <v/>
      </c>
      <c r="AV1367">
        <f>HYPERLINK("http://www.worldcat.org/oclc/24671433","WorldCat Record")</f>
        <v/>
      </c>
      <c r="AW1367" t="inlineStr">
        <is>
          <t>55519341:eng</t>
        </is>
      </c>
      <c r="AX1367" t="inlineStr">
        <is>
          <t>24671433</t>
        </is>
      </c>
      <c r="AY1367" t="inlineStr">
        <is>
          <t>991000946589702656</t>
        </is>
      </c>
      <c r="AZ1367" t="inlineStr">
        <is>
          <t>991000946589702656</t>
        </is>
      </c>
      <c r="BA1367" t="inlineStr">
        <is>
          <t>2261605120002656</t>
        </is>
      </c>
      <c r="BB1367" t="inlineStr">
        <is>
          <t>BOOK</t>
        </is>
      </c>
      <c r="BD1367" t="inlineStr">
        <is>
          <t>9780826180001</t>
        </is>
      </c>
      <c r="BE1367" t="inlineStr">
        <is>
          <t>30001002193938</t>
        </is>
      </c>
      <c r="BF1367" t="inlineStr">
        <is>
          <t>893167969</t>
        </is>
      </c>
    </row>
    <row r="1368">
      <c r="A1368" t="inlineStr">
        <is>
          <t>No</t>
        </is>
      </c>
      <c r="B1368" t="inlineStr">
        <is>
          <t>CUHSL</t>
        </is>
      </c>
      <c r="C1368" t="inlineStr">
        <is>
          <t>SHELVES</t>
        </is>
      </c>
      <c r="D1368" t="inlineStr">
        <is>
          <t>WY 152 C934 1980</t>
        </is>
      </c>
      <c r="E1368" t="inlineStr">
        <is>
          <t>0                      WY 0152000C  934         1980</t>
        </is>
      </c>
      <c r="F1368" t="inlineStr">
        <is>
          <t>Criteria for departments of nursing in long-term care settings : a guide for self-appraisal / Division of Hospital and Long-Term Care Nursing Services.</t>
        </is>
      </c>
      <c r="H1368" t="inlineStr">
        <is>
          <t>No</t>
        </is>
      </c>
      <c r="I1368" t="inlineStr">
        <is>
          <t>1</t>
        </is>
      </c>
      <c r="J1368" t="inlineStr">
        <is>
          <t>No</t>
        </is>
      </c>
      <c r="K1368" t="inlineStr">
        <is>
          <t>No</t>
        </is>
      </c>
      <c r="L1368" t="inlineStr">
        <is>
          <t>0</t>
        </is>
      </c>
      <c r="N1368" t="inlineStr">
        <is>
          <t>New York : National League for Nursing, c1980.</t>
        </is>
      </c>
      <c r="O1368" t="inlineStr">
        <is>
          <t>1980</t>
        </is>
      </c>
      <c r="Q1368" t="inlineStr">
        <is>
          <t>eng</t>
        </is>
      </c>
      <c r="R1368" t="inlineStr">
        <is>
          <t>xxu</t>
        </is>
      </c>
      <c r="S1368" t="inlineStr">
        <is>
          <t>NLN pub. no. 20-1830</t>
        </is>
      </c>
      <c r="T1368" t="inlineStr">
        <is>
          <t xml:space="preserve">WY </t>
        </is>
      </c>
      <c r="U1368" t="n">
        <v>1</v>
      </c>
      <c r="V1368" t="n">
        <v>1</v>
      </c>
      <c r="W1368" t="inlineStr">
        <is>
          <t>1990-05-10</t>
        </is>
      </c>
      <c r="X1368" t="inlineStr">
        <is>
          <t>1990-05-10</t>
        </is>
      </c>
      <c r="Y1368" t="inlineStr">
        <is>
          <t>1987-11-04</t>
        </is>
      </c>
      <c r="Z1368" t="inlineStr">
        <is>
          <t>1987-11-04</t>
        </is>
      </c>
      <c r="AA1368" t="n">
        <v>43</v>
      </c>
      <c r="AB1368" t="n">
        <v>35</v>
      </c>
      <c r="AC1368" t="n">
        <v>35</v>
      </c>
      <c r="AD1368" t="n">
        <v>1</v>
      </c>
      <c r="AE1368" t="n">
        <v>1</v>
      </c>
      <c r="AF1368" t="n">
        <v>2</v>
      </c>
      <c r="AG1368" t="n">
        <v>2</v>
      </c>
      <c r="AH1368" t="n">
        <v>0</v>
      </c>
      <c r="AI1368" t="n">
        <v>0</v>
      </c>
      <c r="AJ1368" t="n">
        <v>0</v>
      </c>
      <c r="AK1368" t="n">
        <v>0</v>
      </c>
      <c r="AL1368" t="n">
        <v>2</v>
      </c>
      <c r="AM1368" t="n">
        <v>2</v>
      </c>
      <c r="AN1368" t="n">
        <v>0</v>
      </c>
      <c r="AO1368" t="n">
        <v>0</v>
      </c>
      <c r="AP1368" t="n">
        <v>0</v>
      </c>
      <c r="AQ1368" t="n">
        <v>0</v>
      </c>
      <c r="AR1368" t="inlineStr">
        <is>
          <t>No</t>
        </is>
      </c>
      <c r="AS1368" t="inlineStr">
        <is>
          <t>No</t>
        </is>
      </c>
      <c r="AU1368">
        <f>HYPERLINK("https://creighton-primo.hosted.exlibrisgroup.com/primo-explore/search?tab=default_tab&amp;search_scope=EVERYTHING&amp;vid=01CRU&amp;lang=en_US&amp;offset=0&amp;query=any,contains,991001385209702656","Catalog Record")</f>
        <v/>
      </c>
      <c r="AV1368">
        <f>HYPERLINK("http://www.worldcat.org/oclc/7694507","WorldCat Record")</f>
        <v/>
      </c>
      <c r="AW1368" t="inlineStr">
        <is>
          <t>3861319953:eng</t>
        </is>
      </c>
      <c r="AX1368" t="inlineStr">
        <is>
          <t>7694507</t>
        </is>
      </c>
      <c r="AY1368" t="inlineStr">
        <is>
          <t>991001385209702656</t>
        </is>
      </c>
      <c r="AZ1368" t="inlineStr">
        <is>
          <t>991001385209702656</t>
        </is>
      </c>
      <c r="BA1368" t="inlineStr">
        <is>
          <t>2271846520002656</t>
        </is>
      </c>
      <c r="BB1368" t="inlineStr">
        <is>
          <t>BOOK</t>
        </is>
      </c>
      <c r="BE1368" t="inlineStr">
        <is>
          <t>30001000463614</t>
        </is>
      </c>
      <c r="BF1368" t="inlineStr">
        <is>
          <t>893832130</t>
        </is>
      </c>
    </row>
    <row r="1369">
      <c r="A1369" t="inlineStr">
        <is>
          <t>No</t>
        </is>
      </c>
      <c r="B1369" t="inlineStr">
        <is>
          <t>CUHSL</t>
        </is>
      </c>
      <c r="C1369" t="inlineStr">
        <is>
          <t>SHELVES</t>
        </is>
      </c>
      <c r="D1369" t="inlineStr">
        <is>
          <t>WY 152 C934 1992</t>
        </is>
      </c>
      <c r="E1369" t="inlineStr">
        <is>
          <t>0                      WY 0152000C  934         1992</t>
        </is>
      </c>
      <c r="F1369" t="inlineStr">
        <is>
          <t>Critical care nursing of the elderly / Terry T. Fulmer, Mary K. Walker, editors.</t>
        </is>
      </c>
      <c r="H1369" t="inlineStr">
        <is>
          <t>No</t>
        </is>
      </c>
      <c r="I1369" t="inlineStr">
        <is>
          <t>1</t>
        </is>
      </c>
      <c r="J1369" t="inlineStr">
        <is>
          <t>No</t>
        </is>
      </c>
      <c r="K1369" t="inlineStr">
        <is>
          <t>No</t>
        </is>
      </c>
      <c r="L1369" t="inlineStr">
        <is>
          <t>0</t>
        </is>
      </c>
      <c r="N1369" t="inlineStr">
        <is>
          <t>New York : Springer Pub. Co., c1992.</t>
        </is>
      </c>
      <c r="O1369" t="inlineStr">
        <is>
          <t>1992</t>
        </is>
      </c>
      <c r="Q1369" t="inlineStr">
        <is>
          <t>eng</t>
        </is>
      </c>
      <c r="R1369" t="inlineStr">
        <is>
          <t>nyu</t>
        </is>
      </c>
      <c r="S1369" t="inlineStr">
        <is>
          <t>Springer series on geriatric nursing</t>
        </is>
      </c>
      <c r="T1369" t="inlineStr">
        <is>
          <t xml:space="preserve">WY </t>
        </is>
      </c>
      <c r="U1369" t="n">
        <v>6</v>
      </c>
      <c r="V1369" t="n">
        <v>6</v>
      </c>
      <c r="W1369" t="inlineStr">
        <is>
          <t>1993-10-21</t>
        </is>
      </c>
      <c r="X1369" t="inlineStr">
        <is>
          <t>1993-10-21</t>
        </is>
      </c>
      <c r="Y1369" t="inlineStr">
        <is>
          <t>1993-06-14</t>
        </is>
      </c>
      <c r="Z1369" t="inlineStr">
        <is>
          <t>1993-06-14</t>
        </is>
      </c>
      <c r="AA1369" t="n">
        <v>324</v>
      </c>
      <c r="AB1369" t="n">
        <v>275</v>
      </c>
      <c r="AC1369" t="n">
        <v>393</v>
      </c>
      <c r="AD1369" t="n">
        <v>1</v>
      </c>
      <c r="AE1369" t="n">
        <v>1</v>
      </c>
      <c r="AF1369" t="n">
        <v>12</v>
      </c>
      <c r="AG1369" t="n">
        <v>14</v>
      </c>
      <c r="AH1369" t="n">
        <v>4</v>
      </c>
      <c r="AI1369" t="n">
        <v>5</v>
      </c>
      <c r="AJ1369" t="n">
        <v>4</v>
      </c>
      <c r="AK1369" t="n">
        <v>4</v>
      </c>
      <c r="AL1369" t="n">
        <v>7</v>
      </c>
      <c r="AM1369" t="n">
        <v>9</v>
      </c>
      <c r="AN1369" t="n">
        <v>0</v>
      </c>
      <c r="AO1369" t="n">
        <v>0</v>
      </c>
      <c r="AP1369" t="n">
        <v>0</v>
      </c>
      <c r="AQ1369" t="n">
        <v>0</v>
      </c>
      <c r="AR1369" t="inlineStr">
        <is>
          <t>No</t>
        </is>
      </c>
      <c r="AS1369" t="inlineStr">
        <is>
          <t>Yes</t>
        </is>
      </c>
      <c r="AT1369">
        <f>HYPERLINK("http://catalog.hathitrust.org/Record/002488949","HathiTrust Record")</f>
        <v/>
      </c>
      <c r="AU1369">
        <f>HYPERLINK("https://creighton-primo.hosted.exlibrisgroup.com/primo-explore/search?tab=default_tab&amp;search_scope=EVERYTHING&amp;vid=01CRU&amp;lang=en_US&amp;offset=0&amp;query=any,contains,991001479219702656","Catalog Record")</f>
        <v/>
      </c>
      <c r="AV1369">
        <f>HYPERLINK("http://www.worldcat.org/oclc/23584695","WorldCat Record")</f>
        <v/>
      </c>
      <c r="AW1369" t="inlineStr">
        <is>
          <t>364471397:eng</t>
        </is>
      </c>
      <c r="AX1369" t="inlineStr">
        <is>
          <t>23584695</t>
        </is>
      </c>
      <c r="AY1369" t="inlineStr">
        <is>
          <t>991001479219702656</t>
        </is>
      </c>
      <c r="AZ1369" t="inlineStr">
        <is>
          <t>991001479219702656</t>
        </is>
      </c>
      <c r="BA1369" t="inlineStr">
        <is>
          <t>2255282090002656</t>
        </is>
      </c>
      <c r="BB1369" t="inlineStr">
        <is>
          <t>BOOK</t>
        </is>
      </c>
      <c r="BD1369" t="inlineStr">
        <is>
          <t>9780826170507</t>
        </is>
      </c>
      <c r="BE1369" t="inlineStr">
        <is>
          <t>30001002564955</t>
        </is>
      </c>
      <c r="BF1369" t="inlineStr">
        <is>
          <t>893369421</t>
        </is>
      </c>
    </row>
    <row r="1370">
      <c r="A1370" t="inlineStr">
        <is>
          <t>No</t>
        </is>
      </c>
      <c r="B1370" t="inlineStr">
        <is>
          <t>CUHSL</t>
        </is>
      </c>
      <c r="C1370" t="inlineStr">
        <is>
          <t>SHELVES</t>
        </is>
      </c>
      <c r="D1370" t="inlineStr">
        <is>
          <t>WY 152 D582c 1983</t>
        </is>
      </c>
      <c r="E1370" t="inlineStr">
        <is>
          <t>0                      WY 0152000D  582c        1983</t>
        </is>
      </c>
      <c r="F1370" t="inlineStr">
        <is>
          <t>Chronic illness across the life span / Margaret Dimond, Susan Lynn Jones.</t>
        </is>
      </c>
      <c r="H1370" t="inlineStr">
        <is>
          <t>No</t>
        </is>
      </c>
      <c r="I1370" t="inlineStr">
        <is>
          <t>1</t>
        </is>
      </c>
      <c r="J1370" t="inlineStr">
        <is>
          <t>No</t>
        </is>
      </c>
      <c r="K1370" t="inlineStr">
        <is>
          <t>No</t>
        </is>
      </c>
      <c r="L1370" t="inlineStr">
        <is>
          <t>0</t>
        </is>
      </c>
      <c r="M1370" t="inlineStr">
        <is>
          <t>Dimond, Margaret.</t>
        </is>
      </c>
      <c r="N1370" t="inlineStr">
        <is>
          <t>Norwalk, Conn. : Appleton-Century-Crofts, c1983.</t>
        </is>
      </c>
      <c r="O1370" t="inlineStr">
        <is>
          <t>1983</t>
        </is>
      </c>
      <c r="Q1370" t="inlineStr">
        <is>
          <t>eng</t>
        </is>
      </c>
      <c r="R1370" t="inlineStr">
        <is>
          <t>xxu</t>
        </is>
      </c>
      <c r="T1370" t="inlineStr">
        <is>
          <t xml:space="preserve">WY </t>
        </is>
      </c>
      <c r="U1370" t="n">
        <v>8</v>
      </c>
      <c r="V1370" t="n">
        <v>8</v>
      </c>
      <c r="W1370" t="inlineStr">
        <is>
          <t>1991-12-20</t>
        </is>
      </c>
      <c r="X1370" t="inlineStr">
        <is>
          <t>1991-12-20</t>
        </is>
      </c>
      <c r="Y1370" t="inlineStr">
        <is>
          <t>1987-12-21</t>
        </is>
      </c>
      <c r="Z1370" t="inlineStr">
        <is>
          <t>1987-12-21</t>
        </is>
      </c>
      <c r="AA1370" t="n">
        <v>276</v>
      </c>
      <c r="AB1370" t="n">
        <v>226</v>
      </c>
      <c r="AC1370" t="n">
        <v>228</v>
      </c>
      <c r="AD1370" t="n">
        <v>2</v>
      </c>
      <c r="AE1370" t="n">
        <v>2</v>
      </c>
      <c r="AF1370" t="n">
        <v>5</v>
      </c>
      <c r="AG1370" t="n">
        <v>5</v>
      </c>
      <c r="AH1370" t="n">
        <v>2</v>
      </c>
      <c r="AI1370" t="n">
        <v>2</v>
      </c>
      <c r="AJ1370" t="n">
        <v>0</v>
      </c>
      <c r="AK1370" t="n">
        <v>0</v>
      </c>
      <c r="AL1370" t="n">
        <v>2</v>
      </c>
      <c r="AM1370" t="n">
        <v>2</v>
      </c>
      <c r="AN1370" t="n">
        <v>1</v>
      </c>
      <c r="AO1370" t="n">
        <v>1</v>
      </c>
      <c r="AP1370" t="n">
        <v>0</v>
      </c>
      <c r="AQ1370" t="n">
        <v>0</v>
      </c>
      <c r="AR1370" t="inlineStr">
        <is>
          <t>No</t>
        </is>
      </c>
      <c r="AS1370" t="inlineStr">
        <is>
          <t>Yes</t>
        </is>
      </c>
      <c r="AT1370">
        <f>HYPERLINK("http://catalog.hathitrust.org/Record/000784868","HathiTrust Record")</f>
        <v/>
      </c>
      <c r="AU1370">
        <f>HYPERLINK("https://creighton-primo.hosted.exlibrisgroup.com/primo-explore/search?tab=default_tab&amp;search_scope=EVERYTHING&amp;vid=01CRU&amp;lang=en_US&amp;offset=0&amp;query=any,contains,991000864019702656","Catalog Record")</f>
        <v/>
      </c>
      <c r="AV1370">
        <f>HYPERLINK("http://www.worldcat.org/oclc/8590597","WorldCat Record")</f>
        <v/>
      </c>
      <c r="AW1370" t="inlineStr">
        <is>
          <t>43005051:eng</t>
        </is>
      </c>
      <c r="AX1370" t="inlineStr">
        <is>
          <t>8590597</t>
        </is>
      </c>
      <c r="AY1370" t="inlineStr">
        <is>
          <t>991000864019702656</t>
        </is>
      </c>
      <c r="AZ1370" t="inlineStr">
        <is>
          <t>991000864019702656</t>
        </is>
      </c>
      <c r="BA1370" t="inlineStr">
        <is>
          <t>2255326820002656</t>
        </is>
      </c>
      <c r="BB1370" t="inlineStr">
        <is>
          <t>BOOK</t>
        </is>
      </c>
      <c r="BD1370" t="inlineStr">
        <is>
          <t>9780838511220</t>
        </is>
      </c>
      <c r="BE1370" t="inlineStr">
        <is>
          <t>30001000143786</t>
        </is>
      </c>
      <c r="BF1370" t="inlineStr">
        <is>
          <t>893820677</t>
        </is>
      </c>
    </row>
    <row r="1371">
      <c r="A1371" t="inlineStr">
        <is>
          <t>No</t>
        </is>
      </c>
      <c r="B1371" t="inlineStr">
        <is>
          <t>CUHSL</t>
        </is>
      </c>
      <c r="C1371" t="inlineStr">
        <is>
          <t>SHELVES</t>
        </is>
      </c>
      <c r="D1371" t="inlineStr">
        <is>
          <t>WY152 E13g 1999</t>
        </is>
      </c>
      <c r="E1371" t="inlineStr">
        <is>
          <t>0                      WY 0152000E  13g         1999</t>
        </is>
      </c>
      <c r="F1371" t="inlineStr">
        <is>
          <t>Gerontological rehabilitation nursing / Kristen L. Easton.</t>
        </is>
      </c>
      <c r="H1371" t="inlineStr">
        <is>
          <t>No</t>
        </is>
      </c>
      <c r="I1371" t="inlineStr">
        <is>
          <t>1</t>
        </is>
      </c>
      <c r="J1371" t="inlineStr">
        <is>
          <t>No</t>
        </is>
      </c>
      <c r="K1371" t="inlineStr">
        <is>
          <t>No</t>
        </is>
      </c>
      <c r="L1371" t="inlineStr">
        <is>
          <t>0</t>
        </is>
      </c>
      <c r="M1371" t="inlineStr">
        <is>
          <t>Easton, Kristen L.</t>
        </is>
      </c>
      <c r="N1371" t="inlineStr">
        <is>
          <t>Philadelphia : Saunders, c1999.</t>
        </is>
      </c>
      <c r="O1371" t="inlineStr">
        <is>
          <t>1999</t>
        </is>
      </c>
      <c r="Q1371" t="inlineStr">
        <is>
          <t>eng</t>
        </is>
      </c>
      <c r="R1371" t="inlineStr">
        <is>
          <t>pau</t>
        </is>
      </c>
      <c r="T1371" t="inlineStr">
        <is>
          <t xml:space="preserve">WY </t>
        </is>
      </c>
      <c r="U1371" t="n">
        <v>0</v>
      </c>
      <c r="V1371" t="n">
        <v>0</v>
      </c>
      <c r="W1371" t="inlineStr">
        <is>
          <t>2002-10-17</t>
        </is>
      </c>
      <c r="X1371" t="inlineStr">
        <is>
          <t>2002-10-17</t>
        </is>
      </c>
      <c r="Y1371" t="inlineStr">
        <is>
          <t>2002-06-27</t>
        </is>
      </c>
      <c r="Z1371" t="inlineStr">
        <is>
          <t>2002-06-27</t>
        </is>
      </c>
      <c r="AA1371" t="n">
        <v>325</v>
      </c>
      <c r="AB1371" t="n">
        <v>249</v>
      </c>
      <c r="AC1371" t="n">
        <v>250</v>
      </c>
      <c r="AD1371" t="n">
        <v>1</v>
      </c>
      <c r="AE1371" t="n">
        <v>1</v>
      </c>
      <c r="AF1371" t="n">
        <v>14</v>
      </c>
      <c r="AG1371" t="n">
        <v>14</v>
      </c>
      <c r="AH1371" t="n">
        <v>8</v>
      </c>
      <c r="AI1371" t="n">
        <v>8</v>
      </c>
      <c r="AJ1371" t="n">
        <v>2</v>
      </c>
      <c r="AK1371" t="n">
        <v>2</v>
      </c>
      <c r="AL1371" t="n">
        <v>7</v>
      </c>
      <c r="AM1371" t="n">
        <v>7</v>
      </c>
      <c r="AN1371" t="n">
        <v>0</v>
      </c>
      <c r="AO1371" t="n">
        <v>0</v>
      </c>
      <c r="AP1371" t="n">
        <v>0</v>
      </c>
      <c r="AQ1371" t="n">
        <v>0</v>
      </c>
      <c r="AR1371" t="inlineStr">
        <is>
          <t>No</t>
        </is>
      </c>
      <c r="AS1371" t="inlineStr">
        <is>
          <t>Yes</t>
        </is>
      </c>
      <c r="AT1371">
        <f>HYPERLINK("http://catalog.hathitrust.org/Record/004052169","HathiTrust Record")</f>
        <v/>
      </c>
      <c r="AU1371">
        <f>HYPERLINK("https://creighton-primo.hosted.exlibrisgroup.com/primo-explore/search?tab=default_tab&amp;search_scope=EVERYTHING&amp;vid=01CRU&amp;lang=en_US&amp;offset=0&amp;query=any,contains,991000319019702656","Catalog Record")</f>
        <v/>
      </c>
      <c r="AV1371">
        <f>HYPERLINK("http://www.worldcat.org/oclc/39811643","WorldCat Record")</f>
        <v/>
      </c>
      <c r="AW1371" t="inlineStr">
        <is>
          <t>2707900:eng</t>
        </is>
      </c>
      <c r="AX1371" t="inlineStr">
        <is>
          <t>39811643</t>
        </is>
      </c>
      <c r="AY1371" t="inlineStr">
        <is>
          <t>991000319019702656</t>
        </is>
      </c>
      <c r="AZ1371" t="inlineStr">
        <is>
          <t>991000319019702656</t>
        </is>
      </c>
      <c r="BA1371" t="inlineStr">
        <is>
          <t>2269963880002656</t>
        </is>
      </c>
      <c r="BB1371" t="inlineStr">
        <is>
          <t>BOOK</t>
        </is>
      </c>
      <c r="BD1371" t="inlineStr">
        <is>
          <t>9780721663449</t>
        </is>
      </c>
      <c r="BE1371" t="inlineStr">
        <is>
          <t>30001004239762</t>
        </is>
      </c>
      <c r="BF1371" t="inlineStr">
        <is>
          <t>893537056</t>
        </is>
      </c>
    </row>
    <row r="1372">
      <c r="A1372" t="inlineStr">
        <is>
          <t>No</t>
        </is>
      </c>
      <c r="B1372" t="inlineStr">
        <is>
          <t>CUHSL</t>
        </is>
      </c>
      <c r="C1372" t="inlineStr">
        <is>
          <t>SHELVES</t>
        </is>
      </c>
      <c r="D1372" t="inlineStr">
        <is>
          <t>WY152 E16g 2001</t>
        </is>
      </c>
      <c r="E1372" t="inlineStr">
        <is>
          <t>0                      WY 0152000E  16g         2001</t>
        </is>
      </c>
      <c r="F1372" t="inlineStr">
        <is>
          <t>Geriatric nursing &amp; healthy aging / Priscilla Ebersole, Patricia Hess.</t>
        </is>
      </c>
      <c r="H1372" t="inlineStr">
        <is>
          <t>No</t>
        </is>
      </c>
      <c r="I1372" t="inlineStr">
        <is>
          <t>1</t>
        </is>
      </c>
      <c r="J1372" t="inlineStr">
        <is>
          <t>No</t>
        </is>
      </c>
      <c r="K1372" t="inlineStr">
        <is>
          <t>No</t>
        </is>
      </c>
      <c r="L1372" t="inlineStr">
        <is>
          <t>0</t>
        </is>
      </c>
      <c r="M1372" t="inlineStr">
        <is>
          <t>Ebersole, Priscilla.</t>
        </is>
      </c>
      <c r="N1372" t="inlineStr">
        <is>
          <t>St. Louis ; London : Mosby, 2001.</t>
        </is>
      </c>
      <c r="O1372" t="inlineStr">
        <is>
          <t>2001</t>
        </is>
      </c>
      <c r="P1372" t="inlineStr">
        <is>
          <t>1st ed.</t>
        </is>
      </c>
      <c r="Q1372" t="inlineStr">
        <is>
          <t>eng</t>
        </is>
      </c>
      <c r="R1372" t="inlineStr">
        <is>
          <t>cau</t>
        </is>
      </c>
      <c r="T1372" t="inlineStr">
        <is>
          <t xml:space="preserve">WY </t>
        </is>
      </c>
      <c r="U1372" t="n">
        <v>2</v>
      </c>
      <c r="V1372" t="n">
        <v>2</v>
      </c>
      <c r="W1372" t="inlineStr">
        <is>
          <t>2002-11-21</t>
        </is>
      </c>
      <c r="X1372" t="inlineStr">
        <is>
          <t>2002-11-21</t>
        </is>
      </c>
      <c r="Y1372" t="inlineStr">
        <is>
          <t>2002-06-27</t>
        </is>
      </c>
      <c r="Z1372" t="inlineStr">
        <is>
          <t>2002-06-27</t>
        </is>
      </c>
      <c r="AA1372" t="n">
        <v>354</v>
      </c>
      <c r="AB1372" t="n">
        <v>261</v>
      </c>
      <c r="AC1372" t="n">
        <v>269</v>
      </c>
      <c r="AD1372" t="n">
        <v>2</v>
      </c>
      <c r="AE1372" t="n">
        <v>2</v>
      </c>
      <c r="AF1372" t="n">
        <v>9</v>
      </c>
      <c r="AG1372" t="n">
        <v>9</v>
      </c>
      <c r="AH1372" t="n">
        <v>4</v>
      </c>
      <c r="AI1372" t="n">
        <v>4</v>
      </c>
      <c r="AJ1372" t="n">
        <v>1</v>
      </c>
      <c r="AK1372" t="n">
        <v>1</v>
      </c>
      <c r="AL1372" t="n">
        <v>5</v>
      </c>
      <c r="AM1372" t="n">
        <v>5</v>
      </c>
      <c r="AN1372" t="n">
        <v>0</v>
      </c>
      <c r="AO1372" t="n">
        <v>0</v>
      </c>
      <c r="AP1372" t="n">
        <v>0</v>
      </c>
      <c r="AQ1372" t="n">
        <v>0</v>
      </c>
      <c r="AR1372" t="inlineStr">
        <is>
          <t>No</t>
        </is>
      </c>
      <c r="AS1372" t="inlineStr">
        <is>
          <t>Yes</t>
        </is>
      </c>
      <c r="AT1372">
        <f>HYPERLINK("http://catalog.hathitrust.org/Record/004134830","HathiTrust Record")</f>
        <v/>
      </c>
      <c r="AU1372">
        <f>HYPERLINK("https://creighton-primo.hosted.exlibrisgroup.com/primo-explore/search?tab=default_tab&amp;search_scope=EVERYTHING&amp;vid=01CRU&amp;lang=en_US&amp;offset=0&amp;query=any,contains,991000318909702656","Catalog Record")</f>
        <v/>
      </c>
      <c r="AV1372">
        <f>HYPERLINK("http://www.worldcat.org/oclc/47027874","WorldCat Record")</f>
        <v/>
      </c>
      <c r="AW1372" t="inlineStr">
        <is>
          <t>46889923:eng</t>
        </is>
      </c>
      <c r="AX1372" t="inlineStr">
        <is>
          <t>47027874</t>
        </is>
      </c>
      <c r="AY1372" t="inlineStr">
        <is>
          <t>991000318909702656</t>
        </is>
      </c>
      <c r="AZ1372" t="inlineStr">
        <is>
          <t>991000318909702656</t>
        </is>
      </c>
      <c r="BA1372" t="inlineStr">
        <is>
          <t>2259688450002656</t>
        </is>
      </c>
      <c r="BB1372" t="inlineStr">
        <is>
          <t>BOOK</t>
        </is>
      </c>
      <c r="BD1372" t="inlineStr">
        <is>
          <t>9780323010627</t>
        </is>
      </c>
      <c r="BE1372" t="inlineStr">
        <is>
          <t>30001004239713</t>
        </is>
      </c>
      <c r="BF1372" t="inlineStr">
        <is>
          <t>893264116</t>
        </is>
      </c>
    </row>
    <row r="1373">
      <c r="A1373" t="inlineStr">
        <is>
          <t>No</t>
        </is>
      </c>
      <c r="B1373" t="inlineStr">
        <is>
          <t>CUHSL</t>
        </is>
      </c>
      <c r="C1373" t="inlineStr">
        <is>
          <t>SHELVES</t>
        </is>
      </c>
      <c r="D1373" t="inlineStr">
        <is>
          <t>WY 152 E16g 2005</t>
        </is>
      </c>
      <c r="E1373" t="inlineStr">
        <is>
          <t>0                      WY 0152000E  16g         2005</t>
        </is>
      </c>
      <c r="F1373" t="inlineStr">
        <is>
          <t>Gerontological nursing &amp; healthy aging / Priscilla Ebersole ... [et al.].</t>
        </is>
      </c>
      <c r="H1373" t="inlineStr">
        <is>
          <t>No</t>
        </is>
      </c>
      <c r="I1373" t="inlineStr">
        <is>
          <t>1</t>
        </is>
      </c>
      <c r="J1373" t="inlineStr">
        <is>
          <t>No</t>
        </is>
      </c>
      <c r="K1373" t="inlineStr">
        <is>
          <t>No</t>
        </is>
      </c>
      <c r="L1373" t="inlineStr">
        <is>
          <t>0</t>
        </is>
      </c>
      <c r="N1373" t="inlineStr">
        <is>
          <t>St. Louis, Mo. : Elsevier Mosby, c2005.</t>
        </is>
      </c>
      <c r="O1373" t="inlineStr">
        <is>
          <t>2005</t>
        </is>
      </c>
      <c r="P1373" t="inlineStr">
        <is>
          <t>2nd ed.</t>
        </is>
      </c>
      <c r="Q1373" t="inlineStr">
        <is>
          <t>eng</t>
        </is>
      </c>
      <c r="R1373" t="inlineStr">
        <is>
          <t>mou</t>
        </is>
      </c>
      <c r="T1373" t="inlineStr">
        <is>
          <t xml:space="preserve">WY </t>
        </is>
      </c>
      <c r="U1373" t="n">
        <v>0</v>
      </c>
      <c r="V1373" t="n">
        <v>0</v>
      </c>
      <c r="W1373" t="inlineStr">
        <is>
          <t>2010-11-05</t>
        </is>
      </c>
      <c r="X1373" t="inlineStr">
        <is>
          <t>2010-11-05</t>
        </is>
      </c>
      <c r="Y1373" t="inlineStr">
        <is>
          <t>2010-10-26</t>
        </is>
      </c>
      <c r="Z1373" t="inlineStr">
        <is>
          <t>2010-10-26</t>
        </is>
      </c>
      <c r="AA1373" t="n">
        <v>415</v>
      </c>
      <c r="AB1373" t="n">
        <v>294</v>
      </c>
      <c r="AC1373" t="n">
        <v>297</v>
      </c>
      <c r="AD1373" t="n">
        <v>1</v>
      </c>
      <c r="AE1373" t="n">
        <v>1</v>
      </c>
      <c r="AF1373" t="n">
        <v>12</v>
      </c>
      <c r="AG1373" t="n">
        <v>12</v>
      </c>
      <c r="AH1373" t="n">
        <v>8</v>
      </c>
      <c r="AI1373" t="n">
        <v>8</v>
      </c>
      <c r="AJ1373" t="n">
        <v>2</v>
      </c>
      <c r="AK1373" t="n">
        <v>2</v>
      </c>
      <c r="AL1373" t="n">
        <v>4</v>
      </c>
      <c r="AM1373" t="n">
        <v>4</v>
      </c>
      <c r="AN1373" t="n">
        <v>0</v>
      </c>
      <c r="AO1373" t="n">
        <v>0</v>
      </c>
      <c r="AP1373" t="n">
        <v>0</v>
      </c>
      <c r="AQ1373" t="n">
        <v>0</v>
      </c>
      <c r="AR1373" t="inlineStr">
        <is>
          <t>No</t>
        </is>
      </c>
      <c r="AS1373" t="inlineStr">
        <is>
          <t>Yes</t>
        </is>
      </c>
      <c r="AT1373">
        <f>HYPERLINK("http://catalog.hathitrust.org/Record/004994020","HathiTrust Record")</f>
        <v/>
      </c>
      <c r="AU1373">
        <f>HYPERLINK("https://creighton-primo.hosted.exlibrisgroup.com/primo-explore/search?tab=default_tab&amp;search_scope=EVERYTHING&amp;vid=01CRU&amp;lang=en_US&amp;offset=0&amp;query=any,contains,991000062159702656","Catalog Record")</f>
        <v/>
      </c>
      <c r="AV1373">
        <f>HYPERLINK("http://www.worldcat.org/oclc/57565241","WorldCat Record")</f>
        <v/>
      </c>
      <c r="AW1373" t="inlineStr">
        <is>
          <t>3805382820:eng</t>
        </is>
      </c>
      <c r="AX1373" t="inlineStr">
        <is>
          <t>57565241</t>
        </is>
      </c>
      <c r="AY1373" t="inlineStr">
        <is>
          <t>991000062159702656</t>
        </is>
      </c>
      <c r="AZ1373" t="inlineStr">
        <is>
          <t>991000062159702656</t>
        </is>
      </c>
      <c r="BA1373" t="inlineStr">
        <is>
          <t>2257601160002656</t>
        </is>
      </c>
      <c r="BB1373" t="inlineStr">
        <is>
          <t>BOOK</t>
        </is>
      </c>
      <c r="BD1373" t="inlineStr">
        <is>
          <t>9780323031653</t>
        </is>
      </c>
      <c r="BE1373" t="inlineStr">
        <is>
          <t>30001005430907</t>
        </is>
      </c>
      <c r="BF1373" t="inlineStr">
        <is>
          <t>893638764</t>
        </is>
      </c>
    </row>
    <row r="1374">
      <c r="A1374" t="inlineStr">
        <is>
          <t>No</t>
        </is>
      </c>
      <c r="B1374" t="inlineStr">
        <is>
          <t>CUHSL</t>
        </is>
      </c>
      <c r="C1374" t="inlineStr">
        <is>
          <t>SHELVES</t>
        </is>
      </c>
      <c r="D1374" t="inlineStr">
        <is>
          <t>WY 152 E16t 1990</t>
        </is>
      </c>
      <c r="E1374" t="inlineStr">
        <is>
          <t>0                      WY 0152000E  16t         1990</t>
        </is>
      </c>
      <c r="F1374" t="inlineStr">
        <is>
          <t>Toward healthy aging : human needs and nursing response / Priscilla Ebersole, Patricia Hess.</t>
        </is>
      </c>
      <c r="H1374" t="inlineStr">
        <is>
          <t>No</t>
        </is>
      </c>
      <c r="I1374" t="inlineStr">
        <is>
          <t>1</t>
        </is>
      </c>
      <c r="J1374" t="inlineStr">
        <is>
          <t>No</t>
        </is>
      </c>
      <c r="K1374" t="inlineStr">
        <is>
          <t>Yes</t>
        </is>
      </c>
      <c r="L1374" t="inlineStr">
        <is>
          <t>0</t>
        </is>
      </c>
      <c r="M1374" t="inlineStr">
        <is>
          <t>Ebersole, Priscilla.</t>
        </is>
      </c>
      <c r="N1374" t="inlineStr">
        <is>
          <t>St. Louis : Mosby, c1990.</t>
        </is>
      </c>
      <c r="O1374" t="inlineStr">
        <is>
          <t>1990</t>
        </is>
      </c>
      <c r="P1374" t="inlineStr">
        <is>
          <t>3rd ed.</t>
        </is>
      </c>
      <c r="Q1374" t="inlineStr">
        <is>
          <t>eng</t>
        </is>
      </c>
      <c r="R1374" t="inlineStr">
        <is>
          <t>xxu</t>
        </is>
      </c>
      <c r="T1374" t="inlineStr">
        <is>
          <t xml:space="preserve">WY </t>
        </is>
      </c>
      <c r="U1374" t="n">
        <v>15</v>
      </c>
      <c r="V1374" t="n">
        <v>15</v>
      </c>
      <c r="W1374" t="inlineStr">
        <is>
          <t>1995-06-07</t>
        </is>
      </c>
      <c r="X1374" t="inlineStr">
        <is>
          <t>1995-06-07</t>
        </is>
      </c>
      <c r="Y1374" t="inlineStr">
        <is>
          <t>1990-08-08</t>
        </is>
      </c>
      <c r="Z1374" t="inlineStr">
        <is>
          <t>1990-08-08</t>
        </is>
      </c>
      <c r="AA1374" t="n">
        <v>341</v>
      </c>
      <c r="AB1374" t="n">
        <v>270</v>
      </c>
      <c r="AC1374" t="n">
        <v>1058</v>
      </c>
      <c r="AD1374" t="n">
        <v>4</v>
      </c>
      <c r="AE1374" t="n">
        <v>8</v>
      </c>
      <c r="AF1374" t="n">
        <v>8</v>
      </c>
      <c r="AG1374" t="n">
        <v>36</v>
      </c>
      <c r="AH1374" t="n">
        <v>3</v>
      </c>
      <c r="AI1374" t="n">
        <v>16</v>
      </c>
      <c r="AJ1374" t="n">
        <v>2</v>
      </c>
      <c r="AK1374" t="n">
        <v>7</v>
      </c>
      <c r="AL1374" t="n">
        <v>5</v>
      </c>
      <c r="AM1374" t="n">
        <v>15</v>
      </c>
      <c r="AN1374" t="n">
        <v>1</v>
      </c>
      <c r="AO1374" t="n">
        <v>5</v>
      </c>
      <c r="AP1374" t="n">
        <v>0</v>
      </c>
      <c r="AQ1374" t="n">
        <v>0</v>
      </c>
      <c r="AR1374" t="inlineStr">
        <is>
          <t>No</t>
        </is>
      </c>
      <c r="AS1374" t="inlineStr">
        <is>
          <t>Yes</t>
        </is>
      </c>
      <c r="AT1374">
        <f>HYPERLINK("http://catalog.hathitrust.org/Record/001956337","HathiTrust Record")</f>
        <v/>
      </c>
      <c r="AU1374">
        <f>HYPERLINK("https://creighton-primo.hosted.exlibrisgroup.com/primo-explore/search?tab=default_tab&amp;search_scope=EVERYTHING&amp;vid=01CRU&amp;lang=en_US&amp;offset=0&amp;query=any,contains,991001452379702656","Catalog Record")</f>
        <v/>
      </c>
      <c r="AV1374">
        <f>HYPERLINK("http://www.worldcat.org/oclc/20352071","WorldCat Record")</f>
        <v/>
      </c>
      <c r="AW1374" t="inlineStr">
        <is>
          <t>172487:eng</t>
        </is>
      </c>
      <c r="AX1374" t="inlineStr">
        <is>
          <t>20352071</t>
        </is>
      </c>
      <c r="AY1374" t="inlineStr">
        <is>
          <t>991001452379702656</t>
        </is>
      </c>
      <c r="AZ1374" t="inlineStr">
        <is>
          <t>991001452379702656</t>
        </is>
      </c>
      <c r="BA1374" t="inlineStr">
        <is>
          <t>2264507250002656</t>
        </is>
      </c>
      <c r="BB1374" t="inlineStr">
        <is>
          <t>BOOK</t>
        </is>
      </c>
      <c r="BD1374" t="inlineStr">
        <is>
          <t>9780801628672</t>
        </is>
      </c>
      <c r="BE1374" t="inlineStr">
        <is>
          <t>30001001883562</t>
        </is>
      </c>
      <c r="BF1374" t="inlineStr">
        <is>
          <t>893279120</t>
        </is>
      </c>
    </row>
    <row r="1375">
      <c r="A1375" t="inlineStr">
        <is>
          <t>No</t>
        </is>
      </c>
      <c r="B1375" t="inlineStr">
        <is>
          <t>CUHSL</t>
        </is>
      </c>
      <c r="C1375" t="inlineStr">
        <is>
          <t>SHELVES</t>
        </is>
      </c>
      <c r="D1375" t="inlineStr">
        <is>
          <t>WY 152 E16t 1994</t>
        </is>
      </c>
      <c r="E1375" t="inlineStr">
        <is>
          <t>0                      WY 0152000E  16t         1994</t>
        </is>
      </c>
      <c r="F1375" t="inlineStr">
        <is>
          <t>Toward healthy aging : human needs and nursing response / Priscilla Ebersole, Patricia Hess.</t>
        </is>
      </c>
      <c r="H1375" t="inlineStr">
        <is>
          <t>No</t>
        </is>
      </c>
      <c r="I1375" t="inlineStr">
        <is>
          <t>1</t>
        </is>
      </c>
      <c r="J1375" t="inlineStr">
        <is>
          <t>No</t>
        </is>
      </c>
      <c r="K1375" t="inlineStr">
        <is>
          <t>Yes</t>
        </is>
      </c>
      <c r="L1375" t="inlineStr">
        <is>
          <t>0</t>
        </is>
      </c>
      <c r="M1375" t="inlineStr">
        <is>
          <t>Ebersole, Priscilla.</t>
        </is>
      </c>
      <c r="N1375" t="inlineStr">
        <is>
          <t>St. Louis : Mosby, c1994.</t>
        </is>
      </c>
      <c r="O1375" t="inlineStr">
        <is>
          <t>1994</t>
        </is>
      </c>
      <c r="P1375" t="inlineStr">
        <is>
          <t>4th ed.</t>
        </is>
      </c>
      <c r="Q1375" t="inlineStr">
        <is>
          <t>eng</t>
        </is>
      </c>
      <c r="R1375" t="inlineStr">
        <is>
          <t>mou</t>
        </is>
      </c>
      <c r="T1375" t="inlineStr">
        <is>
          <t xml:space="preserve">WY </t>
        </is>
      </c>
      <c r="U1375" t="n">
        <v>12</v>
      </c>
      <c r="V1375" t="n">
        <v>12</v>
      </c>
      <c r="W1375" t="inlineStr">
        <is>
          <t>1999-04-19</t>
        </is>
      </c>
      <c r="X1375" t="inlineStr">
        <is>
          <t>1999-04-19</t>
        </is>
      </c>
      <c r="Y1375" t="inlineStr">
        <is>
          <t>1994-01-20</t>
        </is>
      </c>
      <c r="Z1375" t="inlineStr">
        <is>
          <t>1994-01-20</t>
        </is>
      </c>
      <c r="AA1375" t="n">
        <v>365</v>
      </c>
      <c r="AB1375" t="n">
        <v>283</v>
      </c>
      <c r="AC1375" t="n">
        <v>1058</v>
      </c>
      <c r="AD1375" t="n">
        <v>1</v>
      </c>
      <c r="AE1375" t="n">
        <v>8</v>
      </c>
      <c r="AF1375" t="n">
        <v>5</v>
      </c>
      <c r="AG1375" t="n">
        <v>36</v>
      </c>
      <c r="AH1375" t="n">
        <v>2</v>
      </c>
      <c r="AI1375" t="n">
        <v>16</v>
      </c>
      <c r="AJ1375" t="n">
        <v>1</v>
      </c>
      <c r="AK1375" t="n">
        <v>7</v>
      </c>
      <c r="AL1375" t="n">
        <v>3</v>
      </c>
      <c r="AM1375" t="n">
        <v>15</v>
      </c>
      <c r="AN1375" t="n">
        <v>0</v>
      </c>
      <c r="AO1375" t="n">
        <v>5</v>
      </c>
      <c r="AP1375" t="n">
        <v>0</v>
      </c>
      <c r="AQ1375" t="n">
        <v>0</v>
      </c>
      <c r="AR1375" t="inlineStr">
        <is>
          <t>No</t>
        </is>
      </c>
      <c r="AS1375" t="inlineStr">
        <is>
          <t>Yes</t>
        </is>
      </c>
      <c r="AT1375">
        <f>HYPERLINK("http://catalog.hathitrust.org/Record/002780761","HathiTrust Record")</f>
        <v/>
      </c>
      <c r="AU1375">
        <f>HYPERLINK("https://creighton-primo.hosted.exlibrisgroup.com/primo-explore/search?tab=default_tab&amp;search_scope=EVERYTHING&amp;vid=01CRU&amp;lang=en_US&amp;offset=0&amp;query=any,contains,991000667789702656","Catalog Record")</f>
        <v/>
      </c>
      <c r="AV1375">
        <f>HYPERLINK("http://www.worldcat.org/oclc/29026791","WorldCat Record")</f>
        <v/>
      </c>
      <c r="AW1375" t="inlineStr">
        <is>
          <t>172487:eng</t>
        </is>
      </c>
      <c r="AX1375" t="inlineStr">
        <is>
          <t>29026791</t>
        </is>
      </c>
      <c r="AY1375" t="inlineStr">
        <is>
          <t>991000667789702656</t>
        </is>
      </c>
      <c r="AZ1375" t="inlineStr">
        <is>
          <t>991000667789702656</t>
        </is>
      </c>
      <c r="BA1375" t="inlineStr">
        <is>
          <t>2257537760002656</t>
        </is>
      </c>
      <c r="BB1375" t="inlineStr">
        <is>
          <t>BOOK</t>
        </is>
      </c>
      <c r="BD1375" t="inlineStr">
        <is>
          <t>9780801668166</t>
        </is>
      </c>
      <c r="BE1375" t="inlineStr">
        <is>
          <t>30001002695221</t>
        </is>
      </c>
      <c r="BF1375" t="inlineStr">
        <is>
          <t>893267138</t>
        </is>
      </c>
    </row>
    <row r="1376">
      <c r="A1376" t="inlineStr">
        <is>
          <t>No</t>
        </is>
      </c>
      <c r="B1376" t="inlineStr">
        <is>
          <t>CUHSL</t>
        </is>
      </c>
      <c r="C1376" t="inlineStr">
        <is>
          <t>SHELVES</t>
        </is>
      </c>
      <c r="D1376" t="inlineStr">
        <is>
          <t>WY152 E16t 1998</t>
        </is>
      </c>
      <c r="E1376" t="inlineStr">
        <is>
          <t>0                      WY 0152000E  16t         1998</t>
        </is>
      </c>
      <c r="F1376" t="inlineStr">
        <is>
          <t>Toward healthy aging : human needs and nursing response / Priscilla Ebersole, Patricia Hess.</t>
        </is>
      </c>
      <c r="H1376" t="inlineStr">
        <is>
          <t>No</t>
        </is>
      </c>
      <c r="I1376" t="inlineStr">
        <is>
          <t>1</t>
        </is>
      </c>
      <c r="J1376" t="inlineStr">
        <is>
          <t>No</t>
        </is>
      </c>
      <c r="K1376" t="inlineStr">
        <is>
          <t>Yes</t>
        </is>
      </c>
      <c r="L1376" t="inlineStr">
        <is>
          <t>0</t>
        </is>
      </c>
      <c r="M1376" t="inlineStr">
        <is>
          <t>Ebersole, Priscilla.</t>
        </is>
      </c>
      <c r="N1376" t="inlineStr">
        <is>
          <t>St. Louis : Mosby, c1998.</t>
        </is>
      </c>
      <c r="O1376" t="inlineStr">
        <is>
          <t>1998</t>
        </is>
      </c>
      <c r="P1376" t="inlineStr">
        <is>
          <t>5th ed.</t>
        </is>
      </c>
      <c r="Q1376" t="inlineStr">
        <is>
          <t>eng</t>
        </is>
      </c>
      <c r="R1376" t="inlineStr">
        <is>
          <t>mou</t>
        </is>
      </c>
      <c r="T1376" t="inlineStr">
        <is>
          <t xml:space="preserve">WY </t>
        </is>
      </c>
      <c r="U1376" t="n">
        <v>24</v>
      </c>
      <c r="V1376" t="n">
        <v>24</v>
      </c>
      <c r="W1376" t="inlineStr">
        <is>
          <t>2001-04-22</t>
        </is>
      </c>
      <c r="X1376" t="inlineStr">
        <is>
          <t>2001-04-22</t>
        </is>
      </c>
      <c r="Y1376" t="inlineStr">
        <is>
          <t>1998-01-26</t>
        </is>
      </c>
      <c r="Z1376" t="inlineStr">
        <is>
          <t>1998-01-26</t>
        </is>
      </c>
      <c r="AA1376" t="n">
        <v>435</v>
      </c>
      <c r="AB1376" t="n">
        <v>343</v>
      </c>
      <c r="AC1376" t="n">
        <v>1058</v>
      </c>
      <c r="AD1376" t="n">
        <v>1</v>
      </c>
      <c r="AE1376" t="n">
        <v>8</v>
      </c>
      <c r="AF1376" t="n">
        <v>16</v>
      </c>
      <c r="AG1376" t="n">
        <v>36</v>
      </c>
      <c r="AH1376" t="n">
        <v>7</v>
      </c>
      <c r="AI1376" t="n">
        <v>16</v>
      </c>
      <c r="AJ1376" t="n">
        <v>5</v>
      </c>
      <c r="AK1376" t="n">
        <v>7</v>
      </c>
      <c r="AL1376" t="n">
        <v>7</v>
      </c>
      <c r="AM1376" t="n">
        <v>15</v>
      </c>
      <c r="AN1376" t="n">
        <v>0</v>
      </c>
      <c r="AO1376" t="n">
        <v>5</v>
      </c>
      <c r="AP1376" t="n">
        <v>0</v>
      </c>
      <c r="AQ1376" t="n">
        <v>0</v>
      </c>
      <c r="AR1376" t="inlineStr">
        <is>
          <t>No</t>
        </is>
      </c>
      <c r="AS1376" t="inlineStr">
        <is>
          <t>Yes</t>
        </is>
      </c>
      <c r="AT1376">
        <f>HYPERLINK("http://catalog.hathitrust.org/Record/003239846","HathiTrust Record")</f>
        <v/>
      </c>
      <c r="AU1376">
        <f>HYPERLINK("https://creighton-primo.hosted.exlibrisgroup.com/primo-explore/search?tab=default_tab&amp;search_scope=EVERYTHING&amp;vid=01CRU&amp;lang=en_US&amp;offset=0&amp;query=any,contains,991001793569702656","Catalog Record")</f>
        <v/>
      </c>
      <c r="AV1376">
        <f>HYPERLINK("http://www.worldcat.org/oclc/37322831","WorldCat Record")</f>
        <v/>
      </c>
      <c r="AW1376" t="inlineStr">
        <is>
          <t>172487:eng</t>
        </is>
      </c>
      <c r="AX1376" t="inlineStr">
        <is>
          <t>37322831</t>
        </is>
      </c>
      <c r="AY1376" t="inlineStr">
        <is>
          <t>991001793569702656</t>
        </is>
      </c>
      <c r="AZ1376" t="inlineStr">
        <is>
          <t>991001793569702656</t>
        </is>
      </c>
      <c r="BA1376" t="inlineStr">
        <is>
          <t>2269459800002656</t>
        </is>
      </c>
      <c r="BB1376" t="inlineStr">
        <is>
          <t>BOOK</t>
        </is>
      </c>
      <c r="BD1376" t="inlineStr">
        <is>
          <t>9780815128793</t>
        </is>
      </c>
      <c r="BE1376" t="inlineStr">
        <is>
          <t>30001003741834</t>
        </is>
      </c>
      <c r="BF1376" t="inlineStr">
        <is>
          <t>893451778</t>
        </is>
      </c>
    </row>
    <row r="1377">
      <c r="A1377" t="inlineStr">
        <is>
          <t>No</t>
        </is>
      </c>
      <c r="B1377" t="inlineStr">
        <is>
          <t>CUHSL</t>
        </is>
      </c>
      <c r="C1377" t="inlineStr">
        <is>
          <t>SHELVES</t>
        </is>
      </c>
      <c r="D1377" t="inlineStr">
        <is>
          <t>WY 152 E42g 1997</t>
        </is>
      </c>
      <c r="E1377" t="inlineStr">
        <is>
          <t>0                      WY 0152000E  42g         1997</t>
        </is>
      </c>
      <c r="F1377" t="inlineStr">
        <is>
          <t>Gerontological nursing / Charlotte Eliopoulos.</t>
        </is>
      </c>
      <c r="H1377" t="inlineStr">
        <is>
          <t>No</t>
        </is>
      </c>
      <c r="I1377" t="inlineStr">
        <is>
          <t>1</t>
        </is>
      </c>
      <c r="J1377" t="inlineStr">
        <is>
          <t>No</t>
        </is>
      </c>
      <c r="K1377" t="inlineStr">
        <is>
          <t>Yes</t>
        </is>
      </c>
      <c r="L1377" t="inlineStr">
        <is>
          <t>0</t>
        </is>
      </c>
      <c r="M1377" t="inlineStr">
        <is>
          <t>Eliopoulos, Charlotte.</t>
        </is>
      </c>
      <c r="N1377" t="inlineStr">
        <is>
          <t>Philadelphia : Lippincott, c1997.</t>
        </is>
      </c>
      <c r="O1377" t="inlineStr">
        <is>
          <t>1997</t>
        </is>
      </c>
      <c r="P1377" t="inlineStr">
        <is>
          <t>4th ed.</t>
        </is>
      </c>
      <c r="Q1377" t="inlineStr">
        <is>
          <t>eng</t>
        </is>
      </c>
      <c r="R1377" t="inlineStr">
        <is>
          <t>pau</t>
        </is>
      </c>
      <c r="T1377" t="inlineStr">
        <is>
          <t xml:space="preserve">WY </t>
        </is>
      </c>
      <c r="U1377" t="n">
        <v>9</v>
      </c>
      <c r="V1377" t="n">
        <v>9</v>
      </c>
      <c r="W1377" t="inlineStr">
        <is>
          <t>1998-10-16</t>
        </is>
      </c>
      <c r="X1377" t="inlineStr">
        <is>
          <t>1998-10-16</t>
        </is>
      </c>
      <c r="Y1377" t="inlineStr">
        <is>
          <t>1997-04-14</t>
        </is>
      </c>
      <c r="Z1377" t="inlineStr">
        <is>
          <t>1997-04-14</t>
        </is>
      </c>
      <c r="AA1377" t="n">
        <v>319</v>
      </c>
      <c r="AB1377" t="n">
        <v>252</v>
      </c>
      <c r="AC1377" t="n">
        <v>1286</v>
      </c>
      <c r="AD1377" t="n">
        <v>1</v>
      </c>
      <c r="AE1377" t="n">
        <v>10</v>
      </c>
      <c r="AF1377" t="n">
        <v>12</v>
      </c>
      <c r="AG1377" t="n">
        <v>36</v>
      </c>
      <c r="AH1377" t="n">
        <v>7</v>
      </c>
      <c r="AI1377" t="n">
        <v>15</v>
      </c>
      <c r="AJ1377" t="n">
        <v>3</v>
      </c>
      <c r="AK1377" t="n">
        <v>5</v>
      </c>
      <c r="AL1377" t="n">
        <v>5</v>
      </c>
      <c r="AM1377" t="n">
        <v>16</v>
      </c>
      <c r="AN1377" t="n">
        <v>0</v>
      </c>
      <c r="AO1377" t="n">
        <v>7</v>
      </c>
      <c r="AP1377" t="n">
        <v>0</v>
      </c>
      <c r="AQ1377" t="n">
        <v>0</v>
      </c>
      <c r="AR1377" t="inlineStr">
        <is>
          <t>No</t>
        </is>
      </c>
      <c r="AS1377" t="inlineStr">
        <is>
          <t>Yes</t>
        </is>
      </c>
      <c r="AT1377">
        <f>HYPERLINK("http://catalog.hathitrust.org/Record/003106408","HathiTrust Record")</f>
        <v/>
      </c>
      <c r="AU1377">
        <f>HYPERLINK("https://creighton-primo.hosted.exlibrisgroup.com/primo-explore/search?tab=default_tab&amp;search_scope=EVERYTHING&amp;vid=01CRU&amp;lang=en_US&amp;offset=0&amp;query=any,contains,991000839449702656","Catalog Record")</f>
        <v/>
      </c>
      <c r="AV1377">
        <f>HYPERLINK("http://www.worldcat.org/oclc/35110160","WorldCat Record")</f>
        <v/>
      </c>
      <c r="AW1377" t="inlineStr">
        <is>
          <t>1049895:eng</t>
        </is>
      </c>
      <c r="AX1377" t="inlineStr">
        <is>
          <t>35110160</t>
        </is>
      </c>
      <c r="AY1377" t="inlineStr">
        <is>
          <t>991000839449702656</t>
        </is>
      </c>
      <c r="AZ1377" t="inlineStr">
        <is>
          <t>991000839449702656</t>
        </is>
      </c>
      <c r="BA1377" t="inlineStr">
        <is>
          <t>2271782470002656</t>
        </is>
      </c>
      <c r="BB1377" t="inlineStr">
        <is>
          <t>BOOK</t>
        </is>
      </c>
      <c r="BD1377" t="inlineStr">
        <is>
          <t>9780397553617</t>
        </is>
      </c>
      <c r="BE1377" t="inlineStr">
        <is>
          <t>30001003443688</t>
        </is>
      </c>
      <c r="BF1377" t="inlineStr">
        <is>
          <t>893825983</t>
        </is>
      </c>
    </row>
    <row r="1378">
      <c r="A1378" t="inlineStr">
        <is>
          <t>No</t>
        </is>
      </c>
      <c r="B1378" t="inlineStr">
        <is>
          <t>CUHSL</t>
        </is>
      </c>
      <c r="C1378" t="inlineStr">
        <is>
          <t>SHELVES</t>
        </is>
      </c>
      <c r="D1378" t="inlineStr">
        <is>
          <t>WY 152 E42ga 1987</t>
        </is>
      </c>
      <c r="E1378" t="inlineStr">
        <is>
          <t>0                      WY 0152000E  42ga        1987</t>
        </is>
      </c>
      <c r="F1378" t="inlineStr">
        <is>
          <t>A guide to the nursing of the aging / Charlotte Eliopoulos.</t>
        </is>
      </c>
      <c r="H1378" t="inlineStr">
        <is>
          <t>No</t>
        </is>
      </c>
      <c r="I1378" t="inlineStr">
        <is>
          <t>1</t>
        </is>
      </c>
      <c r="J1378" t="inlineStr">
        <is>
          <t>No</t>
        </is>
      </c>
      <c r="K1378" t="inlineStr">
        <is>
          <t>No</t>
        </is>
      </c>
      <c r="L1378" t="inlineStr">
        <is>
          <t>0</t>
        </is>
      </c>
      <c r="M1378" t="inlineStr">
        <is>
          <t>Eliopoulos, Charlotte.</t>
        </is>
      </c>
      <c r="N1378" t="inlineStr">
        <is>
          <t>Baltimore : Williams &amp; Wilkins, c1987.</t>
        </is>
      </c>
      <c r="O1378" t="inlineStr">
        <is>
          <t>1987</t>
        </is>
      </c>
      <c r="P1378" t="inlineStr">
        <is>
          <t>1st ed.</t>
        </is>
      </c>
      <c r="Q1378" t="inlineStr">
        <is>
          <t>eng</t>
        </is>
      </c>
      <c r="R1378" t="inlineStr">
        <is>
          <t>xxu</t>
        </is>
      </c>
      <c r="S1378" t="inlineStr">
        <is>
          <t>Clinical nursing diagnosis series</t>
        </is>
      </c>
      <c r="T1378" t="inlineStr">
        <is>
          <t xml:space="preserve">WY </t>
        </is>
      </c>
      <c r="U1378" t="n">
        <v>17</v>
      </c>
      <c r="V1378" t="n">
        <v>17</v>
      </c>
      <c r="W1378" t="inlineStr">
        <is>
          <t>1994-07-25</t>
        </is>
      </c>
      <c r="X1378" t="inlineStr">
        <is>
          <t>1994-07-25</t>
        </is>
      </c>
      <c r="Y1378" t="inlineStr">
        <is>
          <t>1988-01-05</t>
        </is>
      </c>
      <c r="Z1378" t="inlineStr">
        <is>
          <t>1988-01-05</t>
        </is>
      </c>
      <c r="AA1378" t="n">
        <v>246</v>
      </c>
      <c r="AB1378" t="n">
        <v>199</v>
      </c>
      <c r="AC1378" t="n">
        <v>216</v>
      </c>
      <c r="AD1378" t="n">
        <v>2</v>
      </c>
      <c r="AE1378" t="n">
        <v>2</v>
      </c>
      <c r="AF1378" t="n">
        <v>9</v>
      </c>
      <c r="AG1378" t="n">
        <v>11</v>
      </c>
      <c r="AH1378" t="n">
        <v>3</v>
      </c>
      <c r="AI1378" t="n">
        <v>4</v>
      </c>
      <c r="AJ1378" t="n">
        <v>3</v>
      </c>
      <c r="AK1378" t="n">
        <v>4</v>
      </c>
      <c r="AL1378" t="n">
        <v>5</v>
      </c>
      <c r="AM1378" t="n">
        <v>5</v>
      </c>
      <c r="AN1378" t="n">
        <v>0</v>
      </c>
      <c r="AO1378" t="n">
        <v>0</v>
      </c>
      <c r="AP1378" t="n">
        <v>0</v>
      </c>
      <c r="AQ1378" t="n">
        <v>0</v>
      </c>
      <c r="AR1378" t="inlineStr">
        <is>
          <t>No</t>
        </is>
      </c>
      <c r="AS1378" t="inlineStr">
        <is>
          <t>Yes</t>
        </is>
      </c>
      <c r="AT1378">
        <f>HYPERLINK("http://catalog.hathitrust.org/Record/000842328","HathiTrust Record")</f>
        <v/>
      </c>
      <c r="AU1378">
        <f>HYPERLINK("https://creighton-primo.hosted.exlibrisgroup.com/primo-explore/search?tab=default_tab&amp;search_scope=EVERYTHING&amp;vid=01CRU&amp;lang=en_US&amp;offset=0&amp;query=any,contains,991001536429702656","Catalog Record")</f>
        <v/>
      </c>
      <c r="AV1378">
        <f>HYPERLINK("http://www.worldcat.org/oclc/15429514","WorldCat Record")</f>
        <v/>
      </c>
      <c r="AW1378" t="inlineStr">
        <is>
          <t>10533890:eng</t>
        </is>
      </c>
      <c r="AX1378" t="inlineStr">
        <is>
          <t>15429514</t>
        </is>
      </c>
      <c r="AY1378" t="inlineStr">
        <is>
          <t>991001536429702656</t>
        </is>
      </c>
      <c r="AZ1378" t="inlineStr">
        <is>
          <t>991001536429702656</t>
        </is>
      </c>
      <c r="BA1378" t="inlineStr">
        <is>
          <t>2260372790002656</t>
        </is>
      </c>
      <c r="BB1378" t="inlineStr">
        <is>
          <t>BOOK</t>
        </is>
      </c>
      <c r="BD1378" t="inlineStr">
        <is>
          <t>9780683095623</t>
        </is>
      </c>
      <c r="BE1378" t="inlineStr">
        <is>
          <t>30001000623126</t>
        </is>
      </c>
      <c r="BF1378" t="inlineStr">
        <is>
          <t>893455913</t>
        </is>
      </c>
    </row>
    <row r="1379">
      <c r="A1379" t="inlineStr">
        <is>
          <t>No</t>
        </is>
      </c>
      <c r="B1379" t="inlineStr">
        <is>
          <t>CUHSL</t>
        </is>
      </c>
      <c r="C1379" t="inlineStr">
        <is>
          <t>SHELVES</t>
        </is>
      </c>
      <c r="D1379" t="inlineStr">
        <is>
          <t>WY 152 E42n 1983</t>
        </is>
      </c>
      <c r="E1379" t="inlineStr">
        <is>
          <t>0                      WY 0152000E  42n         1983</t>
        </is>
      </c>
      <c r="F1379" t="inlineStr">
        <is>
          <t>Nursing administration of long-term care / Charlotte Eliopoulos.</t>
        </is>
      </c>
      <c r="H1379" t="inlineStr">
        <is>
          <t>No</t>
        </is>
      </c>
      <c r="I1379" t="inlineStr">
        <is>
          <t>1</t>
        </is>
      </c>
      <c r="J1379" t="inlineStr">
        <is>
          <t>No</t>
        </is>
      </c>
      <c r="K1379" t="inlineStr">
        <is>
          <t>No</t>
        </is>
      </c>
      <c r="L1379" t="inlineStr">
        <is>
          <t>0</t>
        </is>
      </c>
      <c r="M1379" t="inlineStr">
        <is>
          <t>Eliopoulos, Charlotte.</t>
        </is>
      </c>
      <c r="N1379" t="inlineStr">
        <is>
          <t>Rockville, Md. : Aspen Systems Corp., c1983.</t>
        </is>
      </c>
      <c r="O1379" t="inlineStr">
        <is>
          <t>1983</t>
        </is>
      </c>
      <c r="Q1379" t="inlineStr">
        <is>
          <t>eng</t>
        </is>
      </c>
      <c r="R1379" t="inlineStr">
        <is>
          <t>xxu</t>
        </is>
      </c>
      <c r="T1379" t="inlineStr">
        <is>
          <t xml:space="preserve">WY </t>
        </is>
      </c>
      <c r="U1379" t="n">
        <v>2</v>
      </c>
      <c r="V1379" t="n">
        <v>2</v>
      </c>
      <c r="W1379" t="inlineStr">
        <is>
          <t>1992-07-17</t>
        </is>
      </c>
      <c r="X1379" t="inlineStr">
        <is>
          <t>1992-07-17</t>
        </is>
      </c>
      <c r="Y1379" t="inlineStr">
        <is>
          <t>1987-12-21</t>
        </is>
      </c>
      <c r="Z1379" t="inlineStr">
        <is>
          <t>1987-12-21</t>
        </is>
      </c>
      <c r="AA1379" t="n">
        <v>210</v>
      </c>
      <c r="AB1379" t="n">
        <v>185</v>
      </c>
      <c r="AC1379" t="n">
        <v>192</v>
      </c>
      <c r="AD1379" t="n">
        <v>1</v>
      </c>
      <c r="AE1379" t="n">
        <v>1</v>
      </c>
      <c r="AF1379" t="n">
        <v>6</v>
      </c>
      <c r="AG1379" t="n">
        <v>6</v>
      </c>
      <c r="AH1379" t="n">
        <v>0</v>
      </c>
      <c r="AI1379" t="n">
        <v>0</v>
      </c>
      <c r="AJ1379" t="n">
        <v>4</v>
      </c>
      <c r="AK1379" t="n">
        <v>4</v>
      </c>
      <c r="AL1379" t="n">
        <v>4</v>
      </c>
      <c r="AM1379" t="n">
        <v>4</v>
      </c>
      <c r="AN1379" t="n">
        <v>0</v>
      </c>
      <c r="AO1379" t="n">
        <v>0</v>
      </c>
      <c r="AP1379" t="n">
        <v>0</v>
      </c>
      <c r="AQ1379" t="n">
        <v>0</v>
      </c>
      <c r="AR1379" t="inlineStr">
        <is>
          <t>No</t>
        </is>
      </c>
      <c r="AS1379" t="inlineStr">
        <is>
          <t>Yes</t>
        </is>
      </c>
      <c r="AT1379">
        <f>HYPERLINK("http://catalog.hathitrust.org/Record/000161551","HathiTrust Record")</f>
        <v/>
      </c>
      <c r="AU1379">
        <f>HYPERLINK("https://creighton-primo.hosted.exlibrisgroup.com/primo-explore/search?tab=default_tab&amp;search_scope=EVERYTHING&amp;vid=01CRU&amp;lang=en_US&amp;offset=0&amp;query=any,contains,991000864069702656","Catalog Record")</f>
        <v/>
      </c>
      <c r="AV1379">
        <f>HYPERLINK("http://www.worldcat.org/oclc/9557977","WorldCat Record")</f>
        <v/>
      </c>
      <c r="AW1379" t="inlineStr">
        <is>
          <t>43045446:eng</t>
        </is>
      </c>
      <c r="AX1379" t="inlineStr">
        <is>
          <t>9557977</t>
        </is>
      </c>
      <c r="AY1379" t="inlineStr">
        <is>
          <t>991000864069702656</t>
        </is>
      </c>
      <c r="AZ1379" t="inlineStr">
        <is>
          <t>991000864069702656</t>
        </is>
      </c>
      <c r="BA1379" t="inlineStr">
        <is>
          <t>2267556450002656</t>
        </is>
      </c>
      <c r="BB1379" t="inlineStr">
        <is>
          <t>BOOK</t>
        </is>
      </c>
      <c r="BD1379" t="inlineStr">
        <is>
          <t>9780894438783</t>
        </is>
      </c>
      <c r="BE1379" t="inlineStr">
        <is>
          <t>30001000143794</t>
        </is>
      </c>
      <c r="BF1379" t="inlineStr">
        <is>
          <t>893743549</t>
        </is>
      </c>
    </row>
    <row r="1380">
      <c r="A1380" t="inlineStr">
        <is>
          <t>No</t>
        </is>
      </c>
      <c r="B1380" t="inlineStr">
        <is>
          <t>CUHSL</t>
        </is>
      </c>
      <c r="C1380" t="inlineStr">
        <is>
          <t>SHELVES</t>
        </is>
      </c>
      <c r="D1380" t="inlineStr">
        <is>
          <t>WY 152 F183a 1976</t>
        </is>
      </c>
      <c r="E1380" t="inlineStr">
        <is>
          <t>0                      WY 0152000F  183a        1976</t>
        </is>
      </c>
      <c r="F1380" t="inlineStr">
        <is>
          <t>Aging patients : a guide for their care / Mary W. Falconer, Michael V. Altamura, Helen Duncan Behnke.</t>
        </is>
      </c>
      <c r="H1380" t="inlineStr">
        <is>
          <t>No</t>
        </is>
      </c>
      <c r="I1380" t="inlineStr">
        <is>
          <t>1</t>
        </is>
      </c>
      <c r="J1380" t="inlineStr">
        <is>
          <t>No</t>
        </is>
      </c>
      <c r="K1380" t="inlineStr">
        <is>
          <t>No</t>
        </is>
      </c>
      <c r="L1380" t="inlineStr">
        <is>
          <t>0</t>
        </is>
      </c>
      <c r="M1380" t="inlineStr">
        <is>
          <t>Falconer, Mary W.</t>
        </is>
      </c>
      <c r="N1380" t="inlineStr">
        <is>
          <t>New York : Springer Pub. Co., c1976.</t>
        </is>
      </c>
      <c r="O1380" t="inlineStr">
        <is>
          <t>1976</t>
        </is>
      </c>
      <c r="Q1380" t="inlineStr">
        <is>
          <t>eng</t>
        </is>
      </c>
      <c r="R1380" t="inlineStr">
        <is>
          <t>nyu</t>
        </is>
      </c>
      <c r="T1380" t="inlineStr">
        <is>
          <t xml:space="preserve">WY </t>
        </is>
      </c>
      <c r="U1380" t="n">
        <v>1</v>
      </c>
      <c r="V1380" t="n">
        <v>1</v>
      </c>
      <c r="W1380" t="inlineStr">
        <is>
          <t>1995-11-05</t>
        </is>
      </c>
      <c r="X1380" t="inlineStr">
        <is>
          <t>1995-11-05</t>
        </is>
      </c>
      <c r="Y1380" t="inlineStr">
        <is>
          <t>1988-01-08</t>
        </is>
      </c>
      <c r="Z1380" t="inlineStr">
        <is>
          <t>1988-01-08</t>
        </is>
      </c>
      <c r="AA1380" t="n">
        <v>231</v>
      </c>
      <c r="AB1380" t="n">
        <v>209</v>
      </c>
      <c r="AC1380" t="n">
        <v>212</v>
      </c>
      <c r="AD1380" t="n">
        <v>3</v>
      </c>
      <c r="AE1380" t="n">
        <v>3</v>
      </c>
      <c r="AF1380" t="n">
        <v>8</v>
      </c>
      <c r="AG1380" t="n">
        <v>8</v>
      </c>
      <c r="AH1380" t="n">
        <v>1</v>
      </c>
      <c r="AI1380" t="n">
        <v>1</v>
      </c>
      <c r="AJ1380" t="n">
        <v>2</v>
      </c>
      <c r="AK1380" t="n">
        <v>2</v>
      </c>
      <c r="AL1380" t="n">
        <v>4</v>
      </c>
      <c r="AM1380" t="n">
        <v>4</v>
      </c>
      <c r="AN1380" t="n">
        <v>2</v>
      </c>
      <c r="AO1380" t="n">
        <v>2</v>
      </c>
      <c r="AP1380" t="n">
        <v>0</v>
      </c>
      <c r="AQ1380" t="n">
        <v>0</v>
      </c>
      <c r="AR1380" t="inlineStr">
        <is>
          <t>No</t>
        </is>
      </c>
      <c r="AS1380" t="inlineStr">
        <is>
          <t>Yes</t>
        </is>
      </c>
      <c r="AT1380">
        <f>HYPERLINK("http://catalog.hathitrust.org/Record/000138857","HathiTrust Record")</f>
        <v/>
      </c>
      <c r="AU1380">
        <f>HYPERLINK("https://creighton-primo.hosted.exlibrisgroup.com/primo-explore/search?tab=default_tab&amp;search_scope=EVERYTHING&amp;vid=01CRU&amp;lang=en_US&amp;offset=0&amp;query=any,contains,991000864139702656","Catalog Record")</f>
        <v/>
      </c>
      <c r="AV1380">
        <f>HYPERLINK("http://www.worldcat.org/oclc/2372880","WorldCat Record")</f>
        <v/>
      </c>
      <c r="AW1380" t="inlineStr">
        <is>
          <t>493023:eng</t>
        </is>
      </c>
      <c r="AX1380" t="inlineStr">
        <is>
          <t>2372880</t>
        </is>
      </c>
      <c r="AY1380" t="inlineStr">
        <is>
          <t>991000864139702656</t>
        </is>
      </c>
      <c r="AZ1380" t="inlineStr">
        <is>
          <t>991000864139702656</t>
        </is>
      </c>
      <c r="BA1380" t="inlineStr">
        <is>
          <t>2255241950002656</t>
        </is>
      </c>
      <c r="BB1380" t="inlineStr">
        <is>
          <t>BOOK</t>
        </is>
      </c>
      <c r="BD1380" t="inlineStr">
        <is>
          <t>9780826119704</t>
        </is>
      </c>
      <c r="BE1380" t="inlineStr">
        <is>
          <t>30001000143802</t>
        </is>
      </c>
      <c r="BF1380" t="inlineStr">
        <is>
          <t>893363408</t>
        </is>
      </c>
    </row>
    <row r="1381">
      <c r="A1381" t="inlineStr">
        <is>
          <t>No</t>
        </is>
      </c>
      <c r="B1381" t="inlineStr">
        <is>
          <t>CUHSL</t>
        </is>
      </c>
      <c r="C1381" t="inlineStr">
        <is>
          <t>SHELVES</t>
        </is>
      </c>
      <c r="D1381" t="inlineStr">
        <is>
          <t>WY 152 G3697 1991</t>
        </is>
      </c>
      <c r="E1381" t="inlineStr">
        <is>
          <t>0                      WY 0152000G  3697        1991</t>
        </is>
      </c>
      <c r="F1381" t="inlineStr">
        <is>
          <t>Geriatric nursing care plans / edited by Frances F. Rogers-Seidl.</t>
        </is>
      </c>
      <c r="H1381" t="inlineStr">
        <is>
          <t>No</t>
        </is>
      </c>
      <c r="I1381" t="inlineStr">
        <is>
          <t>1</t>
        </is>
      </c>
      <c r="J1381" t="inlineStr">
        <is>
          <t>No</t>
        </is>
      </c>
      <c r="K1381" t="inlineStr">
        <is>
          <t>No</t>
        </is>
      </c>
      <c r="L1381" t="inlineStr">
        <is>
          <t>0</t>
        </is>
      </c>
      <c r="N1381" t="inlineStr">
        <is>
          <t>St. Louis : Mosby-Year Book, c1991.</t>
        </is>
      </c>
      <c r="O1381" t="inlineStr">
        <is>
          <t>1991</t>
        </is>
      </c>
      <c r="Q1381" t="inlineStr">
        <is>
          <t>eng</t>
        </is>
      </c>
      <c r="R1381" t="inlineStr">
        <is>
          <t>mou</t>
        </is>
      </c>
      <c r="T1381" t="inlineStr">
        <is>
          <t xml:space="preserve">WY </t>
        </is>
      </c>
      <c r="U1381" t="n">
        <v>32</v>
      </c>
      <c r="V1381" t="n">
        <v>32</v>
      </c>
      <c r="W1381" t="inlineStr">
        <is>
          <t>1995-11-27</t>
        </is>
      </c>
      <c r="X1381" t="inlineStr">
        <is>
          <t>1995-11-27</t>
        </is>
      </c>
      <c r="Y1381" t="inlineStr">
        <is>
          <t>1991-09-16</t>
        </is>
      </c>
      <c r="Z1381" t="inlineStr">
        <is>
          <t>1991-09-16</t>
        </is>
      </c>
      <c r="AA1381" t="n">
        <v>243</v>
      </c>
      <c r="AB1381" t="n">
        <v>193</v>
      </c>
      <c r="AC1381" t="n">
        <v>195</v>
      </c>
      <c r="AD1381" t="n">
        <v>1</v>
      </c>
      <c r="AE1381" t="n">
        <v>1</v>
      </c>
      <c r="AF1381" t="n">
        <v>10</v>
      </c>
      <c r="AG1381" t="n">
        <v>10</v>
      </c>
      <c r="AH1381" t="n">
        <v>3</v>
      </c>
      <c r="AI1381" t="n">
        <v>3</v>
      </c>
      <c r="AJ1381" t="n">
        <v>2</v>
      </c>
      <c r="AK1381" t="n">
        <v>2</v>
      </c>
      <c r="AL1381" t="n">
        <v>8</v>
      </c>
      <c r="AM1381" t="n">
        <v>8</v>
      </c>
      <c r="AN1381" t="n">
        <v>0</v>
      </c>
      <c r="AO1381" t="n">
        <v>0</v>
      </c>
      <c r="AP1381" t="n">
        <v>0</v>
      </c>
      <c r="AQ1381" t="n">
        <v>0</v>
      </c>
      <c r="AR1381" t="inlineStr">
        <is>
          <t>No</t>
        </is>
      </c>
      <c r="AS1381" t="inlineStr">
        <is>
          <t>Yes</t>
        </is>
      </c>
      <c r="AT1381">
        <f>HYPERLINK("http://catalog.hathitrust.org/Record/002453546","HathiTrust Record")</f>
        <v/>
      </c>
      <c r="AU1381">
        <f>HYPERLINK("https://creighton-primo.hosted.exlibrisgroup.com/primo-explore/search?tab=default_tab&amp;search_scope=EVERYTHING&amp;vid=01CRU&amp;lang=en_US&amp;offset=0&amp;query=any,contains,991001014839702656","Catalog Record")</f>
        <v/>
      </c>
      <c r="AV1381">
        <f>HYPERLINK("http://www.worldcat.org/oclc/23016645","WorldCat Record")</f>
        <v/>
      </c>
      <c r="AW1381" t="inlineStr">
        <is>
          <t>3856654370:eng</t>
        </is>
      </c>
      <c r="AX1381" t="inlineStr">
        <is>
          <t>23016645</t>
        </is>
      </c>
      <c r="AY1381" t="inlineStr">
        <is>
          <t>991001014839702656</t>
        </is>
      </c>
      <c r="AZ1381" t="inlineStr">
        <is>
          <t>991001014839702656</t>
        </is>
      </c>
      <c r="BA1381" t="inlineStr">
        <is>
          <t>2264644770002656</t>
        </is>
      </c>
      <c r="BB1381" t="inlineStr">
        <is>
          <t>BOOK</t>
        </is>
      </c>
      <c r="BD1381" t="inlineStr">
        <is>
          <t>9780801652103</t>
        </is>
      </c>
      <c r="BE1381" t="inlineStr">
        <is>
          <t>30001002240507</t>
        </is>
      </c>
      <c r="BF1381" t="inlineStr">
        <is>
          <t>893546305</t>
        </is>
      </c>
    </row>
    <row r="1382">
      <c r="A1382" t="inlineStr">
        <is>
          <t>No</t>
        </is>
      </c>
      <c r="B1382" t="inlineStr">
        <is>
          <t>CUHSL</t>
        </is>
      </c>
      <c r="C1382" t="inlineStr">
        <is>
          <t>SHELVES</t>
        </is>
      </c>
      <c r="D1382" t="inlineStr">
        <is>
          <t>WY152 G37705 2006</t>
        </is>
      </c>
      <c r="E1382" t="inlineStr">
        <is>
          <t>0                      WY 0152000G  37705       2006</t>
        </is>
      </c>
      <c r="F1382" t="inlineStr">
        <is>
          <t>Gerontologic nursing / [edited by] Sue E. Meiner, Annette G. Lueckenotte.</t>
        </is>
      </c>
      <c r="H1382" t="inlineStr">
        <is>
          <t>No</t>
        </is>
      </c>
      <c r="I1382" t="inlineStr">
        <is>
          <t>1</t>
        </is>
      </c>
      <c r="J1382" t="inlineStr">
        <is>
          <t>No</t>
        </is>
      </c>
      <c r="K1382" t="inlineStr">
        <is>
          <t>Yes</t>
        </is>
      </c>
      <c r="L1382" t="inlineStr">
        <is>
          <t>0</t>
        </is>
      </c>
      <c r="N1382" t="inlineStr">
        <is>
          <t>St. Louis : Mosby/Elsevier, c2006.</t>
        </is>
      </c>
      <c r="O1382" t="inlineStr">
        <is>
          <t>2006</t>
        </is>
      </c>
      <c r="P1382" t="inlineStr">
        <is>
          <t>3rd ed.</t>
        </is>
      </c>
      <c r="Q1382" t="inlineStr">
        <is>
          <t>eng</t>
        </is>
      </c>
      <c r="R1382" t="inlineStr">
        <is>
          <t>mou</t>
        </is>
      </c>
      <c r="T1382" t="inlineStr">
        <is>
          <t xml:space="preserve">WY </t>
        </is>
      </c>
      <c r="U1382" t="n">
        <v>2</v>
      </c>
      <c r="V1382" t="n">
        <v>2</v>
      </c>
      <c r="W1382" t="inlineStr">
        <is>
          <t>2006-03-23</t>
        </is>
      </c>
      <c r="X1382" t="inlineStr">
        <is>
          <t>2006-03-23</t>
        </is>
      </c>
      <c r="Y1382" t="inlineStr">
        <is>
          <t>2006-03-23</t>
        </is>
      </c>
      <c r="Z1382" t="inlineStr">
        <is>
          <t>2006-03-23</t>
        </is>
      </c>
      <c r="AA1382" t="n">
        <v>417</v>
      </c>
      <c r="AB1382" t="n">
        <v>302</v>
      </c>
      <c r="AC1382" t="n">
        <v>904</v>
      </c>
      <c r="AD1382" t="n">
        <v>4</v>
      </c>
      <c r="AE1382" t="n">
        <v>6</v>
      </c>
      <c r="AF1382" t="n">
        <v>10</v>
      </c>
      <c r="AG1382" t="n">
        <v>24</v>
      </c>
      <c r="AH1382" t="n">
        <v>3</v>
      </c>
      <c r="AI1382" t="n">
        <v>8</v>
      </c>
      <c r="AJ1382" t="n">
        <v>2</v>
      </c>
      <c r="AK1382" t="n">
        <v>4</v>
      </c>
      <c r="AL1382" t="n">
        <v>4</v>
      </c>
      <c r="AM1382" t="n">
        <v>12</v>
      </c>
      <c r="AN1382" t="n">
        <v>3</v>
      </c>
      <c r="AO1382" t="n">
        <v>4</v>
      </c>
      <c r="AP1382" t="n">
        <v>0</v>
      </c>
      <c r="AQ1382" t="n">
        <v>0</v>
      </c>
      <c r="AR1382" t="inlineStr">
        <is>
          <t>No</t>
        </is>
      </c>
      <c r="AS1382" t="inlineStr">
        <is>
          <t>Yes</t>
        </is>
      </c>
      <c r="AT1382">
        <f>HYPERLINK("http://catalog.hathitrust.org/Record/005096249","HathiTrust Record")</f>
        <v/>
      </c>
      <c r="AU1382">
        <f>HYPERLINK("https://creighton-primo.hosted.exlibrisgroup.com/primo-explore/search?tab=default_tab&amp;search_scope=EVERYTHING&amp;vid=01CRU&amp;lang=en_US&amp;offset=0&amp;query=any,contains,991001737829702656","Catalog Record")</f>
        <v/>
      </c>
      <c r="AV1382">
        <f>HYPERLINK("http://www.worldcat.org/oclc/63176590","WorldCat Record")</f>
        <v/>
      </c>
      <c r="AW1382" t="inlineStr">
        <is>
          <t>17273464:eng</t>
        </is>
      </c>
      <c r="AX1382" t="inlineStr">
        <is>
          <t>63176590</t>
        </is>
      </c>
      <c r="AY1382" t="inlineStr">
        <is>
          <t>991001737829702656</t>
        </is>
      </c>
      <c r="AZ1382" t="inlineStr">
        <is>
          <t>991001737829702656</t>
        </is>
      </c>
      <c r="BA1382" t="inlineStr">
        <is>
          <t>2269135690002656</t>
        </is>
      </c>
      <c r="BB1382" t="inlineStr">
        <is>
          <t>BOOK</t>
        </is>
      </c>
      <c r="BD1382" t="inlineStr">
        <is>
          <t>9780323031462</t>
        </is>
      </c>
      <c r="BE1382" t="inlineStr">
        <is>
          <t>30001005126422</t>
        </is>
      </c>
      <c r="BF1382" t="inlineStr">
        <is>
          <t>893268724</t>
        </is>
      </c>
    </row>
    <row r="1383">
      <c r="A1383" t="inlineStr">
        <is>
          <t>No</t>
        </is>
      </c>
      <c r="B1383" t="inlineStr">
        <is>
          <t>CUHSL</t>
        </is>
      </c>
      <c r="C1383" t="inlineStr">
        <is>
          <t>SHELVES</t>
        </is>
      </c>
      <c r="D1383" t="inlineStr">
        <is>
          <t>WY 152 G3773 1997</t>
        </is>
      </c>
      <c r="E1383" t="inlineStr">
        <is>
          <t>0                      WY 0152000G  3773        1997</t>
        </is>
      </c>
      <c r="F1383" t="inlineStr">
        <is>
          <t>Gerontologic nursing : wholistic care of the older adult / [edited by] Mary M. Burke, Mary B. Walsh.</t>
        </is>
      </c>
      <c r="H1383" t="inlineStr">
        <is>
          <t>No</t>
        </is>
      </c>
      <c r="I1383" t="inlineStr">
        <is>
          <t>1</t>
        </is>
      </c>
      <c r="J1383" t="inlineStr">
        <is>
          <t>No</t>
        </is>
      </c>
      <c r="K1383" t="inlineStr">
        <is>
          <t>No</t>
        </is>
      </c>
      <c r="L1383" t="inlineStr">
        <is>
          <t>0</t>
        </is>
      </c>
      <c r="N1383" t="inlineStr">
        <is>
          <t>St. Louis : Mosby, c1997.</t>
        </is>
      </c>
      <c r="O1383" t="inlineStr">
        <is>
          <t>1997</t>
        </is>
      </c>
      <c r="P1383" t="inlineStr">
        <is>
          <t>2nd ed.</t>
        </is>
      </c>
      <c r="Q1383" t="inlineStr">
        <is>
          <t>eng</t>
        </is>
      </c>
      <c r="R1383" t="inlineStr">
        <is>
          <t>mou</t>
        </is>
      </c>
      <c r="T1383" t="inlineStr">
        <is>
          <t xml:space="preserve">WY </t>
        </is>
      </c>
      <c r="U1383" t="n">
        <v>7</v>
      </c>
      <c r="V1383" t="n">
        <v>7</v>
      </c>
      <c r="W1383" t="inlineStr">
        <is>
          <t>1998-10-16</t>
        </is>
      </c>
      <c r="X1383" t="inlineStr">
        <is>
          <t>1998-10-16</t>
        </is>
      </c>
      <c r="Y1383" t="inlineStr">
        <is>
          <t>1997-04-14</t>
        </is>
      </c>
      <c r="Z1383" t="inlineStr">
        <is>
          <t>1997-04-14</t>
        </is>
      </c>
      <c r="AA1383" t="n">
        <v>381</v>
      </c>
      <c r="AB1383" t="n">
        <v>300</v>
      </c>
      <c r="AC1383" t="n">
        <v>306</v>
      </c>
      <c r="AD1383" t="n">
        <v>1</v>
      </c>
      <c r="AE1383" t="n">
        <v>1</v>
      </c>
      <c r="AF1383" t="n">
        <v>13</v>
      </c>
      <c r="AG1383" t="n">
        <v>13</v>
      </c>
      <c r="AH1383" t="n">
        <v>4</v>
      </c>
      <c r="AI1383" t="n">
        <v>4</v>
      </c>
      <c r="AJ1383" t="n">
        <v>5</v>
      </c>
      <c r="AK1383" t="n">
        <v>5</v>
      </c>
      <c r="AL1383" t="n">
        <v>7</v>
      </c>
      <c r="AM1383" t="n">
        <v>7</v>
      </c>
      <c r="AN1383" t="n">
        <v>0</v>
      </c>
      <c r="AO1383" t="n">
        <v>0</v>
      </c>
      <c r="AP1383" t="n">
        <v>0</v>
      </c>
      <c r="AQ1383" t="n">
        <v>0</v>
      </c>
      <c r="AR1383" t="inlineStr">
        <is>
          <t>No</t>
        </is>
      </c>
      <c r="AS1383" t="inlineStr">
        <is>
          <t>Yes</t>
        </is>
      </c>
      <c r="AT1383">
        <f>HYPERLINK("http://catalog.hathitrust.org/Record/003115949","HathiTrust Record")</f>
        <v/>
      </c>
      <c r="AU1383">
        <f>HYPERLINK("https://creighton-primo.hosted.exlibrisgroup.com/primo-explore/search?tab=default_tab&amp;search_scope=EVERYTHING&amp;vid=01CRU&amp;lang=en_US&amp;offset=0&amp;query=any,contains,991000839139702656","Catalog Record")</f>
        <v/>
      </c>
      <c r="AV1383">
        <f>HYPERLINK("http://www.worldcat.org/oclc/35249533","WorldCat Record")</f>
        <v/>
      </c>
      <c r="AW1383" t="inlineStr">
        <is>
          <t>3857462448:eng</t>
        </is>
      </c>
      <c r="AX1383" t="inlineStr">
        <is>
          <t>35249533</t>
        </is>
      </c>
      <c r="AY1383" t="inlineStr">
        <is>
          <t>991000839139702656</t>
        </is>
      </c>
      <c r="AZ1383" t="inlineStr">
        <is>
          <t>991000839139702656</t>
        </is>
      </c>
      <c r="BA1383" t="inlineStr">
        <is>
          <t>2256783820002656</t>
        </is>
      </c>
      <c r="BB1383" t="inlineStr">
        <is>
          <t>BOOK</t>
        </is>
      </c>
      <c r="BD1383" t="inlineStr">
        <is>
          <t>9780815113317</t>
        </is>
      </c>
      <c r="BE1383" t="inlineStr">
        <is>
          <t>30001003443613</t>
        </is>
      </c>
      <c r="BF1383" t="inlineStr">
        <is>
          <t>893450509</t>
        </is>
      </c>
    </row>
    <row r="1384">
      <c r="A1384" t="inlineStr">
        <is>
          <t>No</t>
        </is>
      </c>
      <c r="B1384" t="inlineStr">
        <is>
          <t>CUHSL</t>
        </is>
      </c>
      <c r="C1384" t="inlineStr">
        <is>
          <t>SHELVES</t>
        </is>
      </c>
      <c r="D1384" t="inlineStr">
        <is>
          <t>WY 152 G3775 1982</t>
        </is>
      </c>
      <c r="E1384" t="inlineStr">
        <is>
          <t>0                      WY 0152000G  3775        1982</t>
        </is>
      </c>
      <c r="F1384" t="inlineStr">
        <is>
          <t>Gerontology and geriatric nursing / Sir W. Ferguson Anderson ... [et al.].</t>
        </is>
      </c>
      <c r="H1384" t="inlineStr">
        <is>
          <t>No</t>
        </is>
      </c>
      <c r="I1384" t="inlineStr">
        <is>
          <t>1</t>
        </is>
      </c>
      <c r="J1384" t="inlineStr">
        <is>
          <t>No</t>
        </is>
      </c>
      <c r="K1384" t="inlineStr">
        <is>
          <t>No</t>
        </is>
      </c>
      <c r="L1384" t="inlineStr">
        <is>
          <t>0</t>
        </is>
      </c>
      <c r="N1384" t="inlineStr">
        <is>
          <t>London : Hodder and Stoughton, c1982.</t>
        </is>
      </c>
      <c r="O1384" t="inlineStr">
        <is>
          <t>1982</t>
        </is>
      </c>
      <c r="Q1384" t="inlineStr">
        <is>
          <t>eng</t>
        </is>
      </c>
      <c r="R1384" t="inlineStr">
        <is>
          <t>enk</t>
        </is>
      </c>
      <c r="S1384" t="inlineStr">
        <is>
          <t>Modern nursing series</t>
        </is>
      </c>
      <c r="T1384" t="inlineStr">
        <is>
          <t xml:space="preserve">WY </t>
        </is>
      </c>
      <c r="U1384" t="n">
        <v>1</v>
      </c>
      <c r="V1384" t="n">
        <v>1</v>
      </c>
      <c r="W1384" t="inlineStr">
        <is>
          <t>1989-07-08</t>
        </is>
      </c>
      <c r="X1384" t="inlineStr">
        <is>
          <t>1989-07-08</t>
        </is>
      </c>
      <c r="Y1384" t="inlineStr">
        <is>
          <t>1987-12-21</t>
        </is>
      </c>
      <c r="Z1384" t="inlineStr">
        <is>
          <t>1987-12-21</t>
        </is>
      </c>
      <c r="AA1384" t="n">
        <v>71</v>
      </c>
      <c r="AB1384" t="n">
        <v>21</v>
      </c>
      <c r="AC1384" t="n">
        <v>118</v>
      </c>
      <c r="AD1384" t="n">
        <v>1</v>
      </c>
      <c r="AE1384" t="n">
        <v>1</v>
      </c>
      <c r="AF1384" t="n">
        <v>1</v>
      </c>
      <c r="AG1384" t="n">
        <v>3</v>
      </c>
      <c r="AH1384" t="n">
        <v>0</v>
      </c>
      <c r="AI1384" t="n">
        <v>1</v>
      </c>
      <c r="AJ1384" t="n">
        <v>0</v>
      </c>
      <c r="AK1384" t="n">
        <v>1</v>
      </c>
      <c r="AL1384" t="n">
        <v>1</v>
      </c>
      <c r="AM1384" t="n">
        <v>2</v>
      </c>
      <c r="AN1384" t="n">
        <v>0</v>
      </c>
      <c r="AO1384" t="n">
        <v>0</v>
      </c>
      <c r="AP1384" t="n">
        <v>0</v>
      </c>
      <c r="AQ1384" t="n">
        <v>0</v>
      </c>
      <c r="AR1384" t="inlineStr">
        <is>
          <t>No</t>
        </is>
      </c>
      <c r="AS1384" t="inlineStr">
        <is>
          <t>No</t>
        </is>
      </c>
      <c r="AU1384">
        <f>HYPERLINK("https://creighton-primo.hosted.exlibrisgroup.com/primo-explore/search?tab=default_tab&amp;search_scope=EVERYTHING&amp;vid=01CRU&amp;lang=en_US&amp;offset=0&amp;query=any,contains,991000864239702656","Catalog Record")</f>
        <v/>
      </c>
      <c r="AV1384">
        <f>HYPERLINK("http://www.worldcat.org/oclc/8764896","WorldCat Record")</f>
        <v/>
      </c>
      <c r="AW1384" t="inlineStr">
        <is>
          <t>317912546:eng</t>
        </is>
      </c>
      <c r="AX1384" t="inlineStr">
        <is>
          <t>8764896</t>
        </is>
      </c>
      <c r="AY1384" t="inlineStr">
        <is>
          <t>991000864239702656</t>
        </is>
      </c>
      <c r="AZ1384" t="inlineStr">
        <is>
          <t>991000864239702656</t>
        </is>
      </c>
      <c r="BA1384" t="inlineStr">
        <is>
          <t>2265284830002656</t>
        </is>
      </c>
      <c r="BB1384" t="inlineStr">
        <is>
          <t>BOOK</t>
        </is>
      </c>
      <c r="BD1384" t="inlineStr">
        <is>
          <t>9780340262528</t>
        </is>
      </c>
      <c r="BE1384" t="inlineStr">
        <is>
          <t>30001000143844</t>
        </is>
      </c>
      <c r="BF1384" t="inlineStr">
        <is>
          <t>893460056</t>
        </is>
      </c>
    </row>
    <row r="1385">
      <c r="A1385" t="inlineStr">
        <is>
          <t>No</t>
        </is>
      </c>
      <c r="B1385" t="inlineStr">
        <is>
          <t>CUHSL</t>
        </is>
      </c>
      <c r="C1385" t="inlineStr">
        <is>
          <t>SHELVES</t>
        </is>
      </c>
      <c r="D1385" t="inlineStr">
        <is>
          <t>WY 152 G37778 1990</t>
        </is>
      </c>
      <c r="E1385" t="inlineStr">
        <is>
          <t>0                      WY 0152000G  37778       1990</t>
        </is>
      </c>
      <c r="F1385" t="inlineStr">
        <is>
          <t>Geropsychiatric nursing / edited by Mildred O. Hogstel.</t>
        </is>
      </c>
      <c r="H1385" t="inlineStr">
        <is>
          <t>No</t>
        </is>
      </c>
      <c r="I1385" t="inlineStr">
        <is>
          <t>1</t>
        </is>
      </c>
      <c r="J1385" t="inlineStr">
        <is>
          <t>No</t>
        </is>
      </c>
      <c r="K1385" t="inlineStr">
        <is>
          <t>No</t>
        </is>
      </c>
      <c r="L1385" t="inlineStr">
        <is>
          <t>0</t>
        </is>
      </c>
      <c r="N1385" t="inlineStr">
        <is>
          <t>St. Louis : Mosby, c1990.</t>
        </is>
      </c>
      <c r="O1385" t="inlineStr">
        <is>
          <t>1990</t>
        </is>
      </c>
      <c r="Q1385" t="inlineStr">
        <is>
          <t>eng</t>
        </is>
      </c>
      <c r="R1385" t="inlineStr">
        <is>
          <t>xxu</t>
        </is>
      </c>
      <c r="T1385" t="inlineStr">
        <is>
          <t xml:space="preserve">WY </t>
        </is>
      </c>
      <c r="U1385" t="n">
        <v>3</v>
      </c>
      <c r="V1385" t="n">
        <v>3</v>
      </c>
      <c r="W1385" t="inlineStr">
        <is>
          <t>1992-10-10</t>
        </is>
      </c>
      <c r="X1385" t="inlineStr">
        <is>
          <t>1992-10-10</t>
        </is>
      </c>
      <c r="Y1385" t="inlineStr">
        <is>
          <t>1990-06-29</t>
        </is>
      </c>
      <c r="Z1385" t="inlineStr">
        <is>
          <t>1990-06-29</t>
        </is>
      </c>
      <c r="AA1385" t="n">
        <v>353</v>
      </c>
      <c r="AB1385" t="n">
        <v>300</v>
      </c>
      <c r="AC1385" t="n">
        <v>478</v>
      </c>
      <c r="AD1385" t="n">
        <v>3</v>
      </c>
      <c r="AE1385" t="n">
        <v>4</v>
      </c>
      <c r="AF1385" t="n">
        <v>13</v>
      </c>
      <c r="AG1385" t="n">
        <v>22</v>
      </c>
      <c r="AH1385" t="n">
        <v>6</v>
      </c>
      <c r="AI1385" t="n">
        <v>9</v>
      </c>
      <c r="AJ1385" t="n">
        <v>2</v>
      </c>
      <c r="AK1385" t="n">
        <v>4</v>
      </c>
      <c r="AL1385" t="n">
        <v>8</v>
      </c>
      <c r="AM1385" t="n">
        <v>13</v>
      </c>
      <c r="AN1385" t="n">
        <v>1</v>
      </c>
      <c r="AO1385" t="n">
        <v>2</v>
      </c>
      <c r="AP1385" t="n">
        <v>0</v>
      </c>
      <c r="AQ1385" t="n">
        <v>0</v>
      </c>
      <c r="AR1385" t="inlineStr">
        <is>
          <t>No</t>
        </is>
      </c>
      <c r="AS1385" t="inlineStr">
        <is>
          <t>Yes</t>
        </is>
      </c>
      <c r="AT1385">
        <f>HYPERLINK("http://catalog.hathitrust.org/Record/001949138","HathiTrust Record")</f>
        <v/>
      </c>
      <c r="AU1385">
        <f>HYPERLINK("https://creighton-primo.hosted.exlibrisgroup.com/primo-explore/search?tab=default_tab&amp;search_scope=EVERYTHING&amp;vid=01CRU&amp;lang=en_US&amp;offset=0&amp;query=any,contains,991001450739702656","Catalog Record")</f>
        <v/>
      </c>
      <c r="AV1385">
        <f>HYPERLINK("http://www.worldcat.org/oclc/19669362","WorldCat Record")</f>
        <v/>
      </c>
      <c r="AW1385" t="inlineStr">
        <is>
          <t>55207491:eng</t>
        </is>
      </c>
      <c r="AX1385" t="inlineStr">
        <is>
          <t>19669362</t>
        </is>
      </c>
      <c r="AY1385" t="inlineStr">
        <is>
          <t>991001450739702656</t>
        </is>
      </c>
      <c r="AZ1385" t="inlineStr">
        <is>
          <t>991001450739702656</t>
        </is>
      </c>
      <c r="BA1385" t="inlineStr">
        <is>
          <t>2261825660002656</t>
        </is>
      </c>
      <c r="BB1385" t="inlineStr">
        <is>
          <t>BOOK</t>
        </is>
      </c>
      <c r="BD1385" t="inlineStr">
        <is>
          <t>9780801633317</t>
        </is>
      </c>
      <c r="BE1385" t="inlineStr">
        <is>
          <t>30001001882861</t>
        </is>
      </c>
      <c r="BF1385" t="inlineStr">
        <is>
          <t>893834681</t>
        </is>
      </c>
    </row>
    <row r="1386">
      <c r="A1386" t="inlineStr">
        <is>
          <t>No</t>
        </is>
      </c>
      <c r="B1386" t="inlineStr">
        <is>
          <t>CUHSL</t>
        </is>
      </c>
      <c r="C1386" t="inlineStr">
        <is>
          <t>SHELVES</t>
        </is>
      </c>
      <c r="D1386" t="inlineStr">
        <is>
          <t>WY 152 G495n 1985</t>
        </is>
      </c>
      <c r="E1386" t="inlineStr">
        <is>
          <t>0                      WY 0152000G  495n        1985</t>
        </is>
      </c>
      <c r="F1386" t="inlineStr">
        <is>
          <t>Nursing care of the aging client : promoting healthy adaptation / Evelynn Clark Gioiella, Catherine Waechter Bevil ; contributors, Anne J. Doyle, Elizabeth A. Pennington.</t>
        </is>
      </c>
      <c r="H1386" t="inlineStr">
        <is>
          <t>No</t>
        </is>
      </c>
      <c r="I1386" t="inlineStr">
        <is>
          <t>1</t>
        </is>
      </c>
      <c r="J1386" t="inlineStr">
        <is>
          <t>No</t>
        </is>
      </c>
      <c r="K1386" t="inlineStr">
        <is>
          <t>No</t>
        </is>
      </c>
      <c r="L1386" t="inlineStr">
        <is>
          <t>0</t>
        </is>
      </c>
      <c r="M1386" t="inlineStr">
        <is>
          <t>Gioiella, Evelynn Clark.</t>
        </is>
      </c>
      <c r="N1386" t="inlineStr">
        <is>
          <t>Norwalk, Conn. : Appleton-Century-Crofts, c1985.</t>
        </is>
      </c>
      <c r="O1386" t="inlineStr">
        <is>
          <t>1985</t>
        </is>
      </c>
      <c r="Q1386" t="inlineStr">
        <is>
          <t>eng</t>
        </is>
      </c>
      <c r="R1386" t="inlineStr">
        <is>
          <t xml:space="preserve">aa </t>
        </is>
      </c>
      <c r="T1386" t="inlineStr">
        <is>
          <t xml:space="preserve">WY </t>
        </is>
      </c>
      <c r="U1386" t="n">
        <v>54</v>
      </c>
      <c r="V1386" t="n">
        <v>54</v>
      </c>
      <c r="W1386" t="inlineStr">
        <is>
          <t>1995-12-03</t>
        </is>
      </c>
      <c r="X1386" t="inlineStr">
        <is>
          <t>1995-12-03</t>
        </is>
      </c>
      <c r="Y1386" t="inlineStr">
        <is>
          <t>1987-10-23</t>
        </is>
      </c>
      <c r="Z1386" t="inlineStr">
        <is>
          <t>1987-10-23</t>
        </is>
      </c>
      <c r="AA1386" t="n">
        <v>307</v>
      </c>
      <c r="AB1386" t="n">
        <v>263</v>
      </c>
      <c r="AC1386" t="n">
        <v>280</v>
      </c>
      <c r="AD1386" t="n">
        <v>2</v>
      </c>
      <c r="AE1386" t="n">
        <v>2</v>
      </c>
      <c r="AF1386" t="n">
        <v>11</v>
      </c>
      <c r="AG1386" t="n">
        <v>13</v>
      </c>
      <c r="AH1386" t="n">
        <v>6</v>
      </c>
      <c r="AI1386" t="n">
        <v>7</v>
      </c>
      <c r="AJ1386" t="n">
        <v>3</v>
      </c>
      <c r="AK1386" t="n">
        <v>4</v>
      </c>
      <c r="AL1386" t="n">
        <v>6</v>
      </c>
      <c r="AM1386" t="n">
        <v>6</v>
      </c>
      <c r="AN1386" t="n">
        <v>0</v>
      </c>
      <c r="AO1386" t="n">
        <v>0</v>
      </c>
      <c r="AP1386" t="n">
        <v>0</v>
      </c>
      <c r="AQ1386" t="n">
        <v>0</v>
      </c>
      <c r="AR1386" t="inlineStr">
        <is>
          <t>No</t>
        </is>
      </c>
      <c r="AS1386" t="inlineStr">
        <is>
          <t>Yes</t>
        </is>
      </c>
      <c r="AT1386">
        <f>HYPERLINK("http://catalog.hathitrust.org/Record/000331898","HathiTrust Record")</f>
        <v/>
      </c>
      <c r="AU1386">
        <f>HYPERLINK("https://creighton-primo.hosted.exlibrisgroup.com/primo-explore/search?tab=default_tab&amp;search_scope=EVERYTHING&amp;vid=01CRU&amp;lang=en_US&amp;offset=0&amp;query=any,contains,991000734749702656","Catalog Record")</f>
        <v/>
      </c>
      <c r="AV1386">
        <f>HYPERLINK("http://www.worldcat.org/oclc/10948836","WorldCat Record")</f>
        <v/>
      </c>
      <c r="AW1386" t="inlineStr">
        <is>
          <t>3757534:eng</t>
        </is>
      </c>
      <c r="AX1386" t="inlineStr">
        <is>
          <t>10948836</t>
        </is>
      </c>
      <c r="AY1386" t="inlineStr">
        <is>
          <t>991000734749702656</t>
        </is>
      </c>
      <c r="AZ1386" t="inlineStr">
        <is>
          <t>991000734749702656</t>
        </is>
      </c>
      <c r="BA1386" t="inlineStr">
        <is>
          <t>2255748950002656</t>
        </is>
      </c>
      <c r="BB1386" t="inlineStr">
        <is>
          <t>BOOK</t>
        </is>
      </c>
      <c r="BD1386" t="inlineStr">
        <is>
          <t>9780838570142</t>
        </is>
      </c>
      <c r="BE1386" t="inlineStr">
        <is>
          <t>30001000041121</t>
        </is>
      </c>
      <c r="BF1386" t="inlineStr">
        <is>
          <t>893373547</t>
        </is>
      </c>
    </row>
    <row r="1387">
      <c r="A1387" t="inlineStr">
        <is>
          <t>No</t>
        </is>
      </c>
      <c r="B1387" t="inlineStr">
        <is>
          <t>CUHSL</t>
        </is>
      </c>
      <c r="C1387" t="inlineStr">
        <is>
          <t>SHELVES</t>
        </is>
      </c>
      <c r="D1387" t="inlineStr">
        <is>
          <t>WY 152 G646a 1980</t>
        </is>
      </c>
      <c r="E1387" t="inlineStr">
        <is>
          <t>0                      WY 0152000G  646a        1980</t>
        </is>
      </c>
      <c r="F1387" t="inlineStr">
        <is>
          <t>Analysis for action : nursing care of the elderly / Shirley R. Good, Susan S. Rodgers.</t>
        </is>
      </c>
      <c r="H1387" t="inlineStr">
        <is>
          <t>No</t>
        </is>
      </c>
      <c r="I1387" t="inlineStr">
        <is>
          <t>1</t>
        </is>
      </c>
      <c r="J1387" t="inlineStr">
        <is>
          <t>No</t>
        </is>
      </c>
      <c r="K1387" t="inlineStr">
        <is>
          <t>No</t>
        </is>
      </c>
      <c r="L1387" t="inlineStr">
        <is>
          <t>0</t>
        </is>
      </c>
      <c r="M1387" t="inlineStr">
        <is>
          <t>Good, Shirley Ruth, 1930-</t>
        </is>
      </c>
      <c r="N1387" t="inlineStr">
        <is>
          <t>Englewood Cliffs, N.J. : Prentice-Hall, c1980.</t>
        </is>
      </c>
      <c r="O1387" t="inlineStr">
        <is>
          <t>1980</t>
        </is>
      </c>
      <c r="Q1387" t="inlineStr">
        <is>
          <t>eng</t>
        </is>
      </c>
      <c r="R1387" t="inlineStr">
        <is>
          <t>nju</t>
        </is>
      </c>
      <c r="T1387" t="inlineStr">
        <is>
          <t xml:space="preserve">WY </t>
        </is>
      </c>
      <c r="U1387" t="n">
        <v>0</v>
      </c>
      <c r="V1387" t="n">
        <v>0</v>
      </c>
      <c r="W1387" t="inlineStr">
        <is>
          <t>2008-01-08</t>
        </is>
      </c>
      <c r="X1387" t="inlineStr">
        <is>
          <t>2008-01-08</t>
        </is>
      </c>
      <c r="Y1387" t="inlineStr">
        <is>
          <t>2000-06-15</t>
        </is>
      </c>
      <c r="Z1387" t="inlineStr">
        <is>
          <t>2000-06-15</t>
        </is>
      </c>
      <c r="AA1387" t="n">
        <v>220</v>
      </c>
      <c r="AB1387" t="n">
        <v>194</v>
      </c>
      <c r="AC1387" t="n">
        <v>197</v>
      </c>
      <c r="AD1387" t="n">
        <v>3</v>
      </c>
      <c r="AE1387" t="n">
        <v>3</v>
      </c>
      <c r="AF1387" t="n">
        <v>8</v>
      </c>
      <c r="AG1387" t="n">
        <v>8</v>
      </c>
      <c r="AH1387" t="n">
        <v>1</v>
      </c>
      <c r="AI1387" t="n">
        <v>1</v>
      </c>
      <c r="AJ1387" t="n">
        <v>3</v>
      </c>
      <c r="AK1387" t="n">
        <v>3</v>
      </c>
      <c r="AL1387" t="n">
        <v>3</v>
      </c>
      <c r="AM1387" t="n">
        <v>3</v>
      </c>
      <c r="AN1387" t="n">
        <v>2</v>
      </c>
      <c r="AO1387" t="n">
        <v>2</v>
      </c>
      <c r="AP1387" t="n">
        <v>0</v>
      </c>
      <c r="AQ1387" t="n">
        <v>0</v>
      </c>
      <c r="AR1387" t="inlineStr">
        <is>
          <t>No</t>
        </is>
      </c>
      <c r="AS1387" t="inlineStr">
        <is>
          <t>Yes</t>
        </is>
      </c>
      <c r="AT1387">
        <f>HYPERLINK("http://catalog.hathitrust.org/Record/000682464","HathiTrust Record")</f>
        <v/>
      </c>
      <c r="AU1387">
        <f>HYPERLINK("https://creighton-primo.hosted.exlibrisgroup.com/primo-explore/search?tab=default_tab&amp;search_scope=EVERYTHING&amp;vid=01CRU&amp;lang=en_US&amp;offset=0&amp;query=any,contains,991000176489702656","Catalog Record")</f>
        <v/>
      </c>
      <c r="AV1387">
        <f>HYPERLINK("http://www.worldcat.org/oclc/5411191","WorldCat Record")</f>
        <v/>
      </c>
      <c r="AW1387" t="inlineStr">
        <is>
          <t>425821903:eng</t>
        </is>
      </c>
      <c r="AX1387" t="inlineStr">
        <is>
          <t>5411191</t>
        </is>
      </c>
      <c r="AY1387" t="inlineStr">
        <is>
          <t>991000176489702656</t>
        </is>
      </c>
      <c r="AZ1387" t="inlineStr">
        <is>
          <t>991000176489702656</t>
        </is>
      </c>
      <c r="BA1387" t="inlineStr">
        <is>
          <t>2256376970002656</t>
        </is>
      </c>
      <c r="BB1387" t="inlineStr">
        <is>
          <t>BOOK</t>
        </is>
      </c>
      <c r="BD1387" t="inlineStr">
        <is>
          <t>9780130326232</t>
        </is>
      </c>
      <c r="BE1387" t="inlineStr">
        <is>
          <t>30001000143877</t>
        </is>
      </c>
      <c r="BF1387" t="inlineStr">
        <is>
          <t>893135975</t>
        </is>
      </c>
    </row>
    <row r="1388">
      <c r="A1388" t="inlineStr">
        <is>
          <t>No</t>
        </is>
      </c>
      <c r="B1388" t="inlineStr">
        <is>
          <t>CUHSL</t>
        </is>
      </c>
      <c r="C1388" t="inlineStr">
        <is>
          <t>SHELVES</t>
        </is>
      </c>
      <c r="D1388" t="inlineStr">
        <is>
          <t>WY 152 G832a 1984</t>
        </is>
      </c>
      <c r="E1388" t="inlineStr">
        <is>
          <t>0                      WY 0152000G  832a        1984</t>
        </is>
      </c>
      <c r="F1388" t="inlineStr">
        <is>
          <t>The aging person : a holistic perspective / Lucille D. Gress, Rose Therese Bahr.</t>
        </is>
      </c>
      <c r="H1388" t="inlineStr">
        <is>
          <t>No</t>
        </is>
      </c>
      <c r="I1388" t="inlineStr">
        <is>
          <t>1</t>
        </is>
      </c>
      <c r="J1388" t="inlineStr">
        <is>
          <t>No</t>
        </is>
      </c>
      <c r="K1388" t="inlineStr">
        <is>
          <t>No</t>
        </is>
      </c>
      <c r="L1388" t="inlineStr">
        <is>
          <t>0</t>
        </is>
      </c>
      <c r="M1388" t="inlineStr">
        <is>
          <t>Gress, Lucille D.</t>
        </is>
      </c>
      <c r="N1388" t="inlineStr">
        <is>
          <t>St. Louis : Mosby, c1984.</t>
        </is>
      </c>
      <c r="O1388" t="inlineStr">
        <is>
          <t>1984</t>
        </is>
      </c>
      <c r="P1388" t="inlineStr">
        <is>
          <t>lst ed.</t>
        </is>
      </c>
      <c r="Q1388" t="inlineStr">
        <is>
          <t>eng</t>
        </is>
      </c>
      <c r="R1388" t="inlineStr">
        <is>
          <t>xxu</t>
        </is>
      </c>
      <c r="T1388" t="inlineStr">
        <is>
          <t xml:space="preserve">WY </t>
        </is>
      </c>
      <c r="U1388" t="n">
        <v>3</v>
      </c>
      <c r="V1388" t="n">
        <v>3</v>
      </c>
      <c r="W1388" t="inlineStr">
        <is>
          <t>1990-07-22</t>
        </is>
      </c>
      <c r="X1388" t="inlineStr">
        <is>
          <t>1990-07-22</t>
        </is>
      </c>
      <c r="Y1388" t="inlineStr">
        <is>
          <t>1987-12-21</t>
        </is>
      </c>
      <c r="Z1388" t="inlineStr">
        <is>
          <t>1987-12-21</t>
        </is>
      </c>
      <c r="AA1388" t="n">
        <v>360</v>
      </c>
      <c r="AB1388" t="n">
        <v>295</v>
      </c>
      <c r="AC1388" t="n">
        <v>302</v>
      </c>
      <c r="AD1388" t="n">
        <v>4</v>
      </c>
      <c r="AE1388" t="n">
        <v>4</v>
      </c>
      <c r="AF1388" t="n">
        <v>7</v>
      </c>
      <c r="AG1388" t="n">
        <v>7</v>
      </c>
      <c r="AH1388" t="n">
        <v>2</v>
      </c>
      <c r="AI1388" t="n">
        <v>2</v>
      </c>
      <c r="AJ1388" t="n">
        <v>0</v>
      </c>
      <c r="AK1388" t="n">
        <v>0</v>
      </c>
      <c r="AL1388" t="n">
        <v>4</v>
      </c>
      <c r="AM1388" t="n">
        <v>4</v>
      </c>
      <c r="AN1388" t="n">
        <v>2</v>
      </c>
      <c r="AO1388" t="n">
        <v>2</v>
      </c>
      <c r="AP1388" t="n">
        <v>0</v>
      </c>
      <c r="AQ1388" t="n">
        <v>0</v>
      </c>
      <c r="AR1388" t="inlineStr">
        <is>
          <t>No</t>
        </is>
      </c>
      <c r="AS1388" t="inlineStr">
        <is>
          <t>Yes</t>
        </is>
      </c>
      <c r="AT1388">
        <f>HYPERLINK("http://catalog.hathitrust.org/Record/000204479","HathiTrust Record")</f>
        <v/>
      </c>
      <c r="AU1388">
        <f>HYPERLINK("https://creighton-primo.hosted.exlibrisgroup.com/primo-explore/search?tab=default_tab&amp;search_scope=EVERYTHING&amp;vid=01CRU&amp;lang=en_US&amp;offset=0&amp;query=any,contains,991000864289702656","Catalog Record")</f>
        <v/>
      </c>
      <c r="AV1388">
        <f>HYPERLINK("http://www.worldcat.org/oclc/9489046","WorldCat Record")</f>
        <v/>
      </c>
      <c r="AW1388" t="inlineStr">
        <is>
          <t>19898773:eng</t>
        </is>
      </c>
      <c r="AX1388" t="inlineStr">
        <is>
          <t>9489046</t>
        </is>
      </c>
      <c r="AY1388" t="inlineStr">
        <is>
          <t>991000864289702656</t>
        </is>
      </c>
      <c r="AZ1388" t="inlineStr">
        <is>
          <t>991000864289702656</t>
        </is>
      </c>
      <c r="BA1388" t="inlineStr">
        <is>
          <t>2264662960002656</t>
        </is>
      </c>
      <c r="BB1388" t="inlineStr">
        <is>
          <t>BOOK</t>
        </is>
      </c>
      <c r="BD1388" t="inlineStr">
        <is>
          <t>9780801620324</t>
        </is>
      </c>
      <c r="BE1388" t="inlineStr">
        <is>
          <t>30001000143885</t>
        </is>
      </c>
      <c r="BF1388" t="inlineStr">
        <is>
          <t>893467690</t>
        </is>
      </c>
    </row>
    <row r="1389">
      <c r="A1389" t="inlineStr">
        <is>
          <t>No</t>
        </is>
      </c>
      <c r="B1389" t="inlineStr">
        <is>
          <t>CUHSL</t>
        </is>
      </c>
      <c r="C1389" t="inlineStr">
        <is>
          <t>SHELVES</t>
        </is>
      </c>
      <c r="D1389" t="inlineStr">
        <is>
          <t>WY 152 G946 1968</t>
        </is>
      </c>
      <c r="E1389" t="inlineStr">
        <is>
          <t>0                      WY 0152000G  946         1968</t>
        </is>
      </c>
      <c r="F1389" t="inlineStr">
        <is>
          <t>Guide for assessing nursing services in long term care facilities.</t>
        </is>
      </c>
      <c r="H1389" t="inlineStr">
        <is>
          <t>No</t>
        </is>
      </c>
      <c r="I1389" t="inlineStr">
        <is>
          <t>1</t>
        </is>
      </c>
      <c r="J1389" t="inlineStr">
        <is>
          <t>No</t>
        </is>
      </c>
      <c r="K1389" t="inlineStr">
        <is>
          <t>No</t>
        </is>
      </c>
      <c r="L1389" t="inlineStr">
        <is>
          <t>0</t>
        </is>
      </c>
      <c r="N1389" t="inlineStr">
        <is>
          <t>New York : National League for Nursing, c1968.</t>
        </is>
      </c>
      <c r="O1389" t="inlineStr">
        <is>
          <t>1968</t>
        </is>
      </c>
      <c r="Q1389" t="inlineStr">
        <is>
          <t>eng</t>
        </is>
      </c>
      <c r="R1389" t="inlineStr">
        <is>
          <t xml:space="preserve">xx </t>
        </is>
      </c>
      <c r="S1389" t="inlineStr">
        <is>
          <t>NLN pub. no. 20-1341</t>
        </is>
      </c>
      <c r="T1389" t="inlineStr">
        <is>
          <t xml:space="preserve">WY </t>
        </is>
      </c>
      <c r="U1389" t="n">
        <v>1</v>
      </c>
      <c r="V1389" t="n">
        <v>1</v>
      </c>
      <c r="W1389" t="inlineStr">
        <is>
          <t>1990-05-04</t>
        </is>
      </c>
      <c r="X1389" t="inlineStr">
        <is>
          <t>1990-05-04</t>
        </is>
      </c>
      <c r="Y1389" t="inlineStr">
        <is>
          <t>1987-11-04</t>
        </is>
      </c>
      <c r="Z1389" t="inlineStr">
        <is>
          <t>1987-11-04</t>
        </is>
      </c>
      <c r="AA1389" t="n">
        <v>39</v>
      </c>
      <c r="AB1389" t="n">
        <v>35</v>
      </c>
      <c r="AC1389" t="n">
        <v>38</v>
      </c>
      <c r="AD1389" t="n">
        <v>1</v>
      </c>
      <c r="AE1389" t="n">
        <v>1</v>
      </c>
      <c r="AF1389" t="n">
        <v>1</v>
      </c>
      <c r="AG1389" t="n">
        <v>1</v>
      </c>
      <c r="AH1389" t="n">
        <v>0</v>
      </c>
      <c r="AI1389" t="n">
        <v>0</v>
      </c>
      <c r="AJ1389" t="n">
        <v>0</v>
      </c>
      <c r="AK1389" t="n">
        <v>0</v>
      </c>
      <c r="AL1389" t="n">
        <v>1</v>
      </c>
      <c r="AM1389" t="n">
        <v>1</v>
      </c>
      <c r="AN1389" t="n">
        <v>0</v>
      </c>
      <c r="AO1389" t="n">
        <v>0</v>
      </c>
      <c r="AP1389" t="n">
        <v>0</v>
      </c>
      <c r="AQ1389" t="n">
        <v>0</v>
      </c>
      <c r="AR1389" t="inlineStr">
        <is>
          <t>No</t>
        </is>
      </c>
      <c r="AS1389" t="inlineStr">
        <is>
          <t>Yes</t>
        </is>
      </c>
      <c r="AT1389">
        <f>HYPERLINK("http://catalog.hathitrust.org/Record/000192596","HathiTrust Record")</f>
        <v/>
      </c>
      <c r="AU1389">
        <f>HYPERLINK("https://creighton-primo.hosted.exlibrisgroup.com/primo-explore/search?tab=default_tab&amp;search_scope=EVERYTHING&amp;vid=01CRU&amp;lang=en_US&amp;offset=0&amp;query=any,contains,991001384149702656","Catalog Record")</f>
        <v/>
      </c>
      <c r="AV1389">
        <f>HYPERLINK("http://www.worldcat.org/oclc/1471687","WorldCat Record")</f>
        <v/>
      </c>
      <c r="AW1389" t="inlineStr">
        <is>
          <t>2351166:eng</t>
        </is>
      </c>
      <c r="AX1389" t="inlineStr">
        <is>
          <t>1471687</t>
        </is>
      </c>
      <c r="AY1389" t="inlineStr">
        <is>
          <t>991001384149702656</t>
        </is>
      </c>
      <c r="AZ1389" t="inlineStr">
        <is>
          <t>991001384149702656</t>
        </is>
      </c>
      <c r="BA1389" t="inlineStr">
        <is>
          <t>2255479900002656</t>
        </is>
      </c>
      <c r="BB1389" t="inlineStr">
        <is>
          <t>BOOK</t>
        </is>
      </c>
      <c r="BE1389" t="inlineStr">
        <is>
          <t>30001000463366</t>
        </is>
      </c>
      <c r="BF1389" t="inlineStr">
        <is>
          <t>893465446</t>
        </is>
      </c>
    </row>
    <row r="1390">
      <c r="A1390" t="inlineStr">
        <is>
          <t>No</t>
        </is>
      </c>
      <c r="B1390" t="inlineStr">
        <is>
          <t>CUHSL</t>
        </is>
      </c>
      <c r="C1390" t="inlineStr">
        <is>
          <t>SHELVES</t>
        </is>
      </c>
      <c r="D1390" t="inlineStr">
        <is>
          <t>WY 152 H434 1984</t>
        </is>
      </c>
      <c r="E1390" t="inlineStr">
        <is>
          <t>0                      WY 0152000H  434         1984</t>
        </is>
      </c>
      <c r="F1390" t="inlineStr">
        <is>
          <t>Health assessment of the older adult / editor, Charlotte Eliopoulos.</t>
        </is>
      </c>
      <c r="H1390" t="inlineStr">
        <is>
          <t>No</t>
        </is>
      </c>
      <c r="I1390" t="inlineStr">
        <is>
          <t>1</t>
        </is>
      </c>
      <c r="J1390" t="inlineStr">
        <is>
          <t>No</t>
        </is>
      </c>
      <c r="K1390" t="inlineStr">
        <is>
          <t>No</t>
        </is>
      </c>
      <c r="L1390" t="inlineStr">
        <is>
          <t>0</t>
        </is>
      </c>
      <c r="N1390" t="inlineStr">
        <is>
          <t>Menlo Park, Calif. : Addison-Wesley, Nursing Division, c1984.</t>
        </is>
      </c>
      <c r="O1390" t="inlineStr">
        <is>
          <t>1984</t>
        </is>
      </c>
      <c r="Q1390" t="inlineStr">
        <is>
          <t>eng</t>
        </is>
      </c>
      <c r="R1390" t="inlineStr">
        <is>
          <t>xxu</t>
        </is>
      </c>
      <c r="T1390" t="inlineStr">
        <is>
          <t xml:space="preserve">WY </t>
        </is>
      </c>
      <c r="U1390" t="n">
        <v>4</v>
      </c>
      <c r="V1390" t="n">
        <v>4</v>
      </c>
      <c r="W1390" t="inlineStr">
        <is>
          <t>1989-12-22</t>
        </is>
      </c>
      <c r="X1390" t="inlineStr">
        <is>
          <t>1989-12-22</t>
        </is>
      </c>
      <c r="Y1390" t="inlineStr">
        <is>
          <t>1987-11-17</t>
        </is>
      </c>
      <c r="Z1390" t="inlineStr">
        <is>
          <t>1987-11-17</t>
        </is>
      </c>
      <c r="AA1390" t="n">
        <v>222</v>
      </c>
      <c r="AB1390" t="n">
        <v>182</v>
      </c>
      <c r="AC1390" t="n">
        <v>356</v>
      </c>
      <c r="AD1390" t="n">
        <v>2</v>
      </c>
      <c r="AE1390" t="n">
        <v>3</v>
      </c>
      <c r="AF1390" t="n">
        <v>6</v>
      </c>
      <c r="AG1390" t="n">
        <v>13</v>
      </c>
      <c r="AH1390" t="n">
        <v>1</v>
      </c>
      <c r="AI1390" t="n">
        <v>4</v>
      </c>
      <c r="AJ1390" t="n">
        <v>4</v>
      </c>
      <c r="AK1390" t="n">
        <v>4</v>
      </c>
      <c r="AL1390" t="n">
        <v>3</v>
      </c>
      <c r="AM1390" t="n">
        <v>8</v>
      </c>
      <c r="AN1390" t="n">
        <v>0</v>
      </c>
      <c r="AO1390" t="n">
        <v>1</v>
      </c>
      <c r="AP1390" t="n">
        <v>0</v>
      </c>
      <c r="AQ1390" t="n">
        <v>0</v>
      </c>
      <c r="AR1390" t="inlineStr">
        <is>
          <t>No</t>
        </is>
      </c>
      <c r="AS1390" t="inlineStr">
        <is>
          <t>Yes</t>
        </is>
      </c>
      <c r="AT1390">
        <f>HYPERLINK("http://catalog.hathitrust.org/Record/000244967","HathiTrust Record")</f>
        <v/>
      </c>
      <c r="AU1390">
        <f>HYPERLINK("https://creighton-primo.hosted.exlibrisgroup.com/primo-explore/search?tab=default_tab&amp;search_scope=EVERYTHING&amp;vid=01CRU&amp;lang=en_US&amp;offset=0&amp;query=any,contains,991001531499702656","Catalog Record")</f>
        <v/>
      </c>
      <c r="AV1390">
        <f>HYPERLINK("http://www.worldcat.org/oclc/9945016","WorldCat Record")</f>
        <v/>
      </c>
      <c r="AW1390" t="inlineStr">
        <is>
          <t>22210274:eng</t>
        </is>
      </c>
      <c r="AX1390" t="inlineStr">
        <is>
          <t>9945016</t>
        </is>
      </c>
      <c r="AY1390" t="inlineStr">
        <is>
          <t>991001531499702656</t>
        </is>
      </c>
      <c r="AZ1390" t="inlineStr">
        <is>
          <t>991001531499702656</t>
        </is>
      </c>
      <c r="BA1390" t="inlineStr">
        <is>
          <t>2264820020002656</t>
        </is>
      </c>
      <c r="BB1390" t="inlineStr">
        <is>
          <t>BOOK</t>
        </is>
      </c>
      <c r="BD1390" t="inlineStr">
        <is>
          <t>9780201033458</t>
        </is>
      </c>
      <c r="BE1390" t="inlineStr">
        <is>
          <t>30001000621591</t>
        </is>
      </c>
      <c r="BF1390" t="inlineStr">
        <is>
          <t>893460686</t>
        </is>
      </c>
    </row>
    <row r="1391">
      <c r="A1391" t="inlineStr">
        <is>
          <t>No</t>
        </is>
      </c>
      <c r="B1391" t="inlineStr">
        <is>
          <t>CUHSL</t>
        </is>
      </c>
      <c r="C1391" t="inlineStr">
        <is>
          <t>SHELVES</t>
        </is>
      </c>
      <c r="D1391" t="inlineStr">
        <is>
          <t>WY 152 H451n 1982</t>
        </is>
      </c>
      <c r="E1391" t="inlineStr">
        <is>
          <t>0                      WY 0152000H  451n        1982</t>
        </is>
      </c>
      <c r="F1391" t="inlineStr">
        <is>
          <t>Nursing care for the dying patient and the family / Winifred Hector and Sarah Whitfield.</t>
        </is>
      </c>
      <c r="H1391" t="inlineStr">
        <is>
          <t>No</t>
        </is>
      </c>
      <c r="I1391" t="inlineStr">
        <is>
          <t>1</t>
        </is>
      </c>
      <c r="J1391" t="inlineStr">
        <is>
          <t>No</t>
        </is>
      </c>
      <c r="K1391" t="inlineStr">
        <is>
          <t>No</t>
        </is>
      </c>
      <c r="L1391" t="inlineStr">
        <is>
          <t>0</t>
        </is>
      </c>
      <c r="M1391" t="inlineStr">
        <is>
          <t>Hector, Winifred.</t>
        </is>
      </c>
      <c r="N1391" t="inlineStr">
        <is>
          <t>London : Heinemann Medical Books, c1982.</t>
        </is>
      </c>
      <c r="O1391" t="inlineStr">
        <is>
          <t>1982</t>
        </is>
      </c>
      <c r="Q1391" t="inlineStr">
        <is>
          <t>eng</t>
        </is>
      </c>
      <c r="R1391" t="inlineStr">
        <is>
          <t>enk</t>
        </is>
      </c>
      <c r="T1391" t="inlineStr">
        <is>
          <t xml:space="preserve">WY </t>
        </is>
      </c>
      <c r="U1391" t="n">
        <v>6</v>
      </c>
      <c r="V1391" t="n">
        <v>6</v>
      </c>
      <c r="W1391" t="inlineStr">
        <is>
          <t>1994-09-08</t>
        </is>
      </c>
      <c r="X1391" t="inlineStr">
        <is>
          <t>1994-09-08</t>
        </is>
      </c>
      <c r="Y1391" t="inlineStr">
        <is>
          <t>1987-12-21</t>
        </is>
      </c>
      <c r="Z1391" t="inlineStr">
        <is>
          <t>1987-12-21</t>
        </is>
      </c>
      <c r="AA1391" t="n">
        <v>82</v>
      </c>
      <c r="AB1391" t="n">
        <v>12</v>
      </c>
      <c r="AC1391" t="n">
        <v>12</v>
      </c>
      <c r="AD1391" t="n">
        <v>1</v>
      </c>
      <c r="AE1391" t="n">
        <v>1</v>
      </c>
      <c r="AF1391" t="n">
        <v>0</v>
      </c>
      <c r="AG1391" t="n">
        <v>0</v>
      </c>
      <c r="AH1391" t="n">
        <v>0</v>
      </c>
      <c r="AI1391" t="n">
        <v>0</v>
      </c>
      <c r="AJ1391" t="n">
        <v>0</v>
      </c>
      <c r="AK1391" t="n">
        <v>0</v>
      </c>
      <c r="AL1391" t="n">
        <v>0</v>
      </c>
      <c r="AM1391" t="n">
        <v>0</v>
      </c>
      <c r="AN1391" t="n">
        <v>0</v>
      </c>
      <c r="AO1391" t="n">
        <v>0</v>
      </c>
      <c r="AP1391" t="n">
        <v>0</v>
      </c>
      <c r="AQ1391" t="n">
        <v>0</v>
      </c>
      <c r="AR1391" t="inlineStr">
        <is>
          <t>No</t>
        </is>
      </c>
      <c r="AS1391" t="inlineStr">
        <is>
          <t>No</t>
        </is>
      </c>
      <c r="AU1391">
        <f>HYPERLINK("https://creighton-primo.hosted.exlibrisgroup.com/primo-explore/search?tab=default_tab&amp;search_scope=EVERYTHING&amp;vid=01CRU&amp;lang=en_US&amp;offset=0&amp;query=any,contains,991000864329702656","Catalog Record")</f>
        <v/>
      </c>
      <c r="AV1391">
        <f>HYPERLINK("http://www.worldcat.org/oclc/9017285","WorldCat Record")</f>
        <v/>
      </c>
      <c r="AW1391" t="inlineStr">
        <is>
          <t>43313741:eng</t>
        </is>
      </c>
      <c r="AX1391" t="inlineStr">
        <is>
          <t>9017285</t>
        </is>
      </c>
      <c r="AY1391" t="inlineStr">
        <is>
          <t>991000864329702656</t>
        </is>
      </c>
      <c r="AZ1391" t="inlineStr">
        <is>
          <t>991000864329702656</t>
        </is>
      </c>
      <c r="BA1391" t="inlineStr">
        <is>
          <t>2258027680002656</t>
        </is>
      </c>
      <c r="BB1391" t="inlineStr">
        <is>
          <t>BOOK</t>
        </is>
      </c>
      <c r="BD1391" t="inlineStr">
        <is>
          <t>9780433142195</t>
        </is>
      </c>
      <c r="BE1391" t="inlineStr">
        <is>
          <t>30001000143893</t>
        </is>
      </c>
      <c r="BF1391" t="inlineStr">
        <is>
          <t>893357896</t>
        </is>
      </c>
    </row>
    <row r="1392">
      <c r="A1392" t="inlineStr">
        <is>
          <t>No</t>
        </is>
      </c>
      <c r="B1392" t="inlineStr">
        <is>
          <t>CUHSL</t>
        </is>
      </c>
      <c r="C1392" t="inlineStr">
        <is>
          <t>SHELVES</t>
        </is>
      </c>
      <c r="D1392" t="inlineStr">
        <is>
          <t>WY 152 H464a 1998</t>
        </is>
      </c>
      <c r="E1392" t="inlineStr">
        <is>
          <t>0                      WY 0152000H  464a        1998</t>
        </is>
      </c>
      <c r="F1392" t="inlineStr">
        <is>
          <t>Assisting in long-term care / Barbara R. Hegner, Esther Caldwell ; contributing author, Joan F. Needham.</t>
        </is>
      </c>
      <c r="H1392" t="inlineStr">
        <is>
          <t>No</t>
        </is>
      </c>
      <c r="I1392" t="inlineStr">
        <is>
          <t>1</t>
        </is>
      </c>
      <c r="J1392" t="inlineStr">
        <is>
          <t>No</t>
        </is>
      </c>
      <c r="K1392" t="inlineStr">
        <is>
          <t>No</t>
        </is>
      </c>
      <c r="L1392" t="inlineStr">
        <is>
          <t>0</t>
        </is>
      </c>
      <c r="M1392" t="inlineStr">
        <is>
          <t>Hegner, Barbara R.</t>
        </is>
      </c>
      <c r="N1392" t="inlineStr">
        <is>
          <t>Albany [N.Y.] : Delmar Publishers, c1998.</t>
        </is>
      </c>
      <c r="O1392" t="inlineStr">
        <is>
          <t>1998</t>
        </is>
      </c>
      <c r="P1392" t="inlineStr">
        <is>
          <t>3rd ed.</t>
        </is>
      </c>
      <c r="Q1392" t="inlineStr">
        <is>
          <t>eng</t>
        </is>
      </c>
      <c r="R1392" t="inlineStr">
        <is>
          <t>nyu</t>
        </is>
      </c>
      <c r="T1392" t="inlineStr">
        <is>
          <t xml:space="preserve">WY </t>
        </is>
      </c>
      <c r="U1392" t="n">
        <v>2</v>
      </c>
      <c r="V1392" t="n">
        <v>2</v>
      </c>
      <c r="W1392" t="inlineStr">
        <is>
          <t>1999-06-15</t>
        </is>
      </c>
      <c r="X1392" t="inlineStr">
        <is>
          <t>1999-06-15</t>
        </is>
      </c>
      <c r="Y1392" t="inlineStr">
        <is>
          <t>1997-11-14</t>
        </is>
      </c>
      <c r="Z1392" t="inlineStr">
        <is>
          <t>1997-11-14</t>
        </is>
      </c>
      <c r="AA1392" t="n">
        <v>48</v>
      </c>
      <c r="AB1392" t="n">
        <v>38</v>
      </c>
      <c r="AC1392" t="n">
        <v>268</v>
      </c>
      <c r="AD1392" t="n">
        <v>1</v>
      </c>
      <c r="AE1392" t="n">
        <v>3</v>
      </c>
      <c r="AF1392" t="n">
        <v>0</v>
      </c>
      <c r="AG1392" t="n">
        <v>3</v>
      </c>
      <c r="AH1392" t="n">
        <v>0</v>
      </c>
      <c r="AI1392" t="n">
        <v>0</v>
      </c>
      <c r="AJ1392" t="n">
        <v>0</v>
      </c>
      <c r="AK1392" t="n">
        <v>0</v>
      </c>
      <c r="AL1392" t="n">
        <v>0</v>
      </c>
      <c r="AM1392" t="n">
        <v>1</v>
      </c>
      <c r="AN1392" t="n">
        <v>0</v>
      </c>
      <c r="AO1392" t="n">
        <v>2</v>
      </c>
      <c r="AP1392" t="n">
        <v>0</v>
      </c>
      <c r="AQ1392" t="n">
        <v>0</v>
      </c>
      <c r="AR1392" t="inlineStr">
        <is>
          <t>No</t>
        </is>
      </c>
      <c r="AS1392" t="inlineStr">
        <is>
          <t>Yes</t>
        </is>
      </c>
      <c r="AT1392">
        <f>HYPERLINK("http://catalog.hathitrust.org/Record/003946767","HathiTrust Record")</f>
        <v/>
      </c>
      <c r="AU1392">
        <f>HYPERLINK("https://creighton-primo.hosted.exlibrisgroup.com/primo-explore/search?tab=default_tab&amp;search_scope=EVERYTHING&amp;vid=01CRU&amp;lang=en_US&amp;offset=0&amp;query=any,contains,991001140519702656","Catalog Record")</f>
        <v/>
      </c>
      <c r="AV1392">
        <f>HYPERLINK("http://www.worldcat.org/oclc/36225478","WorldCat Record")</f>
        <v/>
      </c>
      <c r="AW1392" t="inlineStr">
        <is>
          <t>11829283:eng</t>
        </is>
      </c>
      <c r="AX1392" t="inlineStr">
        <is>
          <t>36225478</t>
        </is>
      </c>
      <c r="AY1392" t="inlineStr">
        <is>
          <t>991001140519702656</t>
        </is>
      </c>
      <c r="AZ1392" t="inlineStr">
        <is>
          <t>991001140519702656</t>
        </is>
      </c>
      <c r="BA1392" t="inlineStr">
        <is>
          <t>2272467980002656</t>
        </is>
      </c>
      <c r="BB1392" t="inlineStr">
        <is>
          <t>BOOK</t>
        </is>
      </c>
      <c r="BD1392" t="inlineStr">
        <is>
          <t>9780827382596</t>
        </is>
      </c>
      <c r="BE1392" t="inlineStr">
        <is>
          <t>30001003629708</t>
        </is>
      </c>
      <c r="BF1392" t="inlineStr">
        <is>
          <t>893161706</t>
        </is>
      </c>
    </row>
    <row r="1393">
      <c r="A1393" t="inlineStr">
        <is>
          <t>No</t>
        </is>
      </c>
      <c r="B1393" t="inlineStr">
        <is>
          <t>CUHSL</t>
        </is>
      </c>
      <c r="C1393" t="inlineStr">
        <is>
          <t>SHELVES</t>
        </is>
      </c>
      <c r="D1393" t="inlineStr">
        <is>
          <t>WY 152 H586u 1977</t>
        </is>
      </c>
      <c r="E1393" t="inlineStr">
        <is>
          <t>0                      WY 0152000H  586u        1977</t>
        </is>
      </c>
      <c r="F1393" t="inlineStr">
        <is>
          <t>Understanding the aging patient / Patricia A. Hess ; with Candra Day.</t>
        </is>
      </c>
      <c r="H1393" t="inlineStr">
        <is>
          <t>No</t>
        </is>
      </c>
      <c r="I1393" t="inlineStr">
        <is>
          <t>1</t>
        </is>
      </c>
      <c r="J1393" t="inlineStr">
        <is>
          <t>No</t>
        </is>
      </c>
      <c r="K1393" t="inlineStr">
        <is>
          <t>No</t>
        </is>
      </c>
      <c r="L1393" t="inlineStr">
        <is>
          <t>0</t>
        </is>
      </c>
      <c r="M1393" t="inlineStr">
        <is>
          <t>Hess, Patricia A., 1938-</t>
        </is>
      </c>
      <c r="N1393" t="inlineStr">
        <is>
          <t>-- Bowie, Md. : Brady, c1977.</t>
        </is>
      </c>
      <c r="O1393" t="inlineStr">
        <is>
          <t>1977</t>
        </is>
      </c>
      <c r="Q1393" t="inlineStr">
        <is>
          <t>eng</t>
        </is>
      </c>
      <c r="R1393" t="inlineStr">
        <is>
          <t>mdu</t>
        </is>
      </c>
      <c r="T1393" t="inlineStr">
        <is>
          <t xml:space="preserve">WY </t>
        </is>
      </c>
      <c r="U1393" t="n">
        <v>2</v>
      </c>
      <c r="V1393" t="n">
        <v>2</v>
      </c>
      <c r="W1393" t="inlineStr">
        <is>
          <t>1989-07-08</t>
        </is>
      </c>
      <c r="X1393" t="inlineStr">
        <is>
          <t>1989-07-08</t>
        </is>
      </c>
      <c r="Y1393" t="inlineStr">
        <is>
          <t>1987-12-21</t>
        </is>
      </c>
      <c r="Z1393" t="inlineStr">
        <is>
          <t>1987-12-21</t>
        </is>
      </c>
      <c r="AA1393" t="n">
        <v>240</v>
      </c>
      <c r="AB1393" t="n">
        <v>213</v>
      </c>
      <c r="AC1393" t="n">
        <v>213</v>
      </c>
      <c r="AD1393" t="n">
        <v>3</v>
      </c>
      <c r="AE1393" t="n">
        <v>3</v>
      </c>
      <c r="AF1393" t="n">
        <v>9</v>
      </c>
      <c r="AG1393" t="n">
        <v>9</v>
      </c>
      <c r="AH1393" t="n">
        <v>2</v>
      </c>
      <c r="AI1393" t="n">
        <v>2</v>
      </c>
      <c r="AJ1393" t="n">
        <v>3</v>
      </c>
      <c r="AK1393" t="n">
        <v>3</v>
      </c>
      <c r="AL1393" t="n">
        <v>4</v>
      </c>
      <c r="AM1393" t="n">
        <v>4</v>
      </c>
      <c r="AN1393" t="n">
        <v>2</v>
      </c>
      <c r="AO1393" t="n">
        <v>2</v>
      </c>
      <c r="AP1393" t="n">
        <v>0</v>
      </c>
      <c r="AQ1393" t="n">
        <v>0</v>
      </c>
      <c r="AR1393" t="inlineStr">
        <is>
          <t>No</t>
        </is>
      </c>
      <c r="AS1393" t="inlineStr">
        <is>
          <t>Yes</t>
        </is>
      </c>
      <c r="AT1393">
        <f>HYPERLINK("http://catalog.hathitrust.org/Record/010058032","HathiTrust Record")</f>
        <v/>
      </c>
      <c r="AU1393">
        <f>HYPERLINK("https://creighton-primo.hosted.exlibrisgroup.com/primo-explore/search?tab=default_tab&amp;search_scope=EVERYTHING&amp;vid=01CRU&amp;lang=en_US&amp;offset=0&amp;query=any,contains,991000864419702656","Catalog Record")</f>
        <v/>
      </c>
      <c r="AV1393">
        <f>HYPERLINK("http://www.worldcat.org/oclc/2818625","WorldCat Record")</f>
        <v/>
      </c>
      <c r="AW1393" t="inlineStr">
        <is>
          <t>6232514:eng</t>
        </is>
      </c>
      <c r="AX1393" t="inlineStr">
        <is>
          <t>2818625</t>
        </is>
      </c>
      <c r="AY1393" t="inlineStr">
        <is>
          <t>991000864419702656</t>
        </is>
      </c>
      <c r="AZ1393" t="inlineStr">
        <is>
          <t>991000864419702656</t>
        </is>
      </c>
      <c r="BA1393" t="inlineStr">
        <is>
          <t>2267766730002656</t>
        </is>
      </c>
      <c r="BB1393" t="inlineStr">
        <is>
          <t>BOOK</t>
        </is>
      </c>
      <c r="BD1393" t="inlineStr">
        <is>
          <t>9780876187333</t>
        </is>
      </c>
      <c r="BE1393" t="inlineStr">
        <is>
          <t>30001000143919</t>
        </is>
      </c>
      <c r="BF1393" t="inlineStr">
        <is>
          <t>893460057</t>
        </is>
      </c>
    </row>
    <row r="1394">
      <c r="A1394" t="inlineStr">
        <is>
          <t>No</t>
        </is>
      </c>
      <c r="B1394" t="inlineStr">
        <is>
          <t>CUHSL</t>
        </is>
      </c>
      <c r="C1394" t="inlineStr">
        <is>
          <t>SHELVES</t>
        </is>
      </c>
      <c r="D1394" t="inlineStr">
        <is>
          <t>WY 152 H765 1985</t>
        </is>
      </c>
      <c r="E1394" t="inlineStr">
        <is>
          <t>0                      WY 0152000H  765         1985</t>
        </is>
      </c>
      <c r="F1394" t="inlineStr">
        <is>
          <t>Home nursing care for the elderly / editor, Mildred O. Hogstel.</t>
        </is>
      </c>
      <c r="H1394" t="inlineStr">
        <is>
          <t>No</t>
        </is>
      </c>
      <c r="I1394" t="inlineStr">
        <is>
          <t>1</t>
        </is>
      </c>
      <c r="J1394" t="inlineStr">
        <is>
          <t>No</t>
        </is>
      </c>
      <c r="K1394" t="inlineStr">
        <is>
          <t>No</t>
        </is>
      </c>
      <c r="L1394" t="inlineStr">
        <is>
          <t>0</t>
        </is>
      </c>
      <c r="N1394" t="inlineStr">
        <is>
          <t>Bowie, MD : Brady Communications Co., c1985.</t>
        </is>
      </c>
      <c r="O1394" t="inlineStr">
        <is>
          <t>1985</t>
        </is>
      </c>
      <c r="Q1394" t="inlineStr">
        <is>
          <t>eng</t>
        </is>
      </c>
      <c r="R1394" t="inlineStr">
        <is>
          <t>xxu</t>
        </is>
      </c>
      <c r="T1394" t="inlineStr">
        <is>
          <t xml:space="preserve">WY </t>
        </is>
      </c>
      <c r="U1394" t="n">
        <v>2</v>
      </c>
      <c r="V1394" t="n">
        <v>2</v>
      </c>
      <c r="W1394" t="inlineStr">
        <is>
          <t>1989-08-21</t>
        </is>
      </c>
      <c r="X1394" t="inlineStr">
        <is>
          <t>1989-08-21</t>
        </is>
      </c>
      <c r="Y1394" t="inlineStr">
        <is>
          <t>1987-12-21</t>
        </is>
      </c>
      <c r="Z1394" t="inlineStr">
        <is>
          <t>1987-12-21</t>
        </is>
      </c>
      <c r="AA1394" t="n">
        <v>223</v>
      </c>
      <c r="AB1394" t="n">
        <v>187</v>
      </c>
      <c r="AC1394" t="n">
        <v>189</v>
      </c>
      <c r="AD1394" t="n">
        <v>1</v>
      </c>
      <c r="AE1394" t="n">
        <v>1</v>
      </c>
      <c r="AF1394" t="n">
        <v>6</v>
      </c>
      <c r="AG1394" t="n">
        <v>6</v>
      </c>
      <c r="AH1394" t="n">
        <v>3</v>
      </c>
      <c r="AI1394" t="n">
        <v>3</v>
      </c>
      <c r="AJ1394" t="n">
        <v>2</v>
      </c>
      <c r="AK1394" t="n">
        <v>2</v>
      </c>
      <c r="AL1394" t="n">
        <v>4</v>
      </c>
      <c r="AM1394" t="n">
        <v>4</v>
      </c>
      <c r="AN1394" t="n">
        <v>0</v>
      </c>
      <c r="AO1394" t="n">
        <v>0</v>
      </c>
      <c r="AP1394" t="n">
        <v>0</v>
      </c>
      <c r="AQ1394" t="n">
        <v>0</v>
      </c>
      <c r="AR1394" t="inlineStr">
        <is>
          <t>No</t>
        </is>
      </c>
      <c r="AS1394" t="inlineStr">
        <is>
          <t>Yes</t>
        </is>
      </c>
      <c r="AT1394">
        <f>HYPERLINK("http://catalog.hathitrust.org/Record/000569146","HathiTrust Record")</f>
        <v/>
      </c>
      <c r="AU1394">
        <f>HYPERLINK("https://creighton-primo.hosted.exlibrisgroup.com/primo-explore/search?tab=default_tab&amp;search_scope=EVERYTHING&amp;vid=01CRU&amp;lang=en_US&amp;offset=0&amp;query=any,contains,991000864439702656","Catalog Record")</f>
        <v/>
      </c>
      <c r="AV1394">
        <f>HYPERLINK("http://www.worldcat.org/oclc/11469620","WorldCat Record")</f>
        <v/>
      </c>
      <c r="AW1394" t="inlineStr">
        <is>
          <t>3975898:eng</t>
        </is>
      </c>
      <c r="AX1394" t="inlineStr">
        <is>
          <t>11469620</t>
        </is>
      </c>
      <c r="AY1394" t="inlineStr">
        <is>
          <t>991000864439702656</t>
        </is>
      </c>
      <c r="AZ1394" t="inlineStr">
        <is>
          <t>991000864439702656</t>
        </is>
      </c>
      <c r="BA1394" t="inlineStr">
        <is>
          <t>2272551570002656</t>
        </is>
      </c>
      <c r="BB1394" t="inlineStr">
        <is>
          <t>BOOK</t>
        </is>
      </c>
      <c r="BD1394" t="inlineStr">
        <is>
          <t>9780893034986</t>
        </is>
      </c>
      <c r="BE1394" t="inlineStr">
        <is>
          <t>30001000143927</t>
        </is>
      </c>
      <c r="BF1394" t="inlineStr">
        <is>
          <t>893450565</t>
        </is>
      </c>
    </row>
    <row r="1395">
      <c r="A1395" t="inlineStr">
        <is>
          <t>No</t>
        </is>
      </c>
      <c r="B1395" t="inlineStr">
        <is>
          <t>CUHSL</t>
        </is>
      </c>
      <c r="C1395" t="inlineStr">
        <is>
          <t>SHELVES</t>
        </is>
      </c>
      <c r="D1395" t="inlineStr">
        <is>
          <t>WY 152 H784c 1981</t>
        </is>
      </c>
      <c r="E1395" t="inlineStr">
        <is>
          <t>0                      WY 0152000H  784c        1981</t>
        </is>
      </c>
      <c r="F1395" t="inlineStr">
        <is>
          <t>Caring for elderly people : understanding and practical help / Susan Hooker.</t>
        </is>
      </c>
      <c r="H1395" t="inlineStr">
        <is>
          <t>No</t>
        </is>
      </c>
      <c r="I1395" t="inlineStr">
        <is>
          <t>1</t>
        </is>
      </c>
      <c r="J1395" t="inlineStr">
        <is>
          <t>No</t>
        </is>
      </c>
      <c r="K1395" t="inlineStr">
        <is>
          <t>No</t>
        </is>
      </c>
      <c r="L1395" t="inlineStr">
        <is>
          <t>0</t>
        </is>
      </c>
      <c r="M1395" t="inlineStr">
        <is>
          <t>Hooker, Susan.</t>
        </is>
      </c>
      <c r="N1395" t="inlineStr">
        <is>
          <t>London ; Boston : Routledge &amp; Kegan Paul, c1981.</t>
        </is>
      </c>
      <c r="O1395" t="inlineStr">
        <is>
          <t>1981</t>
        </is>
      </c>
      <c r="P1395" t="inlineStr">
        <is>
          <t>2nd ed.</t>
        </is>
      </c>
      <c r="Q1395" t="inlineStr">
        <is>
          <t>eng</t>
        </is>
      </c>
      <c r="R1395" t="inlineStr">
        <is>
          <t>enk</t>
        </is>
      </c>
      <c r="T1395" t="inlineStr">
        <is>
          <t xml:space="preserve">WY </t>
        </is>
      </c>
      <c r="U1395" t="n">
        <v>2</v>
      </c>
      <c r="V1395" t="n">
        <v>2</v>
      </c>
      <c r="W1395" t="inlineStr">
        <is>
          <t>1990-03-18</t>
        </is>
      </c>
      <c r="X1395" t="inlineStr">
        <is>
          <t>1990-03-18</t>
        </is>
      </c>
      <c r="Y1395" t="inlineStr">
        <is>
          <t>1987-12-21</t>
        </is>
      </c>
      <c r="Z1395" t="inlineStr">
        <is>
          <t>1987-12-21</t>
        </is>
      </c>
      <c r="AA1395" t="n">
        <v>147</v>
      </c>
      <c r="AB1395" t="n">
        <v>81</v>
      </c>
      <c r="AC1395" t="n">
        <v>433</v>
      </c>
      <c r="AD1395" t="n">
        <v>1</v>
      </c>
      <c r="AE1395" t="n">
        <v>4</v>
      </c>
      <c r="AF1395" t="n">
        <v>3</v>
      </c>
      <c r="AG1395" t="n">
        <v>10</v>
      </c>
      <c r="AH1395" t="n">
        <v>1</v>
      </c>
      <c r="AI1395" t="n">
        <v>3</v>
      </c>
      <c r="AJ1395" t="n">
        <v>1</v>
      </c>
      <c r="AK1395" t="n">
        <v>2</v>
      </c>
      <c r="AL1395" t="n">
        <v>1</v>
      </c>
      <c r="AM1395" t="n">
        <v>4</v>
      </c>
      <c r="AN1395" t="n">
        <v>0</v>
      </c>
      <c r="AO1395" t="n">
        <v>2</v>
      </c>
      <c r="AP1395" t="n">
        <v>0</v>
      </c>
      <c r="AQ1395" t="n">
        <v>0</v>
      </c>
      <c r="AR1395" t="inlineStr">
        <is>
          <t>No</t>
        </is>
      </c>
      <c r="AS1395" t="inlineStr">
        <is>
          <t>Yes</t>
        </is>
      </c>
      <c r="AT1395">
        <f>HYPERLINK("http://catalog.hathitrust.org/Record/000767094","HathiTrust Record")</f>
        <v/>
      </c>
      <c r="AU1395">
        <f>HYPERLINK("https://creighton-primo.hosted.exlibrisgroup.com/primo-explore/search?tab=default_tab&amp;search_scope=EVERYTHING&amp;vid=01CRU&amp;lang=en_US&amp;offset=0&amp;query=any,contains,991000864479702656","Catalog Record")</f>
        <v/>
      </c>
      <c r="AV1395">
        <f>HYPERLINK("http://www.worldcat.org/oclc/7553814","WorldCat Record")</f>
        <v/>
      </c>
      <c r="AW1395" t="inlineStr">
        <is>
          <t>5939776:eng</t>
        </is>
      </c>
      <c r="AX1395" t="inlineStr">
        <is>
          <t>7553814</t>
        </is>
      </c>
      <c r="AY1395" t="inlineStr">
        <is>
          <t>991000864479702656</t>
        </is>
      </c>
      <c r="AZ1395" t="inlineStr">
        <is>
          <t>991000864479702656</t>
        </is>
      </c>
      <c r="BA1395" t="inlineStr">
        <is>
          <t>2258935270002656</t>
        </is>
      </c>
      <c r="BB1395" t="inlineStr">
        <is>
          <t>BOOK</t>
        </is>
      </c>
      <c r="BD1395" t="inlineStr">
        <is>
          <t>9780710008909</t>
        </is>
      </c>
      <c r="BE1395" t="inlineStr">
        <is>
          <t>30001000143935</t>
        </is>
      </c>
      <c r="BF1395" t="inlineStr">
        <is>
          <t>893460058</t>
        </is>
      </c>
    </row>
    <row r="1396">
      <c r="A1396" t="inlineStr">
        <is>
          <t>No</t>
        </is>
      </c>
      <c r="B1396" t="inlineStr">
        <is>
          <t>CUHSL</t>
        </is>
      </c>
      <c r="C1396" t="inlineStr">
        <is>
          <t>SHELVES</t>
        </is>
      </c>
      <c r="D1396" t="inlineStr">
        <is>
          <t>WY 152 J68n 1990</t>
        </is>
      </c>
      <c r="E1396" t="inlineStr">
        <is>
          <t>0                      WY 0152000J  68n         1990</t>
        </is>
      </c>
      <c r="F1396" t="inlineStr">
        <is>
          <t>Nursing and gerontology : status report / Mary Ann Johnson, J. Richard Connelly.</t>
        </is>
      </c>
      <c r="H1396" t="inlineStr">
        <is>
          <t>No</t>
        </is>
      </c>
      <c r="I1396" t="inlineStr">
        <is>
          <t>1</t>
        </is>
      </c>
      <c r="J1396" t="inlineStr">
        <is>
          <t>No</t>
        </is>
      </c>
      <c r="K1396" t="inlineStr">
        <is>
          <t>No</t>
        </is>
      </c>
      <c r="L1396" t="inlineStr">
        <is>
          <t>0</t>
        </is>
      </c>
      <c r="M1396" t="inlineStr">
        <is>
          <t>Johnson, Mary Ann.</t>
        </is>
      </c>
      <c r="N1396" t="inlineStr">
        <is>
          <t>Washington, DC (600 Maryland Ave., SW, West Wing 204, Washington 20024) : Association for Gerontology in Higher Education, 1990.</t>
        </is>
      </c>
      <c r="O1396" t="inlineStr">
        <is>
          <t>1990</t>
        </is>
      </c>
      <c r="Q1396" t="inlineStr">
        <is>
          <t>eng</t>
        </is>
      </c>
      <c r="R1396" t="inlineStr">
        <is>
          <t>dcu</t>
        </is>
      </c>
      <c r="T1396" t="inlineStr">
        <is>
          <t xml:space="preserve">WY </t>
        </is>
      </c>
      <c r="U1396" t="n">
        <v>3</v>
      </c>
      <c r="V1396" t="n">
        <v>3</v>
      </c>
      <c r="W1396" t="inlineStr">
        <is>
          <t>1992-05-29</t>
        </is>
      </c>
      <c r="X1396" t="inlineStr">
        <is>
          <t>1992-05-29</t>
        </is>
      </c>
      <c r="Y1396" t="inlineStr">
        <is>
          <t>1992-05-29</t>
        </is>
      </c>
      <c r="Z1396" t="inlineStr">
        <is>
          <t>1992-05-29</t>
        </is>
      </c>
      <c r="AA1396" t="n">
        <v>8</v>
      </c>
      <c r="AB1396" t="n">
        <v>7</v>
      </c>
      <c r="AC1396" t="n">
        <v>7</v>
      </c>
      <c r="AD1396" t="n">
        <v>1</v>
      </c>
      <c r="AE1396" t="n">
        <v>1</v>
      </c>
      <c r="AF1396" t="n">
        <v>1</v>
      </c>
      <c r="AG1396" t="n">
        <v>1</v>
      </c>
      <c r="AH1396" t="n">
        <v>0</v>
      </c>
      <c r="AI1396" t="n">
        <v>0</v>
      </c>
      <c r="AJ1396" t="n">
        <v>0</v>
      </c>
      <c r="AK1396" t="n">
        <v>0</v>
      </c>
      <c r="AL1396" t="n">
        <v>1</v>
      </c>
      <c r="AM1396" t="n">
        <v>1</v>
      </c>
      <c r="AN1396" t="n">
        <v>0</v>
      </c>
      <c r="AO1396" t="n">
        <v>0</v>
      </c>
      <c r="AP1396" t="n">
        <v>0</v>
      </c>
      <c r="AQ1396" t="n">
        <v>0</v>
      </c>
      <c r="AR1396" t="inlineStr">
        <is>
          <t>No</t>
        </is>
      </c>
      <c r="AS1396" t="inlineStr">
        <is>
          <t>No</t>
        </is>
      </c>
      <c r="AU1396">
        <f>HYPERLINK("https://creighton-primo.hosted.exlibrisgroup.com/primo-explore/search?tab=default_tab&amp;search_scope=EVERYTHING&amp;vid=01CRU&amp;lang=en_US&amp;offset=0&amp;query=any,contains,991001305059702656","Catalog Record")</f>
        <v/>
      </c>
      <c r="AV1396">
        <f>HYPERLINK("http://www.worldcat.org/oclc/23378647","WorldCat Record")</f>
        <v/>
      </c>
      <c r="AW1396" t="inlineStr">
        <is>
          <t>3769071372:eng</t>
        </is>
      </c>
      <c r="AX1396" t="inlineStr">
        <is>
          <t>23378647</t>
        </is>
      </c>
      <c r="AY1396" t="inlineStr">
        <is>
          <t>991001305059702656</t>
        </is>
      </c>
      <c r="AZ1396" t="inlineStr">
        <is>
          <t>991001305059702656</t>
        </is>
      </c>
      <c r="BA1396" t="inlineStr">
        <is>
          <t>2271119210002656</t>
        </is>
      </c>
      <c r="BB1396" t="inlineStr">
        <is>
          <t>BOOK</t>
        </is>
      </c>
      <c r="BE1396" t="inlineStr">
        <is>
          <t>30001002413468</t>
        </is>
      </c>
      <c r="BF1396" t="inlineStr">
        <is>
          <t>893268331</t>
        </is>
      </c>
    </row>
    <row r="1397">
      <c r="A1397" t="inlineStr">
        <is>
          <t>No</t>
        </is>
      </c>
      <c r="B1397" t="inlineStr">
        <is>
          <t>CUHSL</t>
        </is>
      </c>
      <c r="C1397" t="inlineStr">
        <is>
          <t>SHELVES</t>
        </is>
      </c>
      <c r="D1397" t="inlineStr">
        <is>
          <t>WY 152 K32t 1999</t>
        </is>
      </c>
      <c r="E1397" t="inlineStr">
        <is>
          <t>0                      WY 0152000K  32t         1999</t>
        </is>
      </c>
      <c r="F1397" t="inlineStr">
        <is>
          <t>Terminal illness : a guide to nursing care / Charles Kemp.</t>
        </is>
      </c>
      <c r="H1397" t="inlineStr">
        <is>
          <t>No</t>
        </is>
      </c>
      <c r="I1397" t="inlineStr">
        <is>
          <t>1</t>
        </is>
      </c>
      <c r="J1397" t="inlineStr">
        <is>
          <t>No</t>
        </is>
      </c>
      <c r="K1397" t="inlineStr">
        <is>
          <t>No</t>
        </is>
      </c>
      <c r="L1397" t="inlineStr">
        <is>
          <t>0</t>
        </is>
      </c>
      <c r="M1397" t="inlineStr">
        <is>
          <t>Kemp, Charles, 1944-</t>
        </is>
      </c>
      <c r="N1397" t="inlineStr">
        <is>
          <t>Philadelphia : Lippincott, c1999.</t>
        </is>
      </c>
      <c r="O1397" t="inlineStr">
        <is>
          <t>1999</t>
        </is>
      </c>
      <c r="P1397" t="inlineStr">
        <is>
          <t>2nd ed.</t>
        </is>
      </c>
      <c r="Q1397" t="inlineStr">
        <is>
          <t>eng</t>
        </is>
      </c>
      <c r="R1397" t="inlineStr">
        <is>
          <t>pau</t>
        </is>
      </c>
      <c r="T1397" t="inlineStr">
        <is>
          <t xml:space="preserve">WY </t>
        </is>
      </c>
      <c r="U1397" t="n">
        <v>1</v>
      </c>
      <c r="V1397" t="n">
        <v>1</v>
      </c>
      <c r="W1397" t="inlineStr">
        <is>
          <t>1999-06-23</t>
        </is>
      </c>
      <c r="X1397" t="inlineStr">
        <is>
          <t>1999-06-23</t>
        </is>
      </c>
      <c r="Y1397" t="inlineStr">
        <is>
          <t>1999-06-23</t>
        </is>
      </c>
      <c r="Z1397" t="inlineStr">
        <is>
          <t>1999-06-23</t>
        </is>
      </c>
      <c r="AA1397" t="n">
        <v>461</v>
      </c>
      <c r="AB1397" t="n">
        <v>360</v>
      </c>
      <c r="AC1397" t="n">
        <v>507</v>
      </c>
      <c r="AD1397" t="n">
        <v>2</v>
      </c>
      <c r="AE1397" t="n">
        <v>4</v>
      </c>
      <c r="AF1397" t="n">
        <v>11</v>
      </c>
      <c r="AG1397" t="n">
        <v>17</v>
      </c>
      <c r="AH1397" t="n">
        <v>4</v>
      </c>
      <c r="AI1397" t="n">
        <v>6</v>
      </c>
      <c r="AJ1397" t="n">
        <v>1</v>
      </c>
      <c r="AK1397" t="n">
        <v>2</v>
      </c>
      <c r="AL1397" t="n">
        <v>5</v>
      </c>
      <c r="AM1397" t="n">
        <v>9</v>
      </c>
      <c r="AN1397" t="n">
        <v>1</v>
      </c>
      <c r="AO1397" t="n">
        <v>3</v>
      </c>
      <c r="AP1397" t="n">
        <v>0</v>
      </c>
      <c r="AQ1397" t="n">
        <v>0</v>
      </c>
      <c r="AR1397" t="inlineStr">
        <is>
          <t>No</t>
        </is>
      </c>
      <c r="AS1397" t="inlineStr">
        <is>
          <t>Yes</t>
        </is>
      </c>
      <c r="AT1397">
        <f>HYPERLINK("http://catalog.hathitrust.org/Record/004032663","HathiTrust Record")</f>
        <v/>
      </c>
      <c r="AU1397">
        <f>HYPERLINK("https://creighton-primo.hosted.exlibrisgroup.com/primo-explore/search?tab=default_tab&amp;search_scope=EVERYTHING&amp;vid=01CRU&amp;lang=en_US&amp;offset=0&amp;query=any,contains,991000789649702656","Catalog Record")</f>
        <v/>
      </c>
      <c r="AV1397">
        <f>HYPERLINK("http://www.worldcat.org/oclc/40331081","WorldCat Record")</f>
        <v/>
      </c>
      <c r="AW1397" t="inlineStr">
        <is>
          <t>6868401:eng</t>
        </is>
      </c>
      <c r="AX1397" t="inlineStr">
        <is>
          <t>40331081</t>
        </is>
      </c>
      <c r="AY1397" t="inlineStr">
        <is>
          <t>991000789649702656</t>
        </is>
      </c>
      <c r="AZ1397" t="inlineStr">
        <is>
          <t>991000789649702656</t>
        </is>
      </c>
      <c r="BA1397" t="inlineStr">
        <is>
          <t>2256415390002656</t>
        </is>
      </c>
      <c r="BB1397" t="inlineStr">
        <is>
          <t>BOOK</t>
        </is>
      </c>
      <c r="BD1397" t="inlineStr">
        <is>
          <t>9780781717724</t>
        </is>
      </c>
      <c r="BE1397" t="inlineStr">
        <is>
          <t>30001004075083</t>
        </is>
      </c>
      <c r="BF1397" t="inlineStr">
        <is>
          <t>893167712</t>
        </is>
      </c>
    </row>
    <row r="1398">
      <c r="A1398" t="inlineStr">
        <is>
          <t>No</t>
        </is>
      </c>
      <c r="B1398" t="inlineStr">
        <is>
          <t>CUHSL</t>
        </is>
      </c>
      <c r="C1398" t="inlineStr">
        <is>
          <t>SHELVES</t>
        </is>
      </c>
      <c r="D1398" t="inlineStr">
        <is>
          <t>WY 152 K44 1992</t>
        </is>
      </c>
      <c r="E1398" t="inlineStr">
        <is>
          <t>0                      WY 0152000K  44          1992</t>
        </is>
      </c>
      <c r="F1398" t="inlineStr">
        <is>
          <t>Key aspects of elder care : managing falls, incontinence, and cognitive impairment / Sandra G. Funk ... [et al.], editors.</t>
        </is>
      </c>
      <c r="H1398" t="inlineStr">
        <is>
          <t>No</t>
        </is>
      </c>
      <c r="I1398" t="inlineStr">
        <is>
          <t>1</t>
        </is>
      </c>
      <c r="J1398" t="inlineStr">
        <is>
          <t>No</t>
        </is>
      </c>
      <c r="K1398" t="inlineStr">
        <is>
          <t>No</t>
        </is>
      </c>
      <c r="L1398" t="inlineStr">
        <is>
          <t>0</t>
        </is>
      </c>
      <c r="N1398" t="inlineStr">
        <is>
          <t>New York : Springer Pub. Co., c1992.</t>
        </is>
      </c>
      <c r="O1398" t="inlineStr">
        <is>
          <t>1992</t>
        </is>
      </c>
      <c r="Q1398" t="inlineStr">
        <is>
          <t>eng</t>
        </is>
      </c>
      <c r="R1398" t="inlineStr">
        <is>
          <t>xxu</t>
        </is>
      </c>
      <c r="T1398" t="inlineStr">
        <is>
          <t xml:space="preserve">WY </t>
        </is>
      </c>
      <c r="U1398" t="n">
        <v>14</v>
      </c>
      <c r="V1398" t="n">
        <v>14</v>
      </c>
      <c r="W1398" t="inlineStr">
        <is>
          <t>2001-01-19</t>
        </is>
      </c>
      <c r="X1398" t="inlineStr">
        <is>
          <t>2001-01-19</t>
        </is>
      </c>
      <c r="Y1398" t="inlineStr">
        <is>
          <t>1993-06-14</t>
        </is>
      </c>
      <c r="Z1398" t="inlineStr">
        <is>
          <t>1993-06-14</t>
        </is>
      </c>
      <c r="AA1398" t="n">
        <v>385</v>
      </c>
      <c r="AB1398" t="n">
        <v>324</v>
      </c>
      <c r="AC1398" t="n">
        <v>331</v>
      </c>
      <c r="AD1398" t="n">
        <v>2</v>
      </c>
      <c r="AE1398" t="n">
        <v>2</v>
      </c>
      <c r="AF1398" t="n">
        <v>15</v>
      </c>
      <c r="AG1398" t="n">
        <v>15</v>
      </c>
      <c r="AH1398" t="n">
        <v>5</v>
      </c>
      <c r="AI1398" t="n">
        <v>5</v>
      </c>
      <c r="AJ1398" t="n">
        <v>5</v>
      </c>
      <c r="AK1398" t="n">
        <v>5</v>
      </c>
      <c r="AL1398" t="n">
        <v>9</v>
      </c>
      <c r="AM1398" t="n">
        <v>9</v>
      </c>
      <c r="AN1398" t="n">
        <v>1</v>
      </c>
      <c r="AO1398" t="n">
        <v>1</v>
      </c>
      <c r="AP1398" t="n">
        <v>0</v>
      </c>
      <c r="AQ1398" t="n">
        <v>0</v>
      </c>
      <c r="AR1398" t="inlineStr">
        <is>
          <t>No</t>
        </is>
      </c>
      <c r="AS1398" t="inlineStr">
        <is>
          <t>Yes</t>
        </is>
      </c>
      <c r="AT1398">
        <f>HYPERLINK("http://catalog.hathitrust.org/Record/002547102","HathiTrust Record")</f>
        <v/>
      </c>
      <c r="AU1398">
        <f>HYPERLINK("https://creighton-primo.hosted.exlibrisgroup.com/primo-explore/search?tab=default_tab&amp;search_scope=EVERYTHING&amp;vid=01CRU&amp;lang=en_US&amp;offset=0&amp;query=any,contains,991001478969702656","Catalog Record")</f>
        <v/>
      </c>
      <c r="AV1398">
        <f>HYPERLINK("http://www.worldcat.org/oclc/25369189","WorldCat Record")</f>
        <v/>
      </c>
      <c r="AW1398" t="inlineStr">
        <is>
          <t>967926:eng</t>
        </is>
      </c>
      <c r="AX1398" t="inlineStr">
        <is>
          <t>25369189</t>
        </is>
      </c>
      <c r="AY1398" t="inlineStr">
        <is>
          <t>991001478969702656</t>
        </is>
      </c>
      <c r="AZ1398" t="inlineStr">
        <is>
          <t>991001478969702656</t>
        </is>
      </c>
      <c r="BA1398" t="inlineStr">
        <is>
          <t>2258868180002656</t>
        </is>
      </c>
      <c r="BB1398" t="inlineStr">
        <is>
          <t>BOOK</t>
        </is>
      </c>
      <c r="BD1398" t="inlineStr">
        <is>
          <t>9780826177209</t>
        </is>
      </c>
      <c r="BE1398" t="inlineStr">
        <is>
          <t>30001002564831</t>
        </is>
      </c>
      <c r="BF1398" t="inlineStr">
        <is>
          <t>893552543</t>
        </is>
      </c>
    </row>
    <row r="1399">
      <c r="A1399" t="inlineStr">
        <is>
          <t>No</t>
        </is>
      </c>
      <c r="B1399" t="inlineStr">
        <is>
          <t>CUHSL</t>
        </is>
      </c>
      <c r="C1399" t="inlineStr">
        <is>
          <t>SHELVES</t>
        </is>
      </c>
      <c r="D1399" t="inlineStr">
        <is>
          <t>WY 152 L622n 1989</t>
        </is>
      </c>
      <c r="E1399" t="inlineStr">
        <is>
          <t>0                      WY 0152000L  622n        1989</t>
        </is>
      </c>
      <c r="F1399" t="inlineStr">
        <is>
          <t>Nursing quality assurance in long-term care / Joan LeSage, Diana Young Barhyte.</t>
        </is>
      </c>
      <c r="H1399" t="inlineStr">
        <is>
          <t>No</t>
        </is>
      </c>
      <c r="I1399" t="inlineStr">
        <is>
          <t>1</t>
        </is>
      </c>
      <c r="J1399" t="inlineStr">
        <is>
          <t>No</t>
        </is>
      </c>
      <c r="K1399" t="inlineStr">
        <is>
          <t>No</t>
        </is>
      </c>
      <c r="L1399" t="inlineStr">
        <is>
          <t>0</t>
        </is>
      </c>
      <c r="M1399" t="inlineStr">
        <is>
          <t>LeSage, Joan.</t>
        </is>
      </c>
      <c r="N1399" t="inlineStr">
        <is>
          <t>Rockville, Md. : Aspen Publishers, c1989.</t>
        </is>
      </c>
      <c r="O1399" t="inlineStr">
        <is>
          <t>1989</t>
        </is>
      </c>
      <c r="Q1399" t="inlineStr">
        <is>
          <t>eng</t>
        </is>
      </c>
      <c r="R1399" t="inlineStr">
        <is>
          <t>xxu</t>
        </is>
      </c>
      <c r="T1399" t="inlineStr">
        <is>
          <t xml:space="preserve">WY </t>
        </is>
      </c>
      <c r="U1399" t="n">
        <v>16</v>
      </c>
      <c r="V1399" t="n">
        <v>16</v>
      </c>
      <c r="W1399" t="inlineStr">
        <is>
          <t>1995-01-13</t>
        </is>
      </c>
      <c r="X1399" t="inlineStr">
        <is>
          <t>1995-01-13</t>
        </is>
      </c>
      <c r="Y1399" t="inlineStr">
        <is>
          <t>1990-09-18</t>
        </is>
      </c>
      <c r="Z1399" t="inlineStr">
        <is>
          <t>1990-09-18</t>
        </is>
      </c>
      <c r="AA1399" t="n">
        <v>199</v>
      </c>
      <c r="AB1399" t="n">
        <v>166</v>
      </c>
      <c r="AC1399" t="n">
        <v>166</v>
      </c>
      <c r="AD1399" t="n">
        <v>1</v>
      </c>
      <c r="AE1399" t="n">
        <v>1</v>
      </c>
      <c r="AF1399" t="n">
        <v>7</v>
      </c>
      <c r="AG1399" t="n">
        <v>7</v>
      </c>
      <c r="AH1399" t="n">
        <v>2</v>
      </c>
      <c r="AI1399" t="n">
        <v>2</v>
      </c>
      <c r="AJ1399" t="n">
        <v>1</v>
      </c>
      <c r="AK1399" t="n">
        <v>1</v>
      </c>
      <c r="AL1399" t="n">
        <v>4</v>
      </c>
      <c r="AM1399" t="n">
        <v>4</v>
      </c>
      <c r="AN1399" t="n">
        <v>0</v>
      </c>
      <c r="AO1399" t="n">
        <v>0</v>
      </c>
      <c r="AP1399" t="n">
        <v>0</v>
      </c>
      <c r="AQ1399" t="n">
        <v>0</v>
      </c>
      <c r="AR1399" t="inlineStr">
        <is>
          <t>No</t>
        </is>
      </c>
      <c r="AS1399" t="inlineStr">
        <is>
          <t>No</t>
        </is>
      </c>
      <c r="AU1399">
        <f>HYPERLINK("https://creighton-primo.hosted.exlibrisgroup.com/primo-explore/search?tab=default_tab&amp;search_scope=EVERYTHING&amp;vid=01CRU&amp;lang=en_US&amp;offset=0&amp;query=any,contains,991000884109702656","Catalog Record")</f>
        <v/>
      </c>
      <c r="AV1399">
        <f>HYPERLINK("http://www.worldcat.org/oclc/19517302","WorldCat Record")</f>
        <v/>
      </c>
      <c r="AW1399" t="inlineStr">
        <is>
          <t>21405847:eng</t>
        </is>
      </c>
      <c r="AX1399" t="inlineStr">
        <is>
          <t>19517302</t>
        </is>
      </c>
      <c r="AY1399" t="inlineStr">
        <is>
          <t>991000884109702656</t>
        </is>
      </c>
      <c r="AZ1399" t="inlineStr">
        <is>
          <t>991000884109702656</t>
        </is>
      </c>
      <c r="BA1399" t="inlineStr">
        <is>
          <t>2256254780002656</t>
        </is>
      </c>
      <c r="BB1399" t="inlineStr">
        <is>
          <t>BOOK</t>
        </is>
      </c>
      <c r="BD1399" t="inlineStr">
        <is>
          <t>9780834200661</t>
        </is>
      </c>
      <c r="BE1399" t="inlineStr">
        <is>
          <t>30001001489733</t>
        </is>
      </c>
      <c r="BF1399" t="inlineStr">
        <is>
          <t>893167800</t>
        </is>
      </c>
    </row>
    <row r="1400">
      <c r="A1400" t="inlineStr">
        <is>
          <t>No</t>
        </is>
      </c>
      <c r="B1400" t="inlineStr">
        <is>
          <t>CUHSL</t>
        </is>
      </c>
      <c r="C1400" t="inlineStr">
        <is>
          <t>SHELVES</t>
        </is>
      </c>
      <c r="D1400" t="inlineStr">
        <is>
          <t>WY 152 L948g 2000</t>
        </is>
      </c>
      <c r="E1400" t="inlineStr">
        <is>
          <t>0                      WY 0152000L  948g        2000</t>
        </is>
      </c>
      <c r="F1400" t="inlineStr">
        <is>
          <t>Gerontologic nursing / [edited by] Annette G. Lueckenotte.</t>
        </is>
      </c>
      <c r="H1400" t="inlineStr">
        <is>
          <t>No</t>
        </is>
      </c>
      <c r="I1400" t="inlineStr">
        <is>
          <t>1</t>
        </is>
      </c>
      <c r="J1400" t="inlineStr">
        <is>
          <t>No</t>
        </is>
      </c>
      <c r="K1400" t="inlineStr">
        <is>
          <t>Yes</t>
        </is>
      </c>
      <c r="L1400" t="inlineStr">
        <is>
          <t>0</t>
        </is>
      </c>
      <c r="N1400" t="inlineStr">
        <is>
          <t>St. Louis : Mosby, 2000.</t>
        </is>
      </c>
      <c r="O1400" t="inlineStr">
        <is>
          <t>2000</t>
        </is>
      </c>
      <c r="P1400" t="inlineStr">
        <is>
          <t>2nd ed.</t>
        </is>
      </c>
      <c r="Q1400" t="inlineStr">
        <is>
          <t>eng</t>
        </is>
      </c>
      <c r="R1400" t="inlineStr">
        <is>
          <t>mou</t>
        </is>
      </c>
      <c r="T1400" t="inlineStr">
        <is>
          <t xml:space="preserve">WY </t>
        </is>
      </c>
      <c r="U1400" t="n">
        <v>3</v>
      </c>
      <c r="V1400" t="n">
        <v>3</v>
      </c>
      <c r="W1400" t="inlineStr">
        <is>
          <t>2000-09-07</t>
        </is>
      </c>
      <c r="X1400" t="inlineStr">
        <is>
          <t>2000-09-07</t>
        </is>
      </c>
      <c r="Y1400" t="inlineStr">
        <is>
          <t>2000-07-20</t>
        </is>
      </c>
      <c r="Z1400" t="inlineStr">
        <is>
          <t>2000-07-20</t>
        </is>
      </c>
      <c r="AA1400" t="n">
        <v>441</v>
      </c>
      <c r="AB1400" t="n">
        <v>353</v>
      </c>
      <c r="AC1400" t="n">
        <v>904</v>
      </c>
      <c r="AD1400" t="n">
        <v>1</v>
      </c>
      <c r="AE1400" t="n">
        <v>6</v>
      </c>
      <c r="AF1400" t="n">
        <v>10</v>
      </c>
      <c r="AG1400" t="n">
        <v>24</v>
      </c>
      <c r="AH1400" t="n">
        <v>2</v>
      </c>
      <c r="AI1400" t="n">
        <v>8</v>
      </c>
      <c r="AJ1400" t="n">
        <v>2</v>
      </c>
      <c r="AK1400" t="n">
        <v>4</v>
      </c>
      <c r="AL1400" t="n">
        <v>8</v>
      </c>
      <c r="AM1400" t="n">
        <v>12</v>
      </c>
      <c r="AN1400" t="n">
        <v>0</v>
      </c>
      <c r="AO1400" t="n">
        <v>4</v>
      </c>
      <c r="AP1400" t="n">
        <v>0</v>
      </c>
      <c r="AQ1400" t="n">
        <v>0</v>
      </c>
      <c r="AR1400" t="inlineStr">
        <is>
          <t>No</t>
        </is>
      </c>
      <c r="AS1400" t="inlineStr">
        <is>
          <t>Yes</t>
        </is>
      </c>
      <c r="AT1400">
        <f>HYPERLINK("http://catalog.hathitrust.org/Record/004094893","HathiTrust Record")</f>
        <v/>
      </c>
      <c r="AU1400">
        <f>HYPERLINK("https://creighton-primo.hosted.exlibrisgroup.com/primo-explore/search?tab=default_tab&amp;search_scope=EVERYTHING&amp;vid=01CRU&amp;lang=en_US&amp;offset=0&amp;query=any,contains,991000276549702656","Catalog Record")</f>
        <v/>
      </c>
      <c r="AV1400">
        <f>HYPERLINK("http://www.worldcat.org/oclc/43676426","WorldCat Record")</f>
        <v/>
      </c>
      <c r="AW1400" t="inlineStr">
        <is>
          <t>17273464:eng</t>
        </is>
      </c>
      <c r="AX1400" t="inlineStr">
        <is>
          <t>43676426</t>
        </is>
      </c>
      <c r="AY1400" t="inlineStr">
        <is>
          <t>991000276549702656</t>
        </is>
      </c>
      <c r="AZ1400" t="inlineStr">
        <is>
          <t>991000276549702656</t>
        </is>
      </c>
      <c r="BA1400" t="inlineStr">
        <is>
          <t>2263024160002656</t>
        </is>
      </c>
      <c r="BB1400" t="inlineStr">
        <is>
          <t>BOOK</t>
        </is>
      </c>
      <c r="BD1400" t="inlineStr">
        <is>
          <t>9780323007573</t>
        </is>
      </c>
      <c r="BE1400" t="inlineStr">
        <is>
          <t>30001003884345</t>
        </is>
      </c>
      <c r="BF1400" t="inlineStr">
        <is>
          <t>893136034</t>
        </is>
      </c>
    </row>
    <row r="1401">
      <c r="A1401" t="inlineStr">
        <is>
          <t>No</t>
        </is>
      </c>
      <c r="B1401" t="inlineStr">
        <is>
          <t>CUHSL</t>
        </is>
      </c>
      <c r="C1401" t="inlineStr">
        <is>
          <t>SHELVES</t>
        </is>
      </c>
      <c r="D1401" t="inlineStr">
        <is>
          <t>WY 152 M266 1983</t>
        </is>
      </c>
      <c r="E1401" t="inlineStr">
        <is>
          <t>0                      WY 0152000M  266         1983</t>
        </is>
      </c>
      <c r="F1401" t="inlineStr">
        <is>
          <t>Management of personnel in long-term care / editor, Mildred O. Hogstel.</t>
        </is>
      </c>
      <c r="H1401" t="inlineStr">
        <is>
          <t>No</t>
        </is>
      </c>
      <c r="I1401" t="inlineStr">
        <is>
          <t>1</t>
        </is>
      </c>
      <c r="J1401" t="inlineStr">
        <is>
          <t>No</t>
        </is>
      </c>
      <c r="K1401" t="inlineStr">
        <is>
          <t>No</t>
        </is>
      </c>
      <c r="L1401" t="inlineStr">
        <is>
          <t>0</t>
        </is>
      </c>
      <c r="N1401" t="inlineStr">
        <is>
          <t>Bowie, Md. : Brady, c1983.</t>
        </is>
      </c>
      <c r="O1401" t="inlineStr">
        <is>
          <t>1983</t>
        </is>
      </c>
      <c r="Q1401" t="inlineStr">
        <is>
          <t>eng</t>
        </is>
      </c>
      <c r="R1401" t="inlineStr">
        <is>
          <t>xxu</t>
        </is>
      </c>
      <c r="T1401" t="inlineStr">
        <is>
          <t xml:space="preserve">WY </t>
        </is>
      </c>
      <c r="U1401" t="n">
        <v>4</v>
      </c>
      <c r="V1401" t="n">
        <v>4</v>
      </c>
      <c r="W1401" t="inlineStr">
        <is>
          <t>1990-10-08</t>
        </is>
      </c>
      <c r="X1401" t="inlineStr">
        <is>
          <t>1990-10-08</t>
        </is>
      </c>
      <c r="Y1401" t="inlineStr">
        <is>
          <t>1987-12-21</t>
        </is>
      </c>
      <c r="Z1401" t="inlineStr">
        <is>
          <t>1987-12-21</t>
        </is>
      </c>
      <c r="AA1401" t="n">
        <v>167</v>
      </c>
      <c r="AB1401" t="n">
        <v>145</v>
      </c>
      <c r="AC1401" t="n">
        <v>145</v>
      </c>
      <c r="AD1401" t="n">
        <v>1</v>
      </c>
      <c r="AE1401" t="n">
        <v>1</v>
      </c>
      <c r="AF1401" t="n">
        <v>0</v>
      </c>
      <c r="AG1401" t="n">
        <v>0</v>
      </c>
      <c r="AH1401" t="n">
        <v>0</v>
      </c>
      <c r="AI1401" t="n">
        <v>0</v>
      </c>
      <c r="AJ1401" t="n">
        <v>0</v>
      </c>
      <c r="AK1401" t="n">
        <v>0</v>
      </c>
      <c r="AL1401" t="n">
        <v>0</v>
      </c>
      <c r="AM1401" t="n">
        <v>0</v>
      </c>
      <c r="AN1401" t="n">
        <v>0</v>
      </c>
      <c r="AO1401" t="n">
        <v>0</v>
      </c>
      <c r="AP1401" t="n">
        <v>0</v>
      </c>
      <c r="AQ1401" t="n">
        <v>0</v>
      </c>
      <c r="AR1401" t="inlineStr">
        <is>
          <t>No</t>
        </is>
      </c>
      <c r="AS1401" t="inlineStr">
        <is>
          <t>No</t>
        </is>
      </c>
      <c r="AU1401">
        <f>HYPERLINK("https://creighton-primo.hosted.exlibrisgroup.com/primo-explore/search?tab=default_tab&amp;search_scope=EVERYTHING&amp;vid=01CRU&amp;lang=en_US&amp;offset=0&amp;query=any,contains,991000864659702656","Catalog Record")</f>
        <v/>
      </c>
      <c r="AV1401">
        <f>HYPERLINK("http://www.worldcat.org/oclc/8907655","WorldCat Record")</f>
        <v/>
      </c>
      <c r="AW1401" t="inlineStr">
        <is>
          <t>549820:eng</t>
        </is>
      </c>
      <c r="AX1401" t="inlineStr">
        <is>
          <t>8907655</t>
        </is>
      </c>
      <c r="AY1401" t="inlineStr">
        <is>
          <t>991000864659702656</t>
        </is>
      </c>
      <c r="AZ1401" t="inlineStr">
        <is>
          <t>991000864659702656</t>
        </is>
      </c>
      <c r="BA1401" t="inlineStr">
        <is>
          <t>2262740930002656</t>
        </is>
      </c>
      <c r="BB1401" t="inlineStr">
        <is>
          <t>BOOK</t>
        </is>
      </c>
      <c r="BD1401" t="inlineStr">
        <is>
          <t>9780893032319</t>
        </is>
      </c>
      <c r="BE1401" t="inlineStr">
        <is>
          <t>30001000143992</t>
        </is>
      </c>
      <c r="BF1401" t="inlineStr">
        <is>
          <t>893820678</t>
        </is>
      </c>
    </row>
    <row r="1402">
      <c r="A1402" t="inlineStr">
        <is>
          <t>No</t>
        </is>
      </c>
      <c r="B1402" t="inlineStr">
        <is>
          <t>CUHSL</t>
        </is>
      </c>
      <c r="C1402" t="inlineStr">
        <is>
          <t>SHELVES</t>
        </is>
      </c>
      <c r="D1402" t="inlineStr">
        <is>
          <t>WY 152 M435g 1988</t>
        </is>
      </c>
      <c r="E1402" t="inlineStr">
        <is>
          <t>0                      WY 0152000M  435g        1988</t>
        </is>
      </c>
      <c r="F1402" t="inlineStr">
        <is>
          <t>Gerontological nursing : concepts and practice / Mary Ann Matteson, Eleanor S. McConnell.</t>
        </is>
      </c>
      <c r="H1402" t="inlineStr">
        <is>
          <t>No</t>
        </is>
      </c>
      <c r="I1402" t="inlineStr">
        <is>
          <t>1</t>
        </is>
      </c>
      <c r="J1402" t="inlineStr">
        <is>
          <t>No</t>
        </is>
      </c>
      <c r="K1402" t="inlineStr">
        <is>
          <t>No</t>
        </is>
      </c>
      <c r="L1402" t="inlineStr">
        <is>
          <t>0</t>
        </is>
      </c>
      <c r="M1402" t="inlineStr">
        <is>
          <t>Matteson, Mary Ann.</t>
        </is>
      </c>
      <c r="N1402" t="inlineStr">
        <is>
          <t>Philadelphia : Saunders, c1988.</t>
        </is>
      </c>
      <c r="O1402" t="inlineStr">
        <is>
          <t>1988</t>
        </is>
      </c>
      <c r="Q1402" t="inlineStr">
        <is>
          <t>eng</t>
        </is>
      </c>
      <c r="R1402" t="inlineStr">
        <is>
          <t>xxu</t>
        </is>
      </c>
      <c r="T1402" t="inlineStr">
        <is>
          <t xml:space="preserve">WY </t>
        </is>
      </c>
      <c r="U1402" t="n">
        <v>27</v>
      </c>
      <c r="V1402" t="n">
        <v>27</v>
      </c>
      <c r="W1402" t="inlineStr">
        <is>
          <t>1996-08-31</t>
        </is>
      </c>
      <c r="X1402" t="inlineStr">
        <is>
          <t>1996-08-31</t>
        </is>
      </c>
      <c r="Y1402" t="inlineStr">
        <is>
          <t>1988-07-07</t>
        </is>
      </c>
      <c r="Z1402" t="inlineStr">
        <is>
          <t>1988-07-07</t>
        </is>
      </c>
      <c r="AA1402" t="n">
        <v>351</v>
      </c>
      <c r="AB1402" t="n">
        <v>280</v>
      </c>
      <c r="AC1402" t="n">
        <v>448</v>
      </c>
      <c r="AD1402" t="n">
        <v>3</v>
      </c>
      <c r="AE1402" t="n">
        <v>3</v>
      </c>
      <c r="AF1402" t="n">
        <v>5</v>
      </c>
      <c r="AG1402" t="n">
        <v>16</v>
      </c>
      <c r="AH1402" t="n">
        <v>1</v>
      </c>
      <c r="AI1402" t="n">
        <v>3</v>
      </c>
      <c r="AJ1402" t="n">
        <v>1</v>
      </c>
      <c r="AK1402" t="n">
        <v>5</v>
      </c>
      <c r="AL1402" t="n">
        <v>3</v>
      </c>
      <c r="AM1402" t="n">
        <v>10</v>
      </c>
      <c r="AN1402" t="n">
        <v>1</v>
      </c>
      <c r="AO1402" t="n">
        <v>1</v>
      </c>
      <c r="AP1402" t="n">
        <v>0</v>
      </c>
      <c r="AQ1402" t="n">
        <v>0</v>
      </c>
      <c r="AR1402" t="inlineStr">
        <is>
          <t>No</t>
        </is>
      </c>
      <c r="AS1402" t="inlineStr">
        <is>
          <t>Yes</t>
        </is>
      </c>
      <c r="AT1402">
        <f>HYPERLINK("http://catalog.hathitrust.org/Record/000903981","HathiTrust Record")</f>
        <v/>
      </c>
      <c r="AU1402">
        <f>HYPERLINK("https://creighton-primo.hosted.exlibrisgroup.com/primo-explore/search?tab=default_tab&amp;search_scope=EVERYTHING&amp;vid=01CRU&amp;lang=en_US&amp;offset=0&amp;query=any,contains,991001416989702656","Catalog Record")</f>
        <v/>
      </c>
      <c r="AV1402">
        <f>HYPERLINK("http://www.worldcat.org/oclc/16224417","WorldCat Record")</f>
        <v/>
      </c>
      <c r="AW1402" t="inlineStr">
        <is>
          <t>836666360:eng</t>
        </is>
      </c>
      <c r="AX1402" t="inlineStr">
        <is>
          <t>16224417</t>
        </is>
      </c>
      <c r="AY1402" t="inlineStr">
        <is>
          <t>991001416989702656</t>
        </is>
      </c>
      <c r="AZ1402" t="inlineStr">
        <is>
          <t>991001416989702656</t>
        </is>
      </c>
      <c r="BA1402" t="inlineStr">
        <is>
          <t>2267625370002656</t>
        </is>
      </c>
      <c r="BB1402" t="inlineStr">
        <is>
          <t>BOOK</t>
        </is>
      </c>
      <c r="BD1402" t="inlineStr">
        <is>
          <t>9780721661834</t>
        </is>
      </c>
      <c r="BE1402" t="inlineStr">
        <is>
          <t>30001001181074</t>
        </is>
      </c>
      <c r="BF1402" t="inlineStr">
        <is>
          <t>893649173</t>
        </is>
      </c>
    </row>
    <row r="1403">
      <c r="A1403" t="inlineStr">
        <is>
          <t>No</t>
        </is>
      </c>
      <c r="B1403" t="inlineStr">
        <is>
          <t>CUHSL</t>
        </is>
      </c>
      <c r="C1403" t="inlineStr">
        <is>
          <t>SHELVES</t>
        </is>
      </c>
      <c r="D1403" t="inlineStr">
        <is>
          <t>WY 152 M563n 1990</t>
        </is>
      </c>
      <c r="E1403" t="inlineStr">
        <is>
          <t>0                      WY 0152000M  563n        1990</t>
        </is>
      </c>
      <c r="F1403" t="inlineStr">
        <is>
          <t>Nursing care of older adults : theory and practice / Carol A. Miller.</t>
        </is>
      </c>
      <c r="H1403" t="inlineStr">
        <is>
          <t>No</t>
        </is>
      </c>
      <c r="I1403" t="inlineStr">
        <is>
          <t>1</t>
        </is>
      </c>
      <c r="J1403" t="inlineStr">
        <is>
          <t>No</t>
        </is>
      </c>
      <c r="K1403" t="inlineStr">
        <is>
          <t>No</t>
        </is>
      </c>
      <c r="L1403" t="inlineStr">
        <is>
          <t>0</t>
        </is>
      </c>
      <c r="M1403" t="inlineStr">
        <is>
          <t>Miller, Carol A.</t>
        </is>
      </c>
      <c r="N1403" t="inlineStr">
        <is>
          <t>Glenview, Ill. : Scott, Foresman/Little, Brown Higher Education, c1990.</t>
        </is>
      </c>
      <c r="O1403" t="inlineStr">
        <is>
          <t>1990</t>
        </is>
      </c>
      <c r="Q1403" t="inlineStr">
        <is>
          <t>eng</t>
        </is>
      </c>
      <c r="R1403" t="inlineStr">
        <is>
          <t>xxu</t>
        </is>
      </c>
      <c r="T1403" t="inlineStr">
        <is>
          <t xml:space="preserve">WY </t>
        </is>
      </c>
      <c r="U1403" t="n">
        <v>21</v>
      </c>
      <c r="V1403" t="n">
        <v>21</v>
      </c>
      <c r="W1403" t="inlineStr">
        <is>
          <t>1993-04-25</t>
        </is>
      </c>
      <c r="X1403" t="inlineStr">
        <is>
          <t>1993-04-25</t>
        </is>
      </c>
      <c r="Y1403" t="inlineStr">
        <is>
          <t>1991-02-16</t>
        </is>
      </c>
      <c r="Z1403" t="inlineStr">
        <is>
          <t>1991-02-16</t>
        </is>
      </c>
      <c r="AA1403" t="n">
        <v>181</v>
      </c>
      <c r="AB1403" t="n">
        <v>140</v>
      </c>
      <c r="AC1403" t="n">
        <v>397</v>
      </c>
      <c r="AD1403" t="n">
        <v>2</v>
      </c>
      <c r="AE1403" t="n">
        <v>4</v>
      </c>
      <c r="AF1403" t="n">
        <v>7</v>
      </c>
      <c r="AG1403" t="n">
        <v>17</v>
      </c>
      <c r="AH1403" t="n">
        <v>2</v>
      </c>
      <c r="AI1403" t="n">
        <v>6</v>
      </c>
      <c r="AJ1403" t="n">
        <v>2</v>
      </c>
      <c r="AK1403" t="n">
        <v>3</v>
      </c>
      <c r="AL1403" t="n">
        <v>6</v>
      </c>
      <c r="AM1403" t="n">
        <v>11</v>
      </c>
      <c r="AN1403" t="n">
        <v>0</v>
      </c>
      <c r="AO1403" t="n">
        <v>2</v>
      </c>
      <c r="AP1403" t="n">
        <v>0</v>
      </c>
      <c r="AQ1403" t="n">
        <v>0</v>
      </c>
      <c r="AR1403" t="inlineStr">
        <is>
          <t>No</t>
        </is>
      </c>
      <c r="AS1403" t="inlineStr">
        <is>
          <t>Yes</t>
        </is>
      </c>
      <c r="AT1403">
        <f>HYPERLINK("http://catalog.hathitrust.org/Record/002059428","HathiTrust Record")</f>
        <v/>
      </c>
      <c r="AU1403">
        <f>HYPERLINK("https://creighton-primo.hosted.exlibrisgroup.com/primo-explore/search?tab=default_tab&amp;search_scope=EVERYTHING&amp;vid=01CRU&amp;lang=en_US&amp;offset=0&amp;query=any,contains,991000820939702656","Catalog Record")</f>
        <v/>
      </c>
      <c r="AV1403">
        <f>HYPERLINK("http://www.worldcat.org/oclc/20798629","WorldCat Record")</f>
        <v/>
      </c>
      <c r="AW1403" t="inlineStr">
        <is>
          <t>22819049:eng</t>
        </is>
      </c>
      <c r="AX1403" t="inlineStr">
        <is>
          <t>20798629</t>
        </is>
      </c>
      <c r="AY1403" t="inlineStr">
        <is>
          <t>991000820939702656</t>
        </is>
      </c>
      <c r="AZ1403" t="inlineStr">
        <is>
          <t>991000820939702656</t>
        </is>
      </c>
      <c r="BA1403" t="inlineStr">
        <is>
          <t>2266229420002656</t>
        </is>
      </c>
      <c r="BB1403" t="inlineStr">
        <is>
          <t>BOOK</t>
        </is>
      </c>
      <c r="BD1403" t="inlineStr">
        <is>
          <t>9780673397959</t>
        </is>
      </c>
      <c r="BE1403" t="inlineStr">
        <is>
          <t>30001002087510</t>
        </is>
      </c>
      <c r="BF1403" t="inlineStr">
        <is>
          <t>893167731</t>
        </is>
      </c>
    </row>
    <row r="1404">
      <c r="A1404" t="inlineStr">
        <is>
          <t>No</t>
        </is>
      </c>
      <c r="B1404" t="inlineStr">
        <is>
          <t>CUHSL</t>
        </is>
      </c>
      <c r="C1404" t="inlineStr">
        <is>
          <t>SHELVES</t>
        </is>
      </c>
      <c r="D1404" t="inlineStr">
        <is>
          <t>WY 152 M617h 1980</t>
        </is>
      </c>
      <c r="E1404" t="inlineStr">
        <is>
          <t>0                      WY 0152000M  617h        1980</t>
        </is>
      </c>
      <c r="F1404" t="inlineStr">
        <is>
          <t>Health assessment of the older individual / Mathy Doval Mezey, Louise Hartnett Rauckhorst, Shirlee Ann Stokes.</t>
        </is>
      </c>
      <c r="H1404" t="inlineStr">
        <is>
          <t>No</t>
        </is>
      </c>
      <c r="I1404" t="inlineStr">
        <is>
          <t>1</t>
        </is>
      </c>
      <c r="J1404" t="inlineStr">
        <is>
          <t>No</t>
        </is>
      </c>
      <c r="K1404" t="inlineStr">
        <is>
          <t>No</t>
        </is>
      </c>
      <c r="L1404" t="inlineStr">
        <is>
          <t>0</t>
        </is>
      </c>
      <c r="M1404" t="inlineStr">
        <is>
          <t>Mezey, Mathy Doval.</t>
        </is>
      </c>
      <c r="N1404" t="inlineStr">
        <is>
          <t>New York : Springer, c1980.</t>
        </is>
      </c>
      <c r="O1404" t="inlineStr">
        <is>
          <t>1980</t>
        </is>
      </c>
      <c r="Q1404" t="inlineStr">
        <is>
          <t>eng</t>
        </is>
      </c>
      <c r="R1404" t="inlineStr">
        <is>
          <t>xxu</t>
        </is>
      </c>
      <c r="T1404" t="inlineStr">
        <is>
          <t xml:space="preserve">WY </t>
        </is>
      </c>
      <c r="U1404" t="n">
        <v>2</v>
      </c>
      <c r="V1404" t="n">
        <v>2</v>
      </c>
      <c r="W1404" t="inlineStr">
        <is>
          <t>2000-08-29</t>
        </is>
      </c>
      <c r="X1404" t="inlineStr">
        <is>
          <t>2000-08-29</t>
        </is>
      </c>
      <c r="Y1404" t="inlineStr">
        <is>
          <t>1987-10-23</t>
        </is>
      </c>
      <c r="Z1404" t="inlineStr">
        <is>
          <t>1987-10-23</t>
        </is>
      </c>
      <c r="AA1404" t="n">
        <v>261</v>
      </c>
      <c r="AB1404" t="n">
        <v>232</v>
      </c>
      <c r="AC1404" t="n">
        <v>390</v>
      </c>
      <c r="AD1404" t="n">
        <v>2</v>
      </c>
      <c r="AE1404" t="n">
        <v>2</v>
      </c>
      <c r="AF1404" t="n">
        <v>11</v>
      </c>
      <c r="AG1404" t="n">
        <v>19</v>
      </c>
      <c r="AH1404" t="n">
        <v>4</v>
      </c>
      <c r="AI1404" t="n">
        <v>7</v>
      </c>
      <c r="AJ1404" t="n">
        <v>3</v>
      </c>
      <c r="AK1404" t="n">
        <v>6</v>
      </c>
      <c r="AL1404" t="n">
        <v>6</v>
      </c>
      <c r="AM1404" t="n">
        <v>10</v>
      </c>
      <c r="AN1404" t="n">
        <v>1</v>
      </c>
      <c r="AO1404" t="n">
        <v>1</v>
      </c>
      <c r="AP1404" t="n">
        <v>0</v>
      </c>
      <c r="AQ1404" t="n">
        <v>0</v>
      </c>
      <c r="AR1404" t="inlineStr">
        <is>
          <t>No</t>
        </is>
      </c>
      <c r="AS1404" t="inlineStr">
        <is>
          <t>Yes</t>
        </is>
      </c>
      <c r="AT1404">
        <f>HYPERLINK("http://catalog.hathitrust.org/Record/000717179","HathiTrust Record")</f>
        <v/>
      </c>
      <c r="AU1404">
        <f>HYPERLINK("https://creighton-primo.hosted.exlibrisgroup.com/primo-explore/search?tab=default_tab&amp;search_scope=EVERYTHING&amp;vid=01CRU&amp;lang=en_US&amp;offset=0&amp;query=any,contains,991000734339702656","Catalog Record")</f>
        <v/>
      </c>
      <c r="AV1404">
        <f>HYPERLINK("http://www.worldcat.org/oclc/5726296","WorldCat Record")</f>
        <v/>
      </c>
      <c r="AW1404" t="inlineStr">
        <is>
          <t>966923:eng</t>
        </is>
      </c>
      <c r="AX1404" t="inlineStr">
        <is>
          <t>5726296</t>
        </is>
      </c>
      <c r="AY1404" t="inlineStr">
        <is>
          <t>991000734339702656</t>
        </is>
      </c>
      <c r="AZ1404" t="inlineStr">
        <is>
          <t>991000734339702656</t>
        </is>
      </c>
      <c r="BA1404" t="inlineStr">
        <is>
          <t>2260503360002656</t>
        </is>
      </c>
      <c r="BB1404" t="inlineStr">
        <is>
          <t>BOOK</t>
        </is>
      </c>
      <c r="BD1404" t="inlineStr">
        <is>
          <t>9780826129000</t>
        </is>
      </c>
      <c r="BE1404" t="inlineStr">
        <is>
          <t>30001000041105</t>
        </is>
      </c>
      <c r="BF1404" t="inlineStr">
        <is>
          <t>893450168</t>
        </is>
      </c>
    </row>
    <row r="1405">
      <c r="A1405" t="inlineStr">
        <is>
          <t>No</t>
        </is>
      </c>
      <c r="B1405" t="inlineStr">
        <is>
          <t>CUHSL</t>
        </is>
      </c>
      <c r="C1405" t="inlineStr">
        <is>
          <t>SHELVES</t>
        </is>
      </c>
      <c r="D1405" t="inlineStr">
        <is>
          <t>WY 152 M647n 2004</t>
        </is>
      </c>
      <c r="E1405" t="inlineStr">
        <is>
          <t>0                      WY 0152000M  647n        2004</t>
        </is>
      </c>
      <c r="F1405" t="inlineStr">
        <is>
          <t>Nursing for wellness in older adults : theory and practice / Carol A. Miller.</t>
        </is>
      </c>
      <c r="H1405" t="inlineStr">
        <is>
          <t>No</t>
        </is>
      </c>
      <c r="I1405" t="inlineStr">
        <is>
          <t>1</t>
        </is>
      </c>
      <c r="J1405" t="inlineStr">
        <is>
          <t>No</t>
        </is>
      </c>
      <c r="K1405" t="inlineStr">
        <is>
          <t>Yes</t>
        </is>
      </c>
      <c r="L1405" t="inlineStr">
        <is>
          <t>0</t>
        </is>
      </c>
      <c r="M1405" t="inlineStr">
        <is>
          <t>Miller, Carol A.</t>
        </is>
      </c>
      <c r="N1405" t="inlineStr">
        <is>
          <t>Philadelphia : Lippincott Williams &amp; Wilkins, c2004.</t>
        </is>
      </c>
      <c r="O1405" t="inlineStr">
        <is>
          <t>2004</t>
        </is>
      </c>
      <c r="P1405" t="inlineStr">
        <is>
          <t>4th ed.</t>
        </is>
      </c>
      <c r="Q1405" t="inlineStr">
        <is>
          <t>eng</t>
        </is>
      </c>
      <c r="R1405" t="inlineStr">
        <is>
          <t>pau</t>
        </is>
      </c>
      <c r="T1405" t="inlineStr">
        <is>
          <t xml:space="preserve">WY </t>
        </is>
      </c>
      <c r="U1405" t="n">
        <v>0</v>
      </c>
      <c r="V1405" t="n">
        <v>0</v>
      </c>
      <c r="W1405" t="inlineStr">
        <is>
          <t>2004-09-09</t>
        </is>
      </c>
      <c r="X1405" t="inlineStr">
        <is>
          <t>2004-09-09</t>
        </is>
      </c>
      <c r="Y1405" t="inlineStr">
        <is>
          <t>2004-09-08</t>
        </is>
      </c>
      <c r="Z1405" t="inlineStr">
        <is>
          <t>2004-09-08</t>
        </is>
      </c>
      <c r="AA1405" t="n">
        <v>346</v>
      </c>
      <c r="AB1405" t="n">
        <v>244</v>
      </c>
      <c r="AC1405" t="n">
        <v>751</v>
      </c>
      <c r="AD1405" t="n">
        <v>1</v>
      </c>
      <c r="AE1405" t="n">
        <v>5</v>
      </c>
      <c r="AF1405" t="n">
        <v>4</v>
      </c>
      <c r="AG1405" t="n">
        <v>20</v>
      </c>
      <c r="AH1405" t="n">
        <v>1</v>
      </c>
      <c r="AI1405" t="n">
        <v>7</v>
      </c>
      <c r="AJ1405" t="n">
        <v>1</v>
      </c>
      <c r="AK1405" t="n">
        <v>2</v>
      </c>
      <c r="AL1405" t="n">
        <v>3</v>
      </c>
      <c r="AM1405" t="n">
        <v>9</v>
      </c>
      <c r="AN1405" t="n">
        <v>0</v>
      </c>
      <c r="AO1405" t="n">
        <v>4</v>
      </c>
      <c r="AP1405" t="n">
        <v>0</v>
      </c>
      <c r="AQ1405" t="n">
        <v>0</v>
      </c>
      <c r="AR1405" t="inlineStr">
        <is>
          <t>No</t>
        </is>
      </c>
      <c r="AS1405" t="inlineStr">
        <is>
          <t>No</t>
        </is>
      </c>
      <c r="AU1405">
        <f>HYPERLINK("https://creighton-primo.hosted.exlibrisgroup.com/primo-explore/search?tab=default_tab&amp;search_scope=EVERYTHING&amp;vid=01CRU&amp;lang=en_US&amp;offset=0&amp;query=any,contains,991000384279702656","Catalog Record")</f>
        <v/>
      </c>
      <c r="AV1405">
        <f>HYPERLINK("http://www.worldcat.org/oclc/52638798","WorldCat Record")</f>
        <v/>
      </c>
      <c r="AW1405" t="inlineStr">
        <is>
          <t>11088198:eng</t>
        </is>
      </c>
      <c r="AX1405" t="inlineStr">
        <is>
          <t>52638798</t>
        </is>
      </c>
      <c r="AY1405" t="inlineStr">
        <is>
          <t>991000384279702656</t>
        </is>
      </c>
      <c r="AZ1405" t="inlineStr">
        <is>
          <t>991000384279702656</t>
        </is>
      </c>
      <c r="BA1405" t="inlineStr">
        <is>
          <t>2267531700002656</t>
        </is>
      </c>
      <c r="BB1405" t="inlineStr">
        <is>
          <t>BOOK</t>
        </is>
      </c>
      <c r="BD1405" t="inlineStr">
        <is>
          <t>9780781738088</t>
        </is>
      </c>
      <c r="BE1405" t="inlineStr">
        <is>
          <t>30001004840775</t>
        </is>
      </c>
      <c r="BF1405" t="inlineStr">
        <is>
          <t>893547784</t>
        </is>
      </c>
    </row>
    <row r="1406">
      <c r="A1406" t="inlineStr">
        <is>
          <t>No</t>
        </is>
      </c>
      <c r="B1406" t="inlineStr">
        <is>
          <t>CUHSL</t>
        </is>
      </c>
      <c r="C1406" t="inlineStr">
        <is>
          <t>SHELVES</t>
        </is>
      </c>
      <c r="D1406" t="inlineStr">
        <is>
          <t>WY 152 M648c 1983</t>
        </is>
      </c>
      <c r="E1406" t="inlineStr">
        <is>
          <t>0                      WY 0152000M  648c        1983</t>
        </is>
      </c>
      <c r="F1406" t="inlineStr">
        <is>
          <t>Coping with chronic illness : overcoming powerlessness / Judith Fitzgerald Miller.</t>
        </is>
      </c>
      <c r="H1406" t="inlineStr">
        <is>
          <t>No</t>
        </is>
      </c>
      <c r="I1406" t="inlineStr">
        <is>
          <t>1</t>
        </is>
      </c>
      <c r="J1406" t="inlineStr">
        <is>
          <t>No</t>
        </is>
      </c>
      <c r="K1406" t="inlineStr">
        <is>
          <t>No</t>
        </is>
      </c>
      <c r="L1406" t="inlineStr">
        <is>
          <t>0</t>
        </is>
      </c>
      <c r="M1406" t="inlineStr">
        <is>
          <t>Miller, Judith Fitzgerald.</t>
        </is>
      </c>
      <c r="N1406" t="inlineStr">
        <is>
          <t>Philadelphia : Davis, c1983.</t>
        </is>
      </c>
      <c r="O1406" t="inlineStr">
        <is>
          <t>1983</t>
        </is>
      </c>
      <c r="Q1406" t="inlineStr">
        <is>
          <t>eng</t>
        </is>
      </c>
      <c r="R1406" t="inlineStr">
        <is>
          <t>xxu</t>
        </is>
      </c>
      <c r="T1406" t="inlineStr">
        <is>
          <t xml:space="preserve">WY </t>
        </is>
      </c>
      <c r="U1406" t="n">
        <v>43</v>
      </c>
      <c r="V1406" t="n">
        <v>43</v>
      </c>
      <c r="W1406" t="inlineStr">
        <is>
          <t>1998-01-12</t>
        </is>
      </c>
      <c r="X1406" t="inlineStr">
        <is>
          <t>1998-01-12</t>
        </is>
      </c>
      <c r="Y1406" t="inlineStr">
        <is>
          <t>1987-12-21</t>
        </is>
      </c>
      <c r="Z1406" t="inlineStr">
        <is>
          <t>1987-12-21</t>
        </is>
      </c>
      <c r="AA1406" t="n">
        <v>28</v>
      </c>
      <c r="AB1406" t="n">
        <v>25</v>
      </c>
      <c r="AC1406" t="n">
        <v>700</v>
      </c>
      <c r="AD1406" t="n">
        <v>1</v>
      </c>
      <c r="AE1406" t="n">
        <v>2</v>
      </c>
      <c r="AF1406" t="n">
        <v>0</v>
      </c>
      <c r="AG1406" t="n">
        <v>23</v>
      </c>
      <c r="AH1406" t="n">
        <v>0</v>
      </c>
      <c r="AI1406" t="n">
        <v>11</v>
      </c>
      <c r="AJ1406" t="n">
        <v>0</v>
      </c>
      <c r="AK1406" t="n">
        <v>3</v>
      </c>
      <c r="AL1406" t="n">
        <v>0</v>
      </c>
      <c r="AM1406" t="n">
        <v>14</v>
      </c>
      <c r="AN1406" t="n">
        <v>0</v>
      </c>
      <c r="AO1406" t="n">
        <v>1</v>
      </c>
      <c r="AP1406" t="n">
        <v>0</v>
      </c>
      <c r="AQ1406" t="n">
        <v>0</v>
      </c>
      <c r="AR1406" t="inlineStr">
        <is>
          <t>No</t>
        </is>
      </c>
      <c r="AS1406" t="inlineStr">
        <is>
          <t>No</t>
        </is>
      </c>
      <c r="AU1406">
        <f>HYPERLINK("https://creighton-primo.hosted.exlibrisgroup.com/primo-explore/search?tab=default_tab&amp;search_scope=EVERYTHING&amp;vid=01CRU&amp;lang=en_US&amp;offset=0&amp;query=any,contains,991000864739702656","Catalog Record")</f>
        <v/>
      </c>
      <c r="AV1406">
        <f>HYPERLINK("http://www.worldcat.org/oclc/8285407","WorldCat Record")</f>
        <v/>
      </c>
      <c r="AW1406" t="inlineStr">
        <is>
          <t>11342898:eng</t>
        </is>
      </c>
      <c r="AX1406" t="inlineStr">
        <is>
          <t>8285407</t>
        </is>
      </c>
      <c r="AY1406" t="inlineStr">
        <is>
          <t>991000864739702656</t>
        </is>
      </c>
      <c r="AZ1406" t="inlineStr">
        <is>
          <t>991000864739702656</t>
        </is>
      </c>
      <c r="BA1406" t="inlineStr">
        <is>
          <t>2265275990002656</t>
        </is>
      </c>
      <c r="BB1406" t="inlineStr">
        <is>
          <t>BOOK</t>
        </is>
      </c>
      <c r="BD1406" t="inlineStr">
        <is>
          <t>9780803661912</t>
        </is>
      </c>
      <c r="BE1406" t="inlineStr">
        <is>
          <t>30001000144016</t>
        </is>
      </c>
      <c r="BF1406" t="inlineStr">
        <is>
          <t>893820679</t>
        </is>
      </c>
    </row>
    <row r="1407">
      <c r="A1407" t="inlineStr">
        <is>
          <t>No</t>
        </is>
      </c>
      <c r="B1407" t="inlineStr">
        <is>
          <t>CUHSL</t>
        </is>
      </c>
      <c r="C1407" t="inlineStr">
        <is>
          <t>SHELVES</t>
        </is>
      </c>
      <c r="D1407" t="inlineStr">
        <is>
          <t>WY 152 M689 1986</t>
        </is>
      </c>
      <c r="E1407" t="inlineStr">
        <is>
          <t>0                      WY 0152000M  689         1986</t>
        </is>
      </c>
      <c r="F1407" t="inlineStr">
        <is>
          <t>Models for long-term care / National League for Nursing.</t>
        </is>
      </c>
      <c r="H1407" t="inlineStr">
        <is>
          <t>No</t>
        </is>
      </c>
      <c r="I1407" t="inlineStr">
        <is>
          <t>1</t>
        </is>
      </c>
      <c r="J1407" t="inlineStr">
        <is>
          <t>No</t>
        </is>
      </c>
      <c r="K1407" t="inlineStr">
        <is>
          <t>No</t>
        </is>
      </c>
      <c r="L1407" t="inlineStr">
        <is>
          <t>0</t>
        </is>
      </c>
      <c r="N1407" t="inlineStr">
        <is>
          <t>New York : The League, c1987.</t>
        </is>
      </c>
      <c r="O1407" t="inlineStr">
        <is>
          <t>1987</t>
        </is>
      </c>
      <c r="Q1407" t="inlineStr">
        <is>
          <t>eng</t>
        </is>
      </c>
      <c r="R1407" t="inlineStr">
        <is>
          <t>xxu</t>
        </is>
      </c>
      <c r="S1407" t="inlineStr">
        <is>
          <t>NLN pub. no. 20-2188</t>
        </is>
      </c>
      <c r="T1407" t="inlineStr">
        <is>
          <t xml:space="preserve">WY </t>
        </is>
      </c>
      <c r="U1407" t="n">
        <v>1</v>
      </c>
      <c r="V1407" t="n">
        <v>1</v>
      </c>
      <c r="W1407" t="inlineStr">
        <is>
          <t>1989-10-30</t>
        </is>
      </c>
      <c r="X1407" t="inlineStr">
        <is>
          <t>1989-10-30</t>
        </is>
      </c>
      <c r="Y1407" t="inlineStr">
        <is>
          <t>1987-10-27</t>
        </is>
      </c>
      <c r="Z1407" t="inlineStr">
        <is>
          <t>1987-10-27</t>
        </is>
      </c>
      <c r="AA1407" t="n">
        <v>154</v>
      </c>
      <c r="AB1407" t="n">
        <v>140</v>
      </c>
      <c r="AC1407" t="n">
        <v>142</v>
      </c>
      <c r="AD1407" t="n">
        <v>3</v>
      </c>
      <c r="AE1407" t="n">
        <v>3</v>
      </c>
      <c r="AF1407" t="n">
        <v>10</v>
      </c>
      <c r="AG1407" t="n">
        <v>10</v>
      </c>
      <c r="AH1407" t="n">
        <v>3</v>
      </c>
      <c r="AI1407" t="n">
        <v>3</v>
      </c>
      <c r="AJ1407" t="n">
        <v>2</v>
      </c>
      <c r="AK1407" t="n">
        <v>2</v>
      </c>
      <c r="AL1407" t="n">
        <v>6</v>
      </c>
      <c r="AM1407" t="n">
        <v>6</v>
      </c>
      <c r="AN1407" t="n">
        <v>2</v>
      </c>
      <c r="AO1407" t="n">
        <v>2</v>
      </c>
      <c r="AP1407" t="n">
        <v>0</v>
      </c>
      <c r="AQ1407" t="n">
        <v>0</v>
      </c>
      <c r="AR1407" t="inlineStr">
        <is>
          <t>No</t>
        </is>
      </c>
      <c r="AS1407" t="inlineStr">
        <is>
          <t>Yes</t>
        </is>
      </c>
      <c r="AT1407">
        <f>HYPERLINK("http://catalog.hathitrust.org/Record/002506725","HathiTrust Record")</f>
        <v/>
      </c>
      <c r="AU1407">
        <f>HYPERLINK("https://creighton-primo.hosted.exlibrisgroup.com/primo-explore/search?tab=default_tab&amp;search_scope=EVERYTHING&amp;vid=01CRU&amp;lang=en_US&amp;offset=0&amp;query=any,contains,991001269579702656","Catalog Record")</f>
        <v/>
      </c>
      <c r="AV1407">
        <f>HYPERLINK("http://www.worldcat.org/oclc/18686319","WorldCat Record")</f>
        <v/>
      </c>
      <c r="AW1407" t="inlineStr">
        <is>
          <t>423070712:eng</t>
        </is>
      </c>
      <c r="AX1407" t="inlineStr">
        <is>
          <t>18686319</t>
        </is>
      </c>
      <c r="AY1407" t="inlineStr">
        <is>
          <t>991001269579702656</t>
        </is>
      </c>
      <c r="AZ1407" t="inlineStr">
        <is>
          <t>991001269579702656</t>
        </is>
      </c>
      <c r="BA1407" t="inlineStr">
        <is>
          <t>2267921110002656</t>
        </is>
      </c>
      <c r="BB1407" t="inlineStr">
        <is>
          <t>BOOK</t>
        </is>
      </c>
      <c r="BD1407" t="inlineStr">
        <is>
          <t>9780887373718</t>
        </is>
      </c>
      <c r="BE1407" t="inlineStr">
        <is>
          <t>30001000354474</t>
        </is>
      </c>
      <c r="BF1407" t="inlineStr">
        <is>
          <t>893541173</t>
        </is>
      </c>
    </row>
    <row r="1408">
      <c r="A1408" t="inlineStr">
        <is>
          <t>No</t>
        </is>
      </c>
      <c r="B1408" t="inlineStr">
        <is>
          <t>CUHSL</t>
        </is>
      </c>
      <c r="C1408" t="inlineStr">
        <is>
          <t>SHELVES</t>
        </is>
      </c>
      <c r="D1408" t="inlineStr">
        <is>
          <t>WY 152 M87 1980</t>
        </is>
      </c>
      <c r="E1408" t="inlineStr">
        <is>
          <t>0                      WY 0152000M  87          1980</t>
        </is>
      </c>
      <c r="F1408" t="inlineStr">
        <is>
          <t>The nursing process in later maturity / Ruth Beckmann Murray, M. Marilyn Wilson Huelskoetter, Dorothy Lueckerath O'Driscoll.</t>
        </is>
      </c>
      <c r="H1408" t="inlineStr">
        <is>
          <t>No</t>
        </is>
      </c>
      <c r="I1408" t="inlineStr">
        <is>
          <t>1</t>
        </is>
      </c>
      <c r="J1408" t="inlineStr">
        <is>
          <t>No</t>
        </is>
      </c>
      <c r="K1408" t="inlineStr">
        <is>
          <t>No</t>
        </is>
      </c>
      <c r="L1408" t="inlineStr">
        <is>
          <t>0</t>
        </is>
      </c>
      <c r="M1408" t="inlineStr">
        <is>
          <t>Murray, Ruth, 1922-</t>
        </is>
      </c>
      <c r="N1408" t="inlineStr">
        <is>
          <t>Englewood Cliffs, N.J. : Prentice-Hall, c1980.</t>
        </is>
      </c>
      <c r="O1408" t="inlineStr">
        <is>
          <t>1980</t>
        </is>
      </c>
      <c r="Q1408" t="inlineStr">
        <is>
          <t>eng</t>
        </is>
      </c>
      <c r="R1408" t="inlineStr">
        <is>
          <t>nju</t>
        </is>
      </c>
      <c r="T1408" t="inlineStr">
        <is>
          <t xml:space="preserve">WY </t>
        </is>
      </c>
      <c r="U1408" t="n">
        <v>3</v>
      </c>
      <c r="V1408" t="n">
        <v>3</v>
      </c>
      <c r="W1408" t="inlineStr">
        <is>
          <t>1991-02-21</t>
        </is>
      </c>
      <c r="X1408" t="inlineStr">
        <is>
          <t>1991-02-21</t>
        </is>
      </c>
      <c r="Y1408" t="inlineStr">
        <is>
          <t>1987-10-23</t>
        </is>
      </c>
      <c r="Z1408" t="inlineStr">
        <is>
          <t>1987-10-23</t>
        </is>
      </c>
      <c r="AA1408" t="n">
        <v>283</v>
      </c>
      <c r="AB1408" t="n">
        <v>235</v>
      </c>
      <c r="AC1408" t="n">
        <v>242</v>
      </c>
      <c r="AD1408" t="n">
        <v>3</v>
      </c>
      <c r="AE1408" t="n">
        <v>3</v>
      </c>
      <c r="AF1408" t="n">
        <v>10</v>
      </c>
      <c r="AG1408" t="n">
        <v>10</v>
      </c>
      <c r="AH1408" t="n">
        <v>1</v>
      </c>
      <c r="AI1408" t="n">
        <v>1</v>
      </c>
      <c r="AJ1408" t="n">
        <v>3</v>
      </c>
      <c r="AK1408" t="n">
        <v>3</v>
      </c>
      <c r="AL1408" t="n">
        <v>5</v>
      </c>
      <c r="AM1408" t="n">
        <v>5</v>
      </c>
      <c r="AN1408" t="n">
        <v>2</v>
      </c>
      <c r="AO1408" t="n">
        <v>2</v>
      </c>
      <c r="AP1408" t="n">
        <v>0</v>
      </c>
      <c r="AQ1408" t="n">
        <v>0</v>
      </c>
      <c r="AR1408" t="inlineStr">
        <is>
          <t>No</t>
        </is>
      </c>
      <c r="AS1408" t="inlineStr">
        <is>
          <t>Yes</t>
        </is>
      </c>
      <c r="AT1408">
        <f>HYPERLINK("http://catalog.hathitrust.org/Record/000148821","HathiTrust Record")</f>
        <v/>
      </c>
      <c r="AU1408">
        <f>HYPERLINK("https://creighton-primo.hosted.exlibrisgroup.com/primo-explore/search?tab=default_tab&amp;search_scope=EVERYTHING&amp;vid=01CRU&amp;lang=en_US&amp;offset=0&amp;query=any,contains,991000734669702656","Catalog Record")</f>
        <v/>
      </c>
      <c r="AV1408">
        <f>HYPERLINK("http://www.worldcat.org/oclc/5101184","WorldCat Record")</f>
        <v/>
      </c>
      <c r="AW1408" t="inlineStr">
        <is>
          <t>15263102:eng</t>
        </is>
      </c>
      <c r="AX1408" t="inlineStr">
        <is>
          <t>5101184</t>
        </is>
      </c>
      <c r="AY1408" t="inlineStr">
        <is>
          <t>991000734669702656</t>
        </is>
      </c>
      <c r="AZ1408" t="inlineStr">
        <is>
          <t>991000734669702656</t>
        </is>
      </c>
      <c r="BA1408" t="inlineStr">
        <is>
          <t>2259304720002656</t>
        </is>
      </c>
      <c r="BB1408" t="inlineStr">
        <is>
          <t>BOOK</t>
        </is>
      </c>
      <c r="BD1408" t="inlineStr">
        <is>
          <t>9780136275701</t>
        </is>
      </c>
      <c r="BE1408" t="inlineStr">
        <is>
          <t>30001000041113</t>
        </is>
      </c>
      <c r="BF1408" t="inlineStr">
        <is>
          <t>893267262</t>
        </is>
      </c>
    </row>
    <row r="1409">
      <c r="A1409" t="inlineStr">
        <is>
          <t>No</t>
        </is>
      </c>
      <c r="B1409" t="inlineStr">
        <is>
          <t>CUHSL</t>
        </is>
      </c>
      <c r="C1409" t="inlineStr">
        <is>
          <t>SHELVES</t>
        </is>
      </c>
      <c r="D1409" t="inlineStr">
        <is>
          <t>WY 152 N552g 1991</t>
        </is>
      </c>
      <c r="E1409" t="inlineStr">
        <is>
          <t>0                      WY 0152000N  552g        1991</t>
        </is>
      </c>
      <c r="F1409" t="inlineStr">
        <is>
          <t>Geriatric care plans / Diane Kaschak Newman, Diane A. Smith.</t>
        </is>
      </c>
      <c r="H1409" t="inlineStr">
        <is>
          <t>No</t>
        </is>
      </c>
      <c r="I1409" t="inlineStr">
        <is>
          <t>1</t>
        </is>
      </c>
      <c r="J1409" t="inlineStr">
        <is>
          <t>No</t>
        </is>
      </c>
      <c r="K1409" t="inlineStr">
        <is>
          <t>No</t>
        </is>
      </c>
      <c r="L1409" t="inlineStr">
        <is>
          <t>0</t>
        </is>
      </c>
      <c r="M1409" t="inlineStr">
        <is>
          <t>Newman, Diane Kaschak.</t>
        </is>
      </c>
      <c r="N1409" t="inlineStr">
        <is>
          <t>Springhouse, Pa. : Springhouse Corp., c1991.</t>
        </is>
      </c>
      <c r="O1409" t="inlineStr">
        <is>
          <t>1991</t>
        </is>
      </c>
      <c r="Q1409" t="inlineStr">
        <is>
          <t>eng</t>
        </is>
      </c>
      <c r="R1409" t="inlineStr">
        <is>
          <t>pau</t>
        </is>
      </c>
      <c r="T1409" t="inlineStr">
        <is>
          <t xml:space="preserve">WY </t>
        </is>
      </c>
      <c r="U1409" t="n">
        <v>16</v>
      </c>
      <c r="V1409" t="n">
        <v>16</v>
      </c>
      <c r="W1409" t="inlineStr">
        <is>
          <t>2000-09-07</t>
        </is>
      </c>
      <c r="X1409" t="inlineStr">
        <is>
          <t>2000-09-07</t>
        </is>
      </c>
      <c r="Y1409" t="inlineStr">
        <is>
          <t>1990-11-28</t>
        </is>
      </c>
      <c r="Z1409" t="inlineStr">
        <is>
          <t>1990-11-28</t>
        </is>
      </c>
      <c r="AA1409" t="n">
        <v>184</v>
      </c>
      <c r="AB1409" t="n">
        <v>146</v>
      </c>
      <c r="AC1409" t="n">
        <v>151</v>
      </c>
      <c r="AD1409" t="n">
        <v>1</v>
      </c>
      <c r="AE1409" t="n">
        <v>1</v>
      </c>
      <c r="AF1409" t="n">
        <v>3</v>
      </c>
      <c r="AG1409" t="n">
        <v>3</v>
      </c>
      <c r="AH1409" t="n">
        <v>1</v>
      </c>
      <c r="AI1409" t="n">
        <v>1</v>
      </c>
      <c r="AJ1409" t="n">
        <v>1</v>
      </c>
      <c r="AK1409" t="n">
        <v>1</v>
      </c>
      <c r="AL1409" t="n">
        <v>2</v>
      </c>
      <c r="AM1409" t="n">
        <v>2</v>
      </c>
      <c r="AN1409" t="n">
        <v>0</v>
      </c>
      <c r="AO1409" t="n">
        <v>0</v>
      </c>
      <c r="AP1409" t="n">
        <v>0</v>
      </c>
      <c r="AQ1409" t="n">
        <v>0</v>
      </c>
      <c r="AR1409" t="inlineStr">
        <is>
          <t>No</t>
        </is>
      </c>
      <c r="AS1409" t="inlineStr">
        <is>
          <t>No</t>
        </is>
      </c>
      <c r="AU1409">
        <f>HYPERLINK("https://creighton-primo.hosted.exlibrisgroup.com/primo-explore/search?tab=default_tab&amp;search_scope=EVERYTHING&amp;vid=01CRU&amp;lang=en_US&amp;offset=0&amp;query=any,contains,991000781149702656","Catalog Record")</f>
        <v/>
      </c>
      <c r="AV1409">
        <f>HYPERLINK("http://www.worldcat.org/oclc/21560491","WorldCat Record")</f>
        <v/>
      </c>
      <c r="AW1409" t="inlineStr">
        <is>
          <t>10490716441:eng</t>
        </is>
      </c>
      <c r="AX1409" t="inlineStr">
        <is>
          <t>21560491</t>
        </is>
      </c>
      <c r="AY1409" t="inlineStr">
        <is>
          <t>991000781149702656</t>
        </is>
      </c>
      <c r="AZ1409" t="inlineStr">
        <is>
          <t>991000781149702656</t>
        </is>
      </c>
      <c r="BA1409" t="inlineStr">
        <is>
          <t>2262955490002656</t>
        </is>
      </c>
      <c r="BB1409" t="inlineStr">
        <is>
          <t>BOOK</t>
        </is>
      </c>
      <c r="BD1409" t="inlineStr">
        <is>
          <t>9780874342635</t>
        </is>
      </c>
      <c r="BE1409" t="inlineStr">
        <is>
          <t>30001002064626</t>
        </is>
      </c>
      <c r="BF1409" t="inlineStr">
        <is>
          <t>893363064</t>
        </is>
      </c>
    </row>
    <row r="1410">
      <c r="A1410" t="inlineStr">
        <is>
          <t>No</t>
        </is>
      </c>
      <c r="B1410" t="inlineStr">
        <is>
          <t>CUHSL</t>
        </is>
      </c>
      <c r="C1410" t="inlineStr">
        <is>
          <t>SHELVES</t>
        </is>
      </c>
      <c r="D1410" t="inlineStr">
        <is>
          <t>WY 152 N974 1981</t>
        </is>
      </c>
      <c r="E1410" t="inlineStr">
        <is>
          <t>0                      WY 0152000N  974         1981</t>
        </is>
      </c>
      <c r="F1410" t="inlineStr">
        <is>
          <t>Nursing care of the older adult : in the hospital, nursing home, and community / edited by Mildred O. Hogstel.</t>
        </is>
      </c>
      <c r="H1410" t="inlineStr">
        <is>
          <t>No</t>
        </is>
      </c>
      <c r="I1410" t="inlineStr">
        <is>
          <t>1</t>
        </is>
      </c>
      <c r="J1410" t="inlineStr">
        <is>
          <t>No</t>
        </is>
      </c>
      <c r="K1410" t="inlineStr">
        <is>
          <t>Yes</t>
        </is>
      </c>
      <c r="L1410" t="inlineStr">
        <is>
          <t>0</t>
        </is>
      </c>
      <c r="N1410" t="inlineStr">
        <is>
          <t>New York : Wiley Medical, 1981.</t>
        </is>
      </c>
      <c r="O1410" t="inlineStr">
        <is>
          <t>1981</t>
        </is>
      </c>
      <c r="Q1410" t="inlineStr">
        <is>
          <t>eng</t>
        </is>
      </c>
      <c r="R1410" t="inlineStr">
        <is>
          <t>nyu</t>
        </is>
      </c>
      <c r="T1410" t="inlineStr">
        <is>
          <t xml:space="preserve">WY </t>
        </is>
      </c>
      <c r="U1410" t="n">
        <v>18</v>
      </c>
      <c r="V1410" t="n">
        <v>18</v>
      </c>
      <c r="W1410" t="inlineStr">
        <is>
          <t>1994-09-19</t>
        </is>
      </c>
      <c r="X1410" t="inlineStr">
        <is>
          <t>1994-09-19</t>
        </is>
      </c>
      <c r="Y1410" t="inlineStr">
        <is>
          <t>1987-10-23</t>
        </is>
      </c>
      <c r="Z1410" t="inlineStr">
        <is>
          <t>1987-10-23</t>
        </is>
      </c>
      <c r="AA1410" t="n">
        <v>309</v>
      </c>
      <c r="AB1410" t="n">
        <v>270</v>
      </c>
      <c r="AC1410" t="n">
        <v>533</v>
      </c>
      <c r="AD1410" t="n">
        <v>3</v>
      </c>
      <c r="AE1410" t="n">
        <v>4</v>
      </c>
      <c r="AF1410" t="n">
        <v>12</v>
      </c>
      <c r="AG1410" t="n">
        <v>19</v>
      </c>
      <c r="AH1410" t="n">
        <v>2</v>
      </c>
      <c r="AI1410" t="n">
        <v>7</v>
      </c>
      <c r="AJ1410" t="n">
        <v>3</v>
      </c>
      <c r="AK1410" t="n">
        <v>3</v>
      </c>
      <c r="AL1410" t="n">
        <v>6</v>
      </c>
      <c r="AM1410" t="n">
        <v>9</v>
      </c>
      <c r="AN1410" t="n">
        <v>2</v>
      </c>
      <c r="AO1410" t="n">
        <v>3</v>
      </c>
      <c r="AP1410" t="n">
        <v>1</v>
      </c>
      <c r="AQ1410" t="n">
        <v>1</v>
      </c>
      <c r="AR1410" t="inlineStr">
        <is>
          <t>No</t>
        </is>
      </c>
      <c r="AS1410" t="inlineStr">
        <is>
          <t>Yes</t>
        </is>
      </c>
      <c r="AT1410">
        <f>HYPERLINK("http://catalog.hathitrust.org/Record/000148143","HathiTrust Record")</f>
        <v/>
      </c>
      <c r="AU1410">
        <f>HYPERLINK("https://creighton-primo.hosted.exlibrisgroup.com/primo-explore/search?tab=default_tab&amp;search_scope=EVERYTHING&amp;vid=01CRU&amp;lang=en_US&amp;offset=0&amp;query=any,contains,991000734249702656","Catalog Record")</f>
        <v/>
      </c>
      <c r="AV1410">
        <f>HYPERLINK("http://www.worldcat.org/oclc/6789703","WorldCat Record")</f>
        <v/>
      </c>
      <c r="AW1410" t="inlineStr">
        <is>
          <t>3856276990:eng</t>
        </is>
      </c>
      <c r="AX1410" t="inlineStr">
        <is>
          <t>6789703</t>
        </is>
      </c>
      <c r="AY1410" t="inlineStr">
        <is>
          <t>991000734249702656</t>
        </is>
      </c>
      <c r="AZ1410" t="inlineStr">
        <is>
          <t>991000734249702656</t>
        </is>
      </c>
      <c r="BA1410" t="inlineStr">
        <is>
          <t>2263798710002656</t>
        </is>
      </c>
      <c r="BB1410" t="inlineStr">
        <is>
          <t>BOOK</t>
        </is>
      </c>
      <c r="BD1410" t="inlineStr">
        <is>
          <t>9780471060222</t>
        </is>
      </c>
      <c r="BE1410" t="inlineStr">
        <is>
          <t>30001000041097</t>
        </is>
      </c>
      <c r="BF1410" t="inlineStr">
        <is>
          <t>893731009</t>
        </is>
      </c>
    </row>
    <row r="1411">
      <c r="A1411" t="inlineStr">
        <is>
          <t>No</t>
        </is>
      </c>
      <c r="B1411" t="inlineStr">
        <is>
          <t>CUHSL</t>
        </is>
      </c>
      <c r="C1411" t="inlineStr">
        <is>
          <t>SHELVES</t>
        </is>
      </c>
      <c r="D1411" t="inlineStr">
        <is>
          <t>WY 152 N974 1991</t>
        </is>
      </c>
      <c r="E1411" t="inlineStr">
        <is>
          <t>0                      WY 0152000N  974         1991</t>
        </is>
      </c>
      <c r="F1411" t="inlineStr">
        <is>
          <t>Nursing diagnoses and interventions for the elderly / [editors] Meridean Maas, Kathleen C. Buckwalter, Mary Hardy.</t>
        </is>
      </c>
      <c r="H1411" t="inlineStr">
        <is>
          <t>No</t>
        </is>
      </c>
      <c r="I1411" t="inlineStr">
        <is>
          <t>1</t>
        </is>
      </c>
      <c r="J1411" t="inlineStr">
        <is>
          <t>No</t>
        </is>
      </c>
      <c r="K1411" t="inlineStr">
        <is>
          <t>No</t>
        </is>
      </c>
      <c r="L1411" t="inlineStr">
        <is>
          <t>0</t>
        </is>
      </c>
      <c r="N1411" t="inlineStr">
        <is>
          <t>Redwood City, Calif. : Addison-Wesley Nursing, c1991.</t>
        </is>
      </c>
      <c r="O1411" t="inlineStr">
        <is>
          <t>1991</t>
        </is>
      </c>
      <c r="Q1411" t="inlineStr">
        <is>
          <t>eng</t>
        </is>
      </c>
      <c r="R1411" t="inlineStr">
        <is>
          <t>cau</t>
        </is>
      </c>
      <c r="T1411" t="inlineStr">
        <is>
          <t xml:space="preserve">WY </t>
        </is>
      </c>
      <c r="U1411" t="n">
        <v>17</v>
      </c>
      <c r="V1411" t="n">
        <v>17</v>
      </c>
      <c r="W1411" t="inlineStr">
        <is>
          <t>1996-10-15</t>
        </is>
      </c>
      <c r="X1411" t="inlineStr">
        <is>
          <t>1996-10-15</t>
        </is>
      </c>
      <c r="Y1411" t="inlineStr">
        <is>
          <t>1991-02-16</t>
        </is>
      </c>
      <c r="Z1411" t="inlineStr">
        <is>
          <t>1991-02-16</t>
        </is>
      </c>
      <c r="AA1411" t="n">
        <v>216</v>
      </c>
      <c r="AB1411" t="n">
        <v>168</v>
      </c>
      <c r="AC1411" t="n">
        <v>170</v>
      </c>
      <c r="AD1411" t="n">
        <v>1</v>
      </c>
      <c r="AE1411" t="n">
        <v>1</v>
      </c>
      <c r="AF1411" t="n">
        <v>5</v>
      </c>
      <c r="AG1411" t="n">
        <v>5</v>
      </c>
      <c r="AH1411" t="n">
        <v>1</v>
      </c>
      <c r="AI1411" t="n">
        <v>1</v>
      </c>
      <c r="AJ1411" t="n">
        <v>2</v>
      </c>
      <c r="AK1411" t="n">
        <v>2</v>
      </c>
      <c r="AL1411" t="n">
        <v>3</v>
      </c>
      <c r="AM1411" t="n">
        <v>3</v>
      </c>
      <c r="AN1411" t="n">
        <v>0</v>
      </c>
      <c r="AO1411" t="n">
        <v>0</v>
      </c>
      <c r="AP1411" t="n">
        <v>0</v>
      </c>
      <c r="AQ1411" t="n">
        <v>0</v>
      </c>
      <c r="AR1411" t="inlineStr">
        <is>
          <t>No</t>
        </is>
      </c>
      <c r="AS1411" t="inlineStr">
        <is>
          <t>Yes</t>
        </is>
      </c>
      <c r="AT1411">
        <f>HYPERLINK("http://catalog.hathitrust.org/Record/002560540","HathiTrust Record")</f>
        <v/>
      </c>
      <c r="AU1411">
        <f>HYPERLINK("https://creighton-primo.hosted.exlibrisgroup.com/primo-explore/search?tab=default_tab&amp;search_scope=EVERYTHING&amp;vid=01CRU&amp;lang=en_US&amp;offset=0&amp;query=any,contains,991000819489702656","Catalog Record")</f>
        <v/>
      </c>
      <c r="AV1411">
        <f>HYPERLINK("http://www.worldcat.org/oclc/22382975","WorldCat Record")</f>
        <v/>
      </c>
      <c r="AW1411" t="inlineStr">
        <is>
          <t>24410349:eng</t>
        </is>
      </c>
      <c r="AX1411" t="inlineStr">
        <is>
          <t>22382975</t>
        </is>
      </c>
      <c r="AY1411" t="inlineStr">
        <is>
          <t>991000819489702656</t>
        </is>
      </c>
      <c r="AZ1411" t="inlineStr">
        <is>
          <t>991000819489702656</t>
        </is>
      </c>
      <c r="BA1411" t="inlineStr">
        <is>
          <t>2272026390002656</t>
        </is>
      </c>
      <c r="BB1411" t="inlineStr">
        <is>
          <t>BOOK</t>
        </is>
      </c>
      <c r="BD1411" t="inlineStr">
        <is>
          <t>9780201126792</t>
        </is>
      </c>
      <c r="BE1411" t="inlineStr">
        <is>
          <t>30001002087288</t>
        </is>
      </c>
      <c r="BF1411" t="inlineStr">
        <is>
          <t>893363203</t>
        </is>
      </c>
    </row>
    <row r="1412">
      <c r="A1412" t="inlineStr">
        <is>
          <t>No</t>
        </is>
      </c>
      <c r="B1412" t="inlineStr">
        <is>
          <t>CUHSL</t>
        </is>
      </c>
      <c r="C1412" t="inlineStr">
        <is>
          <t>SHELVES</t>
        </is>
      </c>
      <c r="D1412" t="inlineStr">
        <is>
          <t>WY 152 N9742 1988</t>
        </is>
      </c>
      <c r="E1412" t="inlineStr">
        <is>
          <t>0                      WY 0152000N  9742        1988</t>
        </is>
      </c>
      <c r="F1412" t="inlineStr">
        <is>
          <t>Nursing and the aged : a self-care approach / [edited by] Irene M. Burnside.</t>
        </is>
      </c>
      <c r="H1412" t="inlineStr">
        <is>
          <t>No</t>
        </is>
      </c>
      <c r="I1412" t="inlineStr">
        <is>
          <t>1</t>
        </is>
      </c>
      <c r="J1412" t="inlineStr">
        <is>
          <t>No</t>
        </is>
      </c>
      <c r="K1412" t="inlineStr">
        <is>
          <t>Yes</t>
        </is>
      </c>
      <c r="L1412" t="inlineStr">
        <is>
          <t>0</t>
        </is>
      </c>
      <c r="N1412" t="inlineStr">
        <is>
          <t>New York : McGraw-Hill, c1988.</t>
        </is>
      </c>
      <c r="O1412" t="inlineStr">
        <is>
          <t>1988</t>
        </is>
      </c>
      <c r="P1412" t="inlineStr">
        <is>
          <t>3rd ed.</t>
        </is>
      </c>
      <c r="Q1412" t="inlineStr">
        <is>
          <t>eng</t>
        </is>
      </c>
      <c r="R1412" t="inlineStr">
        <is>
          <t>xxu</t>
        </is>
      </c>
      <c r="T1412" t="inlineStr">
        <is>
          <t xml:space="preserve">WY </t>
        </is>
      </c>
      <c r="U1412" t="n">
        <v>20</v>
      </c>
      <c r="V1412" t="n">
        <v>20</v>
      </c>
      <c r="W1412" t="inlineStr">
        <is>
          <t>1992-10-28</t>
        </is>
      </c>
      <c r="X1412" t="inlineStr">
        <is>
          <t>1992-10-28</t>
        </is>
      </c>
      <c r="Y1412" t="inlineStr">
        <is>
          <t>1992-10-28</t>
        </is>
      </c>
      <c r="Z1412" t="inlineStr">
        <is>
          <t>1992-10-28</t>
        </is>
      </c>
      <c r="AA1412" t="n">
        <v>386</v>
      </c>
      <c r="AB1412" t="n">
        <v>317</v>
      </c>
      <c r="AC1412" t="n">
        <v>633</v>
      </c>
      <c r="AD1412" t="n">
        <v>3</v>
      </c>
      <c r="AE1412" t="n">
        <v>6</v>
      </c>
      <c r="AF1412" t="n">
        <v>9</v>
      </c>
      <c r="AG1412" t="n">
        <v>18</v>
      </c>
      <c r="AH1412" t="n">
        <v>3</v>
      </c>
      <c r="AI1412" t="n">
        <v>4</v>
      </c>
      <c r="AJ1412" t="n">
        <v>2</v>
      </c>
      <c r="AK1412" t="n">
        <v>3</v>
      </c>
      <c r="AL1412" t="n">
        <v>6</v>
      </c>
      <c r="AM1412" t="n">
        <v>11</v>
      </c>
      <c r="AN1412" t="n">
        <v>1</v>
      </c>
      <c r="AO1412" t="n">
        <v>4</v>
      </c>
      <c r="AP1412" t="n">
        <v>0</v>
      </c>
      <c r="AQ1412" t="n">
        <v>0</v>
      </c>
      <c r="AR1412" t="inlineStr">
        <is>
          <t>No</t>
        </is>
      </c>
      <c r="AS1412" t="inlineStr">
        <is>
          <t>Yes</t>
        </is>
      </c>
      <c r="AT1412">
        <f>HYPERLINK("http://catalog.hathitrust.org/Record/000949105","HathiTrust Record")</f>
        <v/>
      </c>
      <c r="AU1412">
        <f>HYPERLINK("https://creighton-primo.hosted.exlibrisgroup.com/primo-explore/search?tab=default_tab&amp;search_scope=EVERYTHING&amp;vid=01CRU&amp;lang=en_US&amp;offset=0&amp;query=any,contains,991001346789702656","Catalog Record")</f>
        <v/>
      </c>
      <c r="AV1412">
        <f>HYPERLINK("http://www.worldcat.org/oclc/16900799","WorldCat Record")</f>
        <v/>
      </c>
      <c r="AW1412" t="inlineStr">
        <is>
          <t>54054278:eng</t>
        </is>
      </c>
      <c r="AX1412" t="inlineStr">
        <is>
          <t>16900799</t>
        </is>
      </c>
      <c r="AY1412" t="inlineStr">
        <is>
          <t>991001346789702656</t>
        </is>
      </c>
      <c r="AZ1412" t="inlineStr">
        <is>
          <t>991001346789702656</t>
        </is>
      </c>
      <c r="BA1412" t="inlineStr">
        <is>
          <t>2269837910002656</t>
        </is>
      </c>
      <c r="BB1412" t="inlineStr">
        <is>
          <t>BOOK</t>
        </is>
      </c>
      <c r="BD1412" t="inlineStr">
        <is>
          <t>9780070092143</t>
        </is>
      </c>
      <c r="BE1412" t="inlineStr">
        <is>
          <t>30001002457481</t>
        </is>
      </c>
      <c r="BF1412" t="inlineStr">
        <is>
          <t>893826669</t>
        </is>
      </c>
    </row>
    <row r="1413">
      <c r="A1413" t="inlineStr">
        <is>
          <t>No</t>
        </is>
      </c>
      <c r="B1413" t="inlineStr">
        <is>
          <t>CUHSL</t>
        </is>
      </c>
      <c r="C1413" t="inlineStr">
        <is>
          <t>SHELVES</t>
        </is>
      </c>
      <c r="D1413" t="inlineStr">
        <is>
          <t>WY 152 N97435 1990</t>
        </is>
      </c>
      <c r="E1413" t="inlineStr">
        <is>
          <t>0                      WY 0152000N  97435       1990</t>
        </is>
      </c>
      <c r="F1413" t="inlineStr">
        <is>
          <t>Nursing care in an aging society / Donna M. Corr, Charles A. Corr, editors.</t>
        </is>
      </c>
      <c r="H1413" t="inlineStr">
        <is>
          <t>No</t>
        </is>
      </c>
      <c r="I1413" t="inlineStr">
        <is>
          <t>1</t>
        </is>
      </c>
      <c r="J1413" t="inlineStr">
        <is>
          <t>No</t>
        </is>
      </c>
      <c r="K1413" t="inlineStr">
        <is>
          <t>No</t>
        </is>
      </c>
      <c r="L1413" t="inlineStr">
        <is>
          <t>0</t>
        </is>
      </c>
      <c r="N1413" t="inlineStr">
        <is>
          <t>New York : Springer Pub. Co., c1990.</t>
        </is>
      </c>
      <c r="O1413" t="inlineStr">
        <is>
          <t>1990</t>
        </is>
      </c>
      <c r="Q1413" t="inlineStr">
        <is>
          <t>eng</t>
        </is>
      </c>
      <c r="R1413" t="inlineStr">
        <is>
          <t>xxu</t>
        </is>
      </c>
      <c r="T1413" t="inlineStr">
        <is>
          <t xml:space="preserve">WY </t>
        </is>
      </c>
      <c r="U1413" t="n">
        <v>12</v>
      </c>
      <c r="V1413" t="n">
        <v>12</v>
      </c>
      <c r="W1413" t="inlineStr">
        <is>
          <t>1993-04-25</t>
        </is>
      </c>
      <c r="X1413" t="inlineStr">
        <is>
          <t>1993-04-25</t>
        </is>
      </c>
      <c r="Y1413" t="inlineStr">
        <is>
          <t>1990-06-15</t>
        </is>
      </c>
      <c r="Z1413" t="inlineStr">
        <is>
          <t>1990-06-15</t>
        </is>
      </c>
      <c r="AA1413" t="n">
        <v>337</v>
      </c>
      <c r="AB1413" t="n">
        <v>278</v>
      </c>
      <c r="AC1413" t="n">
        <v>285</v>
      </c>
      <c r="AD1413" t="n">
        <v>2</v>
      </c>
      <c r="AE1413" t="n">
        <v>2</v>
      </c>
      <c r="AF1413" t="n">
        <v>16</v>
      </c>
      <c r="AG1413" t="n">
        <v>16</v>
      </c>
      <c r="AH1413" t="n">
        <v>4</v>
      </c>
      <c r="AI1413" t="n">
        <v>4</v>
      </c>
      <c r="AJ1413" t="n">
        <v>4</v>
      </c>
      <c r="AK1413" t="n">
        <v>4</v>
      </c>
      <c r="AL1413" t="n">
        <v>10</v>
      </c>
      <c r="AM1413" t="n">
        <v>10</v>
      </c>
      <c r="AN1413" t="n">
        <v>1</v>
      </c>
      <c r="AO1413" t="n">
        <v>1</v>
      </c>
      <c r="AP1413" t="n">
        <v>0</v>
      </c>
      <c r="AQ1413" t="n">
        <v>0</v>
      </c>
      <c r="AR1413" t="inlineStr">
        <is>
          <t>No</t>
        </is>
      </c>
      <c r="AS1413" t="inlineStr">
        <is>
          <t>Yes</t>
        </is>
      </c>
      <c r="AT1413">
        <f>HYPERLINK("http://catalog.hathitrust.org/Record/002435325","HathiTrust Record")</f>
        <v/>
      </c>
      <c r="AU1413">
        <f>HYPERLINK("https://creighton-primo.hosted.exlibrisgroup.com/primo-explore/search?tab=default_tab&amp;search_scope=EVERYTHING&amp;vid=01CRU&amp;lang=en_US&amp;offset=0&amp;query=any,contains,991001449339702656","Catalog Record")</f>
        <v/>
      </c>
      <c r="AV1413">
        <f>HYPERLINK("http://www.worldcat.org/oclc/21195977","WorldCat Record")</f>
        <v/>
      </c>
      <c r="AW1413" t="inlineStr">
        <is>
          <t>433788475:eng</t>
        </is>
      </c>
      <c r="AX1413" t="inlineStr">
        <is>
          <t>21195977</t>
        </is>
      </c>
      <c r="AY1413" t="inlineStr">
        <is>
          <t>991001449339702656</t>
        </is>
      </c>
      <c r="AZ1413" t="inlineStr">
        <is>
          <t>991001449339702656</t>
        </is>
      </c>
      <c r="BA1413" t="inlineStr">
        <is>
          <t>2270856320002656</t>
        </is>
      </c>
      <c r="BB1413" t="inlineStr">
        <is>
          <t>BOOK</t>
        </is>
      </c>
      <c r="BD1413" t="inlineStr">
        <is>
          <t>9780826166302</t>
        </is>
      </c>
      <c r="BE1413" t="inlineStr">
        <is>
          <t>30001001882333</t>
        </is>
      </c>
      <c r="BF1413" t="inlineStr">
        <is>
          <t>893358620</t>
        </is>
      </c>
    </row>
    <row r="1414">
      <c r="A1414" t="inlineStr">
        <is>
          <t>No</t>
        </is>
      </c>
      <c r="B1414" t="inlineStr">
        <is>
          <t>CUHSL</t>
        </is>
      </c>
      <c r="C1414" t="inlineStr">
        <is>
          <t>SHELVES</t>
        </is>
      </c>
      <c r="D1414" t="inlineStr">
        <is>
          <t>WY 152 N9744 1989</t>
        </is>
      </c>
      <c r="E1414" t="inlineStr">
        <is>
          <t>0                      WY 0152000N  9744        1989</t>
        </is>
      </c>
      <c r="F1414" t="inlineStr">
        <is>
          <t>Nursing care of the aged / edited by Karen Kay Esberger, Samuel T. Hughes, Jr.</t>
        </is>
      </c>
      <c r="H1414" t="inlineStr">
        <is>
          <t>No</t>
        </is>
      </c>
      <c r="I1414" t="inlineStr">
        <is>
          <t>1</t>
        </is>
      </c>
      <c r="J1414" t="inlineStr">
        <is>
          <t>No</t>
        </is>
      </c>
      <c r="K1414" t="inlineStr">
        <is>
          <t>No</t>
        </is>
      </c>
      <c r="L1414" t="inlineStr">
        <is>
          <t>0</t>
        </is>
      </c>
      <c r="N1414" t="inlineStr">
        <is>
          <t>Norwalk, Conn. : Appleton &amp; Lange, c1989.</t>
        </is>
      </c>
      <c r="O1414" t="inlineStr">
        <is>
          <t>1989</t>
        </is>
      </c>
      <c r="Q1414" t="inlineStr">
        <is>
          <t>eng</t>
        </is>
      </c>
      <c r="R1414" t="inlineStr">
        <is>
          <t>xxu</t>
        </is>
      </c>
      <c r="T1414" t="inlineStr">
        <is>
          <t xml:space="preserve">WY </t>
        </is>
      </c>
      <c r="U1414" t="n">
        <v>8</v>
      </c>
      <c r="V1414" t="n">
        <v>8</v>
      </c>
      <c r="W1414" t="inlineStr">
        <is>
          <t>1995-06-07</t>
        </is>
      </c>
      <c r="X1414" t="inlineStr">
        <is>
          <t>1995-06-07</t>
        </is>
      </c>
      <c r="Y1414" t="inlineStr">
        <is>
          <t>1989-06-15</t>
        </is>
      </c>
      <c r="Z1414" t="inlineStr">
        <is>
          <t>1989-06-15</t>
        </is>
      </c>
      <c r="AA1414" t="n">
        <v>232</v>
      </c>
      <c r="AB1414" t="n">
        <v>183</v>
      </c>
      <c r="AC1414" t="n">
        <v>185</v>
      </c>
      <c r="AD1414" t="n">
        <v>1</v>
      </c>
      <c r="AE1414" t="n">
        <v>1</v>
      </c>
      <c r="AF1414" t="n">
        <v>8</v>
      </c>
      <c r="AG1414" t="n">
        <v>8</v>
      </c>
      <c r="AH1414" t="n">
        <v>3</v>
      </c>
      <c r="AI1414" t="n">
        <v>3</v>
      </c>
      <c r="AJ1414" t="n">
        <v>3</v>
      </c>
      <c r="AK1414" t="n">
        <v>3</v>
      </c>
      <c r="AL1414" t="n">
        <v>6</v>
      </c>
      <c r="AM1414" t="n">
        <v>6</v>
      </c>
      <c r="AN1414" t="n">
        <v>0</v>
      </c>
      <c r="AO1414" t="n">
        <v>0</v>
      </c>
      <c r="AP1414" t="n">
        <v>0</v>
      </c>
      <c r="AQ1414" t="n">
        <v>0</v>
      </c>
      <c r="AR1414" t="inlineStr">
        <is>
          <t>No</t>
        </is>
      </c>
      <c r="AS1414" t="inlineStr">
        <is>
          <t>Yes</t>
        </is>
      </c>
      <c r="AT1414">
        <f>HYPERLINK("http://catalog.hathitrust.org/Record/001298685","HathiTrust Record")</f>
        <v/>
      </c>
      <c r="AU1414">
        <f>HYPERLINK("https://creighton-primo.hosted.exlibrisgroup.com/primo-explore/search?tab=default_tab&amp;search_scope=EVERYTHING&amp;vid=01CRU&amp;lang=en_US&amp;offset=0&amp;query=any,contains,991001252829702656","Catalog Record")</f>
        <v/>
      </c>
      <c r="AV1414">
        <f>HYPERLINK("http://www.worldcat.org/oclc/18106431","WorldCat Record")</f>
        <v/>
      </c>
      <c r="AW1414" t="inlineStr">
        <is>
          <t>9403452:eng</t>
        </is>
      </c>
      <c r="AX1414" t="inlineStr">
        <is>
          <t>18106431</t>
        </is>
      </c>
      <c r="AY1414" t="inlineStr">
        <is>
          <t>991001252829702656</t>
        </is>
      </c>
      <c r="AZ1414" t="inlineStr">
        <is>
          <t>991001252829702656</t>
        </is>
      </c>
      <c r="BA1414" t="inlineStr">
        <is>
          <t>2265146880002656</t>
        </is>
      </c>
      <c r="BB1414" t="inlineStr">
        <is>
          <t>BOOK</t>
        </is>
      </c>
      <c r="BD1414" t="inlineStr">
        <is>
          <t>9780838570104</t>
        </is>
      </c>
      <c r="BE1414" t="inlineStr">
        <is>
          <t>30001001679390</t>
        </is>
      </c>
      <c r="BF1414" t="inlineStr">
        <is>
          <t>893268246</t>
        </is>
      </c>
    </row>
    <row r="1415">
      <c r="A1415" t="inlineStr">
        <is>
          <t>No</t>
        </is>
      </c>
      <c r="B1415" t="inlineStr">
        <is>
          <t>CUHSL</t>
        </is>
      </c>
      <c r="C1415" t="inlineStr">
        <is>
          <t>SHELVES</t>
        </is>
      </c>
      <c r="D1415" t="inlineStr">
        <is>
          <t>WY 152 N9745 1988</t>
        </is>
      </c>
      <c r="E1415" t="inlineStr">
        <is>
          <t>0                      WY 0152000N  9745        1988</t>
        </is>
      </c>
      <c r="F1415" t="inlineStr">
        <is>
          <t>Nursing care of the older adult : in the hospital, nursing home, and community / edited by Mildred O. Hogstel.</t>
        </is>
      </c>
      <c r="H1415" t="inlineStr">
        <is>
          <t>No</t>
        </is>
      </c>
      <c r="I1415" t="inlineStr">
        <is>
          <t>1</t>
        </is>
      </c>
      <c r="J1415" t="inlineStr">
        <is>
          <t>No</t>
        </is>
      </c>
      <c r="K1415" t="inlineStr">
        <is>
          <t>Yes</t>
        </is>
      </c>
      <c r="L1415" t="inlineStr">
        <is>
          <t>0</t>
        </is>
      </c>
      <c r="N1415" t="inlineStr">
        <is>
          <t>New York : Wiley, c1988.</t>
        </is>
      </c>
      <c r="O1415" t="inlineStr">
        <is>
          <t>1988</t>
        </is>
      </c>
      <c r="P1415" t="inlineStr">
        <is>
          <t>2nd ed.</t>
        </is>
      </c>
      <c r="Q1415" t="inlineStr">
        <is>
          <t>eng</t>
        </is>
      </c>
      <c r="R1415" t="inlineStr">
        <is>
          <t>nyu</t>
        </is>
      </c>
      <c r="S1415" t="inlineStr">
        <is>
          <t>A Wiley medical publication.</t>
        </is>
      </c>
      <c r="T1415" t="inlineStr">
        <is>
          <t xml:space="preserve">WY </t>
        </is>
      </c>
      <c r="U1415" t="n">
        <v>7</v>
      </c>
      <c r="V1415" t="n">
        <v>7</v>
      </c>
      <c r="W1415" t="inlineStr">
        <is>
          <t>1995-10-15</t>
        </is>
      </c>
      <c r="X1415" t="inlineStr">
        <is>
          <t>1995-10-15</t>
        </is>
      </c>
      <c r="Y1415" t="inlineStr">
        <is>
          <t>1992-09-25</t>
        </is>
      </c>
      <c r="Z1415" t="inlineStr">
        <is>
          <t>1992-09-25</t>
        </is>
      </c>
      <c r="AA1415" t="n">
        <v>133</v>
      </c>
      <c r="AB1415" t="n">
        <v>128</v>
      </c>
      <c r="AC1415" t="n">
        <v>533</v>
      </c>
      <c r="AD1415" t="n">
        <v>2</v>
      </c>
      <c r="AE1415" t="n">
        <v>4</v>
      </c>
      <c r="AF1415" t="n">
        <v>5</v>
      </c>
      <c r="AG1415" t="n">
        <v>19</v>
      </c>
      <c r="AH1415" t="n">
        <v>1</v>
      </c>
      <c r="AI1415" t="n">
        <v>7</v>
      </c>
      <c r="AJ1415" t="n">
        <v>1</v>
      </c>
      <c r="AK1415" t="n">
        <v>3</v>
      </c>
      <c r="AL1415" t="n">
        <v>3</v>
      </c>
      <c r="AM1415" t="n">
        <v>9</v>
      </c>
      <c r="AN1415" t="n">
        <v>1</v>
      </c>
      <c r="AO1415" t="n">
        <v>3</v>
      </c>
      <c r="AP1415" t="n">
        <v>0</v>
      </c>
      <c r="AQ1415" t="n">
        <v>1</v>
      </c>
      <c r="AR1415" t="inlineStr">
        <is>
          <t>No</t>
        </is>
      </c>
      <c r="AS1415" t="inlineStr">
        <is>
          <t>No</t>
        </is>
      </c>
      <c r="AU1415">
        <f>HYPERLINK("https://creighton-primo.hosted.exlibrisgroup.com/primo-explore/search?tab=default_tab&amp;search_scope=EVERYTHING&amp;vid=01CRU&amp;lang=en_US&amp;offset=0&amp;query=any,contains,991001345489702656","Catalog Record")</f>
        <v/>
      </c>
      <c r="AV1415">
        <f>HYPERLINK("http://www.worldcat.org/oclc/18909482","WorldCat Record")</f>
        <v/>
      </c>
      <c r="AW1415" t="inlineStr">
        <is>
          <t>3856276990:eng</t>
        </is>
      </c>
      <c r="AX1415" t="inlineStr">
        <is>
          <t>18909482</t>
        </is>
      </c>
      <c r="AY1415" t="inlineStr">
        <is>
          <t>991001345489702656</t>
        </is>
      </c>
      <c r="AZ1415" t="inlineStr">
        <is>
          <t>991001345489702656</t>
        </is>
      </c>
      <c r="BA1415" t="inlineStr">
        <is>
          <t>2256435810002656</t>
        </is>
      </c>
      <c r="BB1415" t="inlineStr">
        <is>
          <t>BOOK</t>
        </is>
      </c>
      <c r="BD1415" t="inlineStr">
        <is>
          <t>9780471631491</t>
        </is>
      </c>
      <c r="BE1415" t="inlineStr">
        <is>
          <t>30001002457085</t>
        </is>
      </c>
      <c r="BF1415" t="inlineStr">
        <is>
          <t>893643509</t>
        </is>
      </c>
    </row>
    <row r="1416">
      <c r="A1416" t="inlineStr">
        <is>
          <t>No</t>
        </is>
      </c>
      <c r="B1416" t="inlineStr">
        <is>
          <t>CUHSL</t>
        </is>
      </c>
      <c r="C1416" t="inlineStr">
        <is>
          <t>SHELVES</t>
        </is>
      </c>
      <c r="D1416" t="inlineStr">
        <is>
          <t>WY 152 N974603 1986</t>
        </is>
      </c>
      <c r="E1416" t="inlineStr">
        <is>
          <t>0                      WY 0152000N  974603      1986</t>
        </is>
      </c>
      <c r="F1416" t="inlineStr">
        <is>
          <t>Nursing elderly people / [edited by] Sally J. Redfern ; foreword by Dorothy E. Baker.</t>
        </is>
      </c>
      <c r="H1416" t="inlineStr">
        <is>
          <t>No</t>
        </is>
      </c>
      <c r="I1416" t="inlineStr">
        <is>
          <t>1</t>
        </is>
      </c>
      <c r="J1416" t="inlineStr">
        <is>
          <t>No</t>
        </is>
      </c>
      <c r="K1416" t="inlineStr">
        <is>
          <t>No</t>
        </is>
      </c>
      <c r="L1416" t="inlineStr">
        <is>
          <t>0</t>
        </is>
      </c>
      <c r="N1416" t="inlineStr">
        <is>
          <t>Edinburgh ; New York : Churchill Livingstone, c1986.</t>
        </is>
      </c>
      <c r="O1416" t="inlineStr">
        <is>
          <t>1986</t>
        </is>
      </c>
      <c r="Q1416" t="inlineStr">
        <is>
          <t>eng</t>
        </is>
      </c>
      <c r="R1416" t="inlineStr">
        <is>
          <t>stk</t>
        </is>
      </c>
      <c r="T1416" t="inlineStr">
        <is>
          <t xml:space="preserve">WY </t>
        </is>
      </c>
      <c r="U1416" t="n">
        <v>5</v>
      </c>
      <c r="V1416" t="n">
        <v>5</v>
      </c>
      <c r="W1416" t="inlineStr">
        <is>
          <t>1991-09-18</t>
        </is>
      </c>
      <c r="X1416" t="inlineStr">
        <is>
          <t>1991-09-18</t>
        </is>
      </c>
      <c r="Y1416" t="inlineStr">
        <is>
          <t>1991-02-07</t>
        </is>
      </c>
      <c r="Z1416" t="inlineStr">
        <is>
          <t>1991-02-07</t>
        </is>
      </c>
      <c r="AA1416" t="n">
        <v>132</v>
      </c>
      <c r="AB1416" t="n">
        <v>68</v>
      </c>
      <c r="AC1416" t="n">
        <v>82</v>
      </c>
      <c r="AD1416" t="n">
        <v>1</v>
      </c>
      <c r="AE1416" t="n">
        <v>1</v>
      </c>
      <c r="AF1416" t="n">
        <v>5</v>
      </c>
      <c r="AG1416" t="n">
        <v>5</v>
      </c>
      <c r="AH1416" t="n">
        <v>1</v>
      </c>
      <c r="AI1416" t="n">
        <v>1</v>
      </c>
      <c r="AJ1416" t="n">
        <v>1</v>
      </c>
      <c r="AK1416" t="n">
        <v>1</v>
      </c>
      <c r="AL1416" t="n">
        <v>4</v>
      </c>
      <c r="AM1416" t="n">
        <v>4</v>
      </c>
      <c r="AN1416" t="n">
        <v>0</v>
      </c>
      <c r="AO1416" t="n">
        <v>0</v>
      </c>
      <c r="AP1416" t="n">
        <v>0</v>
      </c>
      <c r="AQ1416" t="n">
        <v>0</v>
      </c>
      <c r="AR1416" t="inlineStr">
        <is>
          <t>No</t>
        </is>
      </c>
      <c r="AS1416" t="inlineStr">
        <is>
          <t>Yes</t>
        </is>
      </c>
      <c r="AT1416">
        <f>HYPERLINK("http://catalog.hathitrust.org/Record/000436722","HathiTrust Record")</f>
        <v/>
      </c>
      <c r="AU1416">
        <f>HYPERLINK("https://creighton-primo.hosted.exlibrisgroup.com/primo-explore/search?tab=default_tab&amp;search_scope=EVERYTHING&amp;vid=01CRU&amp;lang=en_US&amp;offset=0&amp;query=any,contains,991000864869702656","Catalog Record")</f>
        <v/>
      </c>
      <c r="AV1416">
        <f>HYPERLINK("http://www.worldcat.org/oclc/12286600","WorldCat Record")</f>
        <v/>
      </c>
      <c r="AW1416" t="inlineStr">
        <is>
          <t>54724811:eng</t>
        </is>
      </c>
      <c r="AX1416" t="inlineStr">
        <is>
          <t>12286600</t>
        </is>
      </c>
      <c r="AY1416" t="inlineStr">
        <is>
          <t>991000864869702656</t>
        </is>
      </c>
      <c r="AZ1416" t="inlineStr">
        <is>
          <t>991000864869702656</t>
        </is>
      </c>
      <c r="BA1416" t="inlineStr">
        <is>
          <t>2256928390002656</t>
        </is>
      </c>
      <c r="BB1416" t="inlineStr">
        <is>
          <t>BOOK</t>
        </is>
      </c>
      <c r="BD1416" t="inlineStr">
        <is>
          <t>9780443030840</t>
        </is>
      </c>
      <c r="BE1416" t="inlineStr">
        <is>
          <t>30001000144073</t>
        </is>
      </c>
      <c r="BF1416" t="inlineStr">
        <is>
          <t>893826120</t>
        </is>
      </c>
    </row>
    <row r="1417">
      <c r="A1417" t="inlineStr">
        <is>
          <t>No</t>
        </is>
      </c>
      <c r="B1417" t="inlineStr">
        <is>
          <t>CUHSL</t>
        </is>
      </c>
      <c r="C1417" t="inlineStr">
        <is>
          <t>SHELVES</t>
        </is>
      </c>
      <c r="D1417" t="inlineStr">
        <is>
          <t>WY 152 N974608 1987</t>
        </is>
      </c>
      <c r="E1417" t="inlineStr">
        <is>
          <t>0                      WY 0152000N  974608      1987</t>
        </is>
      </c>
      <c r="F1417" t="inlineStr">
        <is>
          <t>Nursing homes and nursing care : lessons from the teaching nursing homes / Mathy D. Mezey, Joan E. Lynaugh, Mary M. Cartier, editors.</t>
        </is>
      </c>
      <c r="H1417" t="inlineStr">
        <is>
          <t>No</t>
        </is>
      </c>
      <c r="I1417" t="inlineStr">
        <is>
          <t>1</t>
        </is>
      </c>
      <c r="J1417" t="inlineStr">
        <is>
          <t>No</t>
        </is>
      </c>
      <c r="K1417" t="inlineStr">
        <is>
          <t>No</t>
        </is>
      </c>
      <c r="L1417" t="inlineStr">
        <is>
          <t>0</t>
        </is>
      </c>
      <c r="N1417" t="inlineStr">
        <is>
          <t>New York : Springer Pub. Co., c1989.</t>
        </is>
      </c>
      <c r="O1417" t="inlineStr">
        <is>
          <t>1989</t>
        </is>
      </c>
      <c r="Q1417" t="inlineStr">
        <is>
          <t>eng</t>
        </is>
      </c>
      <c r="R1417" t="inlineStr">
        <is>
          <t>xxu</t>
        </is>
      </c>
      <c r="T1417" t="inlineStr">
        <is>
          <t xml:space="preserve">WY </t>
        </is>
      </c>
      <c r="U1417" t="n">
        <v>6</v>
      </c>
      <c r="V1417" t="n">
        <v>6</v>
      </c>
      <c r="W1417" t="inlineStr">
        <is>
          <t>1992-03-02</t>
        </is>
      </c>
      <c r="X1417" t="inlineStr">
        <is>
          <t>1992-03-02</t>
        </is>
      </c>
      <c r="Y1417" t="inlineStr">
        <is>
          <t>1989-05-31</t>
        </is>
      </c>
      <c r="Z1417" t="inlineStr">
        <is>
          <t>1989-05-31</t>
        </is>
      </c>
      <c r="AA1417" t="n">
        <v>215</v>
      </c>
      <c r="AB1417" t="n">
        <v>179</v>
      </c>
      <c r="AC1417" t="n">
        <v>182</v>
      </c>
      <c r="AD1417" t="n">
        <v>1</v>
      </c>
      <c r="AE1417" t="n">
        <v>1</v>
      </c>
      <c r="AF1417" t="n">
        <v>9</v>
      </c>
      <c r="AG1417" t="n">
        <v>9</v>
      </c>
      <c r="AH1417" t="n">
        <v>2</v>
      </c>
      <c r="AI1417" t="n">
        <v>2</v>
      </c>
      <c r="AJ1417" t="n">
        <v>3</v>
      </c>
      <c r="AK1417" t="n">
        <v>3</v>
      </c>
      <c r="AL1417" t="n">
        <v>7</v>
      </c>
      <c r="AM1417" t="n">
        <v>7</v>
      </c>
      <c r="AN1417" t="n">
        <v>0</v>
      </c>
      <c r="AO1417" t="n">
        <v>0</v>
      </c>
      <c r="AP1417" t="n">
        <v>0</v>
      </c>
      <c r="AQ1417" t="n">
        <v>0</v>
      </c>
      <c r="AR1417" t="inlineStr">
        <is>
          <t>No</t>
        </is>
      </c>
      <c r="AS1417" t="inlineStr">
        <is>
          <t>Yes</t>
        </is>
      </c>
      <c r="AT1417">
        <f>HYPERLINK("http://catalog.hathitrust.org/Record/001093831","HathiTrust Record")</f>
        <v/>
      </c>
      <c r="AU1417">
        <f>HYPERLINK("https://creighton-primo.hosted.exlibrisgroup.com/primo-explore/search?tab=default_tab&amp;search_scope=EVERYTHING&amp;vid=01CRU&amp;lang=en_US&amp;offset=0&amp;query=any,contains,991001249379702656","Catalog Record")</f>
        <v/>
      </c>
      <c r="AV1417">
        <f>HYPERLINK("http://www.worldcat.org/oclc/18560159","WorldCat Record")</f>
        <v/>
      </c>
      <c r="AW1417" t="inlineStr">
        <is>
          <t>431169431:eng</t>
        </is>
      </c>
      <c r="AX1417" t="inlineStr">
        <is>
          <t>18560159</t>
        </is>
      </c>
      <c r="AY1417" t="inlineStr">
        <is>
          <t>991001249379702656</t>
        </is>
      </c>
      <c r="AZ1417" t="inlineStr">
        <is>
          <t>991001249379702656</t>
        </is>
      </c>
      <c r="BA1417" t="inlineStr">
        <is>
          <t>2270845470002656</t>
        </is>
      </c>
      <c r="BB1417" t="inlineStr">
        <is>
          <t>BOOK</t>
        </is>
      </c>
      <c r="BD1417" t="inlineStr">
        <is>
          <t>9780826162106</t>
        </is>
      </c>
      <c r="BE1417" t="inlineStr">
        <is>
          <t>30001001678533</t>
        </is>
      </c>
      <c r="BF1417" t="inlineStr">
        <is>
          <t>893816237</t>
        </is>
      </c>
    </row>
    <row r="1418">
      <c r="A1418" t="inlineStr">
        <is>
          <t>No</t>
        </is>
      </c>
      <c r="B1418" t="inlineStr">
        <is>
          <t>CUHSL</t>
        </is>
      </c>
      <c r="C1418" t="inlineStr">
        <is>
          <t>SHELVES</t>
        </is>
      </c>
      <c r="D1418" t="inlineStr">
        <is>
          <t>WY 152 N9748 1989</t>
        </is>
      </c>
      <c r="E1418" t="inlineStr">
        <is>
          <t>0                      WY 0152000N  9748        1989</t>
        </is>
      </c>
      <c r="F1418" t="inlineStr">
        <is>
          <t>Nursing the elderly : a care plan approach / edited by Virginia Burggraf, Mickey Stanley ; with 10 contributors ; medical illustrator, Nancy Meadow ; nurse consultant, Mildred Hogstel ; pharmacist consultant, Carlos Tam.</t>
        </is>
      </c>
      <c r="H1418" t="inlineStr">
        <is>
          <t>No</t>
        </is>
      </c>
      <c r="I1418" t="inlineStr">
        <is>
          <t>1</t>
        </is>
      </c>
      <c r="J1418" t="inlineStr">
        <is>
          <t>No</t>
        </is>
      </c>
      <c r="K1418" t="inlineStr">
        <is>
          <t>No</t>
        </is>
      </c>
      <c r="L1418" t="inlineStr">
        <is>
          <t>0</t>
        </is>
      </c>
      <c r="N1418" t="inlineStr">
        <is>
          <t>Philadelphia : Lippincott, c1989.</t>
        </is>
      </c>
      <c r="O1418" t="inlineStr">
        <is>
          <t>1989</t>
        </is>
      </c>
      <c r="Q1418" t="inlineStr">
        <is>
          <t>eng</t>
        </is>
      </c>
      <c r="R1418" t="inlineStr">
        <is>
          <t>pau</t>
        </is>
      </c>
      <c r="T1418" t="inlineStr">
        <is>
          <t xml:space="preserve">WY </t>
        </is>
      </c>
      <c r="U1418" t="n">
        <v>19</v>
      </c>
      <c r="V1418" t="n">
        <v>19</v>
      </c>
      <c r="W1418" t="inlineStr">
        <is>
          <t>1995-03-16</t>
        </is>
      </c>
      <c r="X1418" t="inlineStr">
        <is>
          <t>1995-03-16</t>
        </is>
      </c>
      <c r="Y1418" t="inlineStr">
        <is>
          <t>1989-02-17</t>
        </is>
      </c>
      <c r="Z1418" t="inlineStr">
        <is>
          <t>1989-02-17</t>
        </is>
      </c>
      <c r="AA1418" t="n">
        <v>330</v>
      </c>
      <c r="AB1418" t="n">
        <v>257</v>
      </c>
      <c r="AC1418" t="n">
        <v>264</v>
      </c>
      <c r="AD1418" t="n">
        <v>2</v>
      </c>
      <c r="AE1418" t="n">
        <v>2</v>
      </c>
      <c r="AF1418" t="n">
        <v>7</v>
      </c>
      <c r="AG1418" t="n">
        <v>7</v>
      </c>
      <c r="AH1418" t="n">
        <v>3</v>
      </c>
      <c r="AI1418" t="n">
        <v>3</v>
      </c>
      <c r="AJ1418" t="n">
        <v>1</v>
      </c>
      <c r="AK1418" t="n">
        <v>1</v>
      </c>
      <c r="AL1418" t="n">
        <v>5</v>
      </c>
      <c r="AM1418" t="n">
        <v>5</v>
      </c>
      <c r="AN1418" t="n">
        <v>1</v>
      </c>
      <c r="AO1418" t="n">
        <v>1</v>
      </c>
      <c r="AP1418" t="n">
        <v>0</v>
      </c>
      <c r="AQ1418" t="n">
        <v>0</v>
      </c>
      <c r="AR1418" t="inlineStr">
        <is>
          <t>No</t>
        </is>
      </c>
      <c r="AS1418" t="inlineStr">
        <is>
          <t>Yes</t>
        </is>
      </c>
      <c r="AT1418">
        <f>HYPERLINK("http://catalog.hathitrust.org/Record/001085917","HathiTrust Record")</f>
        <v/>
      </c>
      <c r="AU1418">
        <f>HYPERLINK("https://creighton-primo.hosted.exlibrisgroup.com/primo-explore/search?tab=default_tab&amp;search_scope=EVERYTHING&amp;vid=01CRU&amp;lang=en_US&amp;offset=0&amp;query=any,contains,991001121869702656","Catalog Record")</f>
        <v/>
      </c>
      <c r="AV1418">
        <f>HYPERLINK("http://www.worldcat.org/oclc/17353647","WorldCat Record")</f>
        <v/>
      </c>
      <c r="AW1418" t="inlineStr">
        <is>
          <t>836754199:eng</t>
        </is>
      </c>
      <c r="AX1418" t="inlineStr">
        <is>
          <t>17353647</t>
        </is>
      </c>
      <c r="AY1418" t="inlineStr">
        <is>
          <t>991001121869702656</t>
        </is>
      </c>
      <c r="AZ1418" t="inlineStr">
        <is>
          <t>991001121869702656</t>
        </is>
      </c>
      <c r="BA1418" t="inlineStr">
        <is>
          <t>2265430870002656</t>
        </is>
      </c>
      <c r="BB1418" t="inlineStr">
        <is>
          <t>BOOK</t>
        </is>
      </c>
      <c r="BD1418" t="inlineStr">
        <is>
          <t>9780397546701</t>
        </is>
      </c>
      <c r="BE1418" t="inlineStr">
        <is>
          <t>30001001614652</t>
        </is>
      </c>
      <c r="BF1418" t="inlineStr">
        <is>
          <t>893284424</t>
        </is>
      </c>
    </row>
    <row r="1419">
      <c r="A1419" t="inlineStr">
        <is>
          <t>No</t>
        </is>
      </c>
      <c r="B1419" t="inlineStr">
        <is>
          <t>CUHSL</t>
        </is>
      </c>
      <c r="C1419" t="inlineStr">
        <is>
          <t>SHELVES</t>
        </is>
      </c>
      <c r="D1419" t="inlineStr">
        <is>
          <t>WY 152 N976 1981</t>
        </is>
      </c>
      <c r="E1419" t="inlineStr">
        <is>
          <t>0                      WY 0152000N  976         1981</t>
        </is>
      </c>
      <c r="F1419" t="inlineStr">
        <is>
          <t>Nursing and the aged / Irene Mortenson Burnside.</t>
        </is>
      </c>
      <c r="H1419" t="inlineStr">
        <is>
          <t>No</t>
        </is>
      </c>
      <c r="I1419" t="inlineStr">
        <is>
          <t>1</t>
        </is>
      </c>
      <c r="J1419" t="inlineStr">
        <is>
          <t>No</t>
        </is>
      </c>
      <c r="K1419" t="inlineStr">
        <is>
          <t>Yes</t>
        </is>
      </c>
      <c r="L1419" t="inlineStr">
        <is>
          <t>0</t>
        </is>
      </c>
      <c r="N1419" t="inlineStr">
        <is>
          <t>New York : McGraw-Hill, c1981.</t>
        </is>
      </c>
      <c r="O1419" t="inlineStr">
        <is>
          <t>1981</t>
        </is>
      </c>
      <c r="P1419" t="inlineStr">
        <is>
          <t>2d ed.</t>
        </is>
      </c>
      <c r="Q1419" t="inlineStr">
        <is>
          <t>eng</t>
        </is>
      </c>
      <c r="R1419" t="inlineStr">
        <is>
          <t xml:space="preserve">xx </t>
        </is>
      </c>
      <c r="T1419" t="inlineStr">
        <is>
          <t xml:space="preserve">WY </t>
        </is>
      </c>
      <c r="U1419" t="n">
        <v>10</v>
      </c>
      <c r="V1419" t="n">
        <v>10</v>
      </c>
      <c r="W1419" t="inlineStr">
        <is>
          <t>1989-05-05</t>
        </is>
      </c>
      <c r="X1419" t="inlineStr">
        <is>
          <t>1989-05-05</t>
        </is>
      </c>
      <c r="Y1419" t="inlineStr">
        <is>
          <t>1987-10-23</t>
        </is>
      </c>
      <c r="Z1419" t="inlineStr">
        <is>
          <t>1987-10-23</t>
        </is>
      </c>
      <c r="AA1419" t="n">
        <v>344</v>
      </c>
      <c r="AB1419" t="n">
        <v>276</v>
      </c>
      <c r="AC1419" t="n">
        <v>633</v>
      </c>
      <c r="AD1419" t="n">
        <v>3</v>
      </c>
      <c r="AE1419" t="n">
        <v>6</v>
      </c>
      <c r="AF1419" t="n">
        <v>9</v>
      </c>
      <c r="AG1419" t="n">
        <v>18</v>
      </c>
      <c r="AH1419" t="n">
        <v>2</v>
      </c>
      <c r="AI1419" t="n">
        <v>4</v>
      </c>
      <c r="AJ1419" t="n">
        <v>2</v>
      </c>
      <c r="AK1419" t="n">
        <v>3</v>
      </c>
      <c r="AL1419" t="n">
        <v>6</v>
      </c>
      <c r="AM1419" t="n">
        <v>11</v>
      </c>
      <c r="AN1419" t="n">
        <v>2</v>
      </c>
      <c r="AO1419" t="n">
        <v>4</v>
      </c>
      <c r="AP1419" t="n">
        <v>0</v>
      </c>
      <c r="AQ1419" t="n">
        <v>0</v>
      </c>
      <c r="AR1419" t="inlineStr">
        <is>
          <t>No</t>
        </is>
      </c>
      <c r="AS1419" t="inlineStr">
        <is>
          <t>Yes</t>
        </is>
      </c>
      <c r="AT1419">
        <f>HYPERLINK("http://catalog.hathitrust.org/Record/000181281","HathiTrust Record")</f>
        <v/>
      </c>
      <c r="AU1419">
        <f>HYPERLINK("https://creighton-primo.hosted.exlibrisgroup.com/primo-explore/search?tab=default_tab&amp;search_scope=EVERYTHING&amp;vid=01CRU&amp;lang=en_US&amp;offset=0&amp;query=any,contains,991000734309702656","Catalog Record")</f>
        <v/>
      </c>
      <c r="AV1419">
        <f>HYPERLINK("http://www.worldcat.org/oclc/6042961","WorldCat Record")</f>
        <v/>
      </c>
      <c r="AW1419" t="inlineStr">
        <is>
          <t>54054278:eng</t>
        </is>
      </c>
      <c r="AX1419" t="inlineStr">
        <is>
          <t>6042961</t>
        </is>
      </c>
      <c r="AY1419" t="inlineStr">
        <is>
          <t>991000734309702656</t>
        </is>
      </c>
      <c r="AZ1419" t="inlineStr">
        <is>
          <t>991000734309702656</t>
        </is>
      </c>
      <c r="BA1419" t="inlineStr">
        <is>
          <t>2259463350002656</t>
        </is>
      </c>
      <c r="BB1419" t="inlineStr">
        <is>
          <t>BOOK</t>
        </is>
      </c>
      <c r="BD1419" t="inlineStr">
        <is>
          <t>9780070092112</t>
        </is>
      </c>
      <c r="BE1419" t="inlineStr">
        <is>
          <t>30001000041089</t>
        </is>
      </c>
      <c r="BF1419" t="inlineStr">
        <is>
          <t>893740023</t>
        </is>
      </c>
    </row>
    <row r="1420">
      <c r="A1420" t="inlineStr">
        <is>
          <t>No</t>
        </is>
      </c>
      <c r="B1420" t="inlineStr">
        <is>
          <t>CUHSL</t>
        </is>
      </c>
      <c r="C1420" t="inlineStr">
        <is>
          <t>SHELVES</t>
        </is>
      </c>
      <c r="D1420" t="inlineStr">
        <is>
          <t>WY 152 N979 1986</t>
        </is>
      </c>
      <c r="E1420" t="inlineStr">
        <is>
          <t>0                      WY 0152000N  979         1986</t>
        </is>
      </c>
      <c r="F1420" t="inlineStr">
        <is>
          <t>Nursing management for the elderly / edited by Doris L. Carnevali, Maxine Patrick ; with 25 contributors.</t>
        </is>
      </c>
      <c r="H1420" t="inlineStr">
        <is>
          <t>No</t>
        </is>
      </c>
      <c r="I1420" t="inlineStr">
        <is>
          <t>1</t>
        </is>
      </c>
      <c r="J1420" t="inlineStr">
        <is>
          <t>No</t>
        </is>
      </c>
      <c r="K1420" t="inlineStr">
        <is>
          <t>No</t>
        </is>
      </c>
      <c r="L1420" t="inlineStr">
        <is>
          <t>0</t>
        </is>
      </c>
      <c r="N1420" t="inlineStr">
        <is>
          <t>Philadelphia : Lippincott, c1986.</t>
        </is>
      </c>
      <c r="O1420" t="inlineStr">
        <is>
          <t>1986</t>
        </is>
      </c>
      <c r="P1420" t="inlineStr">
        <is>
          <t>2nd ed.</t>
        </is>
      </c>
      <c r="Q1420" t="inlineStr">
        <is>
          <t>eng</t>
        </is>
      </c>
      <c r="R1420" t="inlineStr">
        <is>
          <t>xxu</t>
        </is>
      </c>
      <c r="T1420" t="inlineStr">
        <is>
          <t xml:space="preserve">WY </t>
        </is>
      </c>
      <c r="U1420" t="n">
        <v>21</v>
      </c>
      <c r="V1420" t="n">
        <v>21</v>
      </c>
      <c r="W1420" t="inlineStr">
        <is>
          <t>1994-07-20</t>
        </is>
      </c>
      <c r="X1420" t="inlineStr">
        <is>
          <t>1994-07-20</t>
        </is>
      </c>
      <c r="Y1420" t="inlineStr">
        <is>
          <t>1987-10-23</t>
        </is>
      </c>
      <c r="Z1420" t="inlineStr">
        <is>
          <t>1987-10-23</t>
        </is>
      </c>
      <c r="AA1420" t="n">
        <v>294</v>
      </c>
      <c r="AB1420" t="n">
        <v>248</v>
      </c>
      <c r="AC1420" t="n">
        <v>521</v>
      </c>
      <c r="AD1420" t="n">
        <v>2</v>
      </c>
      <c r="AE1420" t="n">
        <v>4</v>
      </c>
      <c r="AF1420" t="n">
        <v>5</v>
      </c>
      <c r="AG1420" t="n">
        <v>15</v>
      </c>
      <c r="AH1420" t="n">
        <v>1</v>
      </c>
      <c r="AI1420" t="n">
        <v>5</v>
      </c>
      <c r="AJ1420" t="n">
        <v>1</v>
      </c>
      <c r="AK1420" t="n">
        <v>3</v>
      </c>
      <c r="AL1420" t="n">
        <v>4</v>
      </c>
      <c r="AM1420" t="n">
        <v>9</v>
      </c>
      <c r="AN1420" t="n">
        <v>0</v>
      </c>
      <c r="AO1420" t="n">
        <v>2</v>
      </c>
      <c r="AP1420" t="n">
        <v>0</v>
      </c>
      <c r="AQ1420" t="n">
        <v>0</v>
      </c>
      <c r="AR1420" t="inlineStr">
        <is>
          <t>No</t>
        </is>
      </c>
      <c r="AS1420" t="inlineStr">
        <is>
          <t>Yes</t>
        </is>
      </c>
      <c r="AT1420">
        <f>HYPERLINK("http://catalog.hathitrust.org/Record/000395497","HathiTrust Record")</f>
        <v/>
      </c>
      <c r="AU1420">
        <f>HYPERLINK("https://creighton-primo.hosted.exlibrisgroup.com/primo-explore/search?tab=default_tab&amp;search_scope=EVERYTHING&amp;vid=01CRU&amp;lang=en_US&amp;offset=0&amp;query=any,contains,991000734219702656","Catalog Record")</f>
        <v/>
      </c>
      <c r="AV1420">
        <f>HYPERLINK("http://www.worldcat.org/oclc/13216176","WorldCat Record")</f>
        <v/>
      </c>
      <c r="AW1420" t="inlineStr">
        <is>
          <t>355361631:eng</t>
        </is>
      </c>
      <c r="AX1420" t="inlineStr">
        <is>
          <t>13216176</t>
        </is>
      </c>
      <c r="AY1420" t="inlineStr">
        <is>
          <t>991000734219702656</t>
        </is>
      </c>
      <c r="AZ1420" t="inlineStr">
        <is>
          <t>991000734219702656</t>
        </is>
      </c>
      <c r="BA1420" t="inlineStr">
        <is>
          <t>2255307760002656</t>
        </is>
      </c>
      <c r="BB1420" t="inlineStr">
        <is>
          <t>BOOK</t>
        </is>
      </c>
      <c r="BD1420" t="inlineStr">
        <is>
          <t>9780397545261</t>
        </is>
      </c>
      <c r="BE1420" t="inlineStr">
        <is>
          <t>30001000041071</t>
        </is>
      </c>
      <c r="BF1420" t="inlineStr">
        <is>
          <t>893373546</t>
        </is>
      </c>
    </row>
    <row r="1421">
      <c r="A1421" t="inlineStr">
        <is>
          <t>No</t>
        </is>
      </c>
      <c r="B1421" t="inlineStr">
        <is>
          <t>CUHSL</t>
        </is>
      </c>
      <c r="C1421" t="inlineStr">
        <is>
          <t>SHELVES</t>
        </is>
      </c>
      <c r="D1421" t="inlineStr">
        <is>
          <t>WY152 O52h 2001</t>
        </is>
      </c>
      <c r="E1421" t="inlineStr">
        <is>
          <t>0                      WY 0152000O  52h         2001</t>
        </is>
      </c>
      <c r="F1421" t="inlineStr">
        <is>
          <t>Healing the dying / Melodie Olson.</t>
        </is>
      </c>
      <c r="H1421" t="inlineStr">
        <is>
          <t>No</t>
        </is>
      </c>
      <c r="I1421" t="inlineStr">
        <is>
          <t>1</t>
        </is>
      </c>
      <c r="J1421" t="inlineStr">
        <is>
          <t>No</t>
        </is>
      </c>
      <c r="K1421" t="inlineStr">
        <is>
          <t>No</t>
        </is>
      </c>
      <c r="L1421" t="inlineStr">
        <is>
          <t>0</t>
        </is>
      </c>
      <c r="M1421" t="inlineStr">
        <is>
          <t>Olson, Melodie.</t>
        </is>
      </c>
      <c r="N1421" t="inlineStr">
        <is>
          <t>Albany, NY : Delmar, 2001.</t>
        </is>
      </c>
      <c r="O1421" t="inlineStr">
        <is>
          <t>2001</t>
        </is>
      </c>
      <c r="P1421" t="inlineStr">
        <is>
          <t>2nd ed.</t>
        </is>
      </c>
      <c r="Q1421" t="inlineStr">
        <is>
          <t>eng</t>
        </is>
      </c>
      <c r="R1421" t="inlineStr">
        <is>
          <t>nyu</t>
        </is>
      </c>
      <c r="T1421" t="inlineStr">
        <is>
          <t xml:space="preserve">WY </t>
        </is>
      </c>
      <c r="U1421" t="n">
        <v>1</v>
      </c>
      <c r="V1421" t="n">
        <v>1</v>
      </c>
      <c r="W1421" t="inlineStr">
        <is>
          <t>2002-02-28</t>
        </is>
      </c>
      <c r="X1421" t="inlineStr">
        <is>
          <t>2002-02-28</t>
        </is>
      </c>
      <c r="Y1421" t="inlineStr">
        <is>
          <t>2002-01-11</t>
        </is>
      </c>
      <c r="Z1421" t="inlineStr">
        <is>
          <t>2002-01-11</t>
        </is>
      </c>
      <c r="AA1421" t="n">
        <v>339</v>
      </c>
      <c r="AB1421" t="n">
        <v>291</v>
      </c>
      <c r="AC1421" t="n">
        <v>417</v>
      </c>
      <c r="AD1421" t="n">
        <v>1</v>
      </c>
      <c r="AE1421" t="n">
        <v>2</v>
      </c>
      <c r="AF1421" t="n">
        <v>10</v>
      </c>
      <c r="AG1421" t="n">
        <v>18</v>
      </c>
      <c r="AH1421" t="n">
        <v>4</v>
      </c>
      <c r="AI1421" t="n">
        <v>5</v>
      </c>
      <c r="AJ1421" t="n">
        <v>1</v>
      </c>
      <c r="AK1421" t="n">
        <v>4</v>
      </c>
      <c r="AL1421" t="n">
        <v>5</v>
      </c>
      <c r="AM1421" t="n">
        <v>9</v>
      </c>
      <c r="AN1421" t="n">
        <v>0</v>
      </c>
      <c r="AO1421" t="n">
        <v>1</v>
      </c>
      <c r="AP1421" t="n">
        <v>0</v>
      </c>
      <c r="AQ1421" t="n">
        <v>0</v>
      </c>
      <c r="AR1421" t="inlineStr">
        <is>
          <t>No</t>
        </is>
      </c>
      <c r="AS1421" t="inlineStr">
        <is>
          <t>No</t>
        </is>
      </c>
      <c r="AU1421">
        <f>HYPERLINK("https://creighton-primo.hosted.exlibrisgroup.com/primo-explore/search?tab=default_tab&amp;search_scope=EVERYTHING&amp;vid=01CRU&amp;lang=en_US&amp;offset=0&amp;query=any,contains,991000302439702656","Catalog Record")</f>
        <v/>
      </c>
      <c r="AV1421">
        <f>HYPERLINK("http://www.worldcat.org/oclc/48494935","WorldCat Record")</f>
        <v/>
      </c>
      <c r="AW1421" t="inlineStr">
        <is>
          <t>948973:eng</t>
        </is>
      </c>
      <c r="AX1421" t="inlineStr">
        <is>
          <t>48494935</t>
        </is>
      </c>
      <c r="AY1421" t="inlineStr">
        <is>
          <t>991000302439702656</t>
        </is>
      </c>
      <c r="AZ1421" t="inlineStr">
        <is>
          <t>991000302439702656</t>
        </is>
      </c>
      <c r="BA1421" t="inlineStr">
        <is>
          <t>2254791460002656</t>
        </is>
      </c>
      <c r="BB1421" t="inlineStr">
        <is>
          <t>BOOK</t>
        </is>
      </c>
      <c r="BD1421" t="inlineStr">
        <is>
          <t>9780766825727</t>
        </is>
      </c>
      <c r="BE1421" t="inlineStr">
        <is>
          <t>30001004236297</t>
        </is>
      </c>
      <c r="BF1421" t="inlineStr">
        <is>
          <t>893264102</t>
        </is>
      </c>
    </row>
    <row r="1422">
      <c r="A1422" t="inlineStr">
        <is>
          <t>No</t>
        </is>
      </c>
      <c r="B1422" t="inlineStr">
        <is>
          <t>CUHSL</t>
        </is>
      </c>
      <c r="C1422" t="inlineStr">
        <is>
          <t>SHELVES</t>
        </is>
      </c>
      <c r="D1422" t="inlineStr">
        <is>
          <t>WY 152 O96 1984</t>
        </is>
      </c>
      <c r="E1422" t="inlineStr">
        <is>
          <t>0                      WY 0152000O  96          1984</t>
        </is>
      </c>
      <c r="F1422" t="inlineStr">
        <is>
          <t>Overcoming the bias of ageism in long-term care.</t>
        </is>
      </c>
      <c r="H1422" t="inlineStr">
        <is>
          <t>No</t>
        </is>
      </c>
      <c r="I1422" t="inlineStr">
        <is>
          <t>1</t>
        </is>
      </c>
      <c r="J1422" t="inlineStr">
        <is>
          <t>No</t>
        </is>
      </c>
      <c r="K1422" t="inlineStr">
        <is>
          <t>No</t>
        </is>
      </c>
      <c r="L1422" t="inlineStr">
        <is>
          <t>0</t>
        </is>
      </c>
      <c r="N1422" t="inlineStr">
        <is>
          <t>New York : National League for Nursing, c1985.</t>
        </is>
      </c>
      <c r="O1422" t="inlineStr">
        <is>
          <t>1985</t>
        </is>
      </c>
      <c r="Q1422" t="inlineStr">
        <is>
          <t>eng</t>
        </is>
      </c>
      <c r="R1422" t="inlineStr">
        <is>
          <t>xxu</t>
        </is>
      </c>
      <c r="S1422" t="inlineStr">
        <is>
          <t>NLN pub. no. 20-1975</t>
        </is>
      </c>
      <c r="T1422" t="inlineStr">
        <is>
          <t xml:space="preserve">WY </t>
        </is>
      </c>
      <c r="U1422" t="n">
        <v>4</v>
      </c>
      <c r="V1422" t="n">
        <v>4</v>
      </c>
      <c r="W1422" t="inlineStr">
        <is>
          <t>2009-04-23</t>
        </is>
      </c>
      <c r="X1422" t="inlineStr">
        <is>
          <t>2009-04-23</t>
        </is>
      </c>
      <c r="Y1422" t="inlineStr">
        <is>
          <t>1987-11-04</t>
        </is>
      </c>
      <c r="Z1422" t="inlineStr">
        <is>
          <t>1987-11-04</t>
        </is>
      </c>
      <c r="AA1422" t="n">
        <v>243</v>
      </c>
      <c r="AB1422" t="n">
        <v>211</v>
      </c>
      <c r="AC1422" t="n">
        <v>218</v>
      </c>
      <c r="AD1422" t="n">
        <v>2</v>
      </c>
      <c r="AE1422" t="n">
        <v>2</v>
      </c>
      <c r="AF1422" t="n">
        <v>17</v>
      </c>
      <c r="AG1422" t="n">
        <v>17</v>
      </c>
      <c r="AH1422" t="n">
        <v>7</v>
      </c>
      <c r="AI1422" t="n">
        <v>7</v>
      </c>
      <c r="AJ1422" t="n">
        <v>3</v>
      </c>
      <c r="AK1422" t="n">
        <v>3</v>
      </c>
      <c r="AL1422" t="n">
        <v>10</v>
      </c>
      <c r="AM1422" t="n">
        <v>10</v>
      </c>
      <c r="AN1422" t="n">
        <v>1</v>
      </c>
      <c r="AO1422" t="n">
        <v>1</v>
      </c>
      <c r="AP1422" t="n">
        <v>0</v>
      </c>
      <c r="AQ1422" t="n">
        <v>0</v>
      </c>
      <c r="AR1422" t="inlineStr">
        <is>
          <t>No</t>
        </is>
      </c>
      <c r="AS1422" t="inlineStr">
        <is>
          <t>Yes</t>
        </is>
      </c>
      <c r="AT1422">
        <f>HYPERLINK("http://catalog.hathitrust.org/Record/002505072","HathiTrust Record")</f>
        <v/>
      </c>
      <c r="AU1422">
        <f>HYPERLINK("https://creighton-primo.hosted.exlibrisgroup.com/primo-explore/search?tab=default_tab&amp;search_scope=EVERYTHING&amp;vid=01CRU&amp;lang=en_US&amp;offset=0&amp;query=any,contains,991001385769702656","Catalog Record")</f>
        <v/>
      </c>
      <c r="AV1422">
        <f>HYPERLINK("http://www.worldcat.org/oclc/12692314","WorldCat Record")</f>
        <v/>
      </c>
      <c r="AW1422" t="inlineStr">
        <is>
          <t>422953765:eng</t>
        </is>
      </c>
      <c r="AX1422" t="inlineStr">
        <is>
          <t>12692314</t>
        </is>
      </c>
      <c r="AY1422" t="inlineStr">
        <is>
          <t>991001385769702656</t>
        </is>
      </c>
      <c r="AZ1422" t="inlineStr">
        <is>
          <t>991001385769702656</t>
        </is>
      </c>
      <c r="BA1422" t="inlineStr">
        <is>
          <t>2259012870002656</t>
        </is>
      </c>
      <c r="BB1422" t="inlineStr">
        <is>
          <t>BOOK</t>
        </is>
      </c>
      <c r="BD1422" t="inlineStr">
        <is>
          <t>9780887371509</t>
        </is>
      </c>
      <c r="BE1422" t="inlineStr">
        <is>
          <t>30001000463705</t>
        </is>
      </c>
      <c r="BF1422" t="inlineStr">
        <is>
          <t>893741082</t>
        </is>
      </c>
    </row>
    <row r="1423">
      <c r="A1423" t="inlineStr">
        <is>
          <t>No</t>
        </is>
      </c>
      <c r="B1423" t="inlineStr">
        <is>
          <t>CUHSL</t>
        </is>
      </c>
      <c r="C1423" t="inlineStr">
        <is>
          <t>SHELVES</t>
        </is>
      </c>
      <c r="D1423" t="inlineStr">
        <is>
          <t>WY 152 P558n 1956</t>
        </is>
      </c>
      <c r="E1423" t="inlineStr">
        <is>
          <t>0                      WY 0152000P  558n        1956</t>
        </is>
      </c>
      <c r="F1423" t="inlineStr">
        <is>
          <t>Nursing aspects in rehabilitation and care of chronically ill / by Elisabeth C. Phillips.</t>
        </is>
      </c>
      <c r="H1423" t="inlineStr">
        <is>
          <t>No</t>
        </is>
      </c>
      <c r="I1423" t="inlineStr">
        <is>
          <t>1</t>
        </is>
      </c>
      <c r="J1423" t="inlineStr">
        <is>
          <t>No</t>
        </is>
      </c>
      <c r="K1423" t="inlineStr">
        <is>
          <t>No</t>
        </is>
      </c>
      <c r="L1423" t="inlineStr">
        <is>
          <t>0</t>
        </is>
      </c>
      <c r="M1423" t="inlineStr">
        <is>
          <t>Phillips, Elisabeth C.</t>
        </is>
      </c>
      <c r="N1423" t="inlineStr">
        <is>
          <t>New York : National League for Nursing, Dept. of Public Health Nursing, 1956.</t>
        </is>
      </c>
      <c r="O1423" t="inlineStr">
        <is>
          <t>1956</t>
        </is>
      </c>
      <c r="Q1423" t="inlineStr">
        <is>
          <t>eng</t>
        </is>
      </c>
      <c r="R1423" t="inlineStr">
        <is>
          <t>nyu</t>
        </is>
      </c>
      <c r="S1423" t="inlineStr">
        <is>
          <t>League exchange ; no. 12</t>
        </is>
      </c>
      <c r="T1423" t="inlineStr">
        <is>
          <t xml:space="preserve">WY </t>
        </is>
      </c>
      <c r="U1423" t="n">
        <v>1</v>
      </c>
      <c r="V1423" t="n">
        <v>1</v>
      </c>
      <c r="W1423" t="inlineStr">
        <is>
          <t>1990-09-11</t>
        </is>
      </c>
      <c r="X1423" t="inlineStr">
        <is>
          <t>1990-09-11</t>
        </is>
      </c>
      <c r="Y1423" t="inlineStr">
        <is>
          <t>1987-11-19</t>
        </is>
      </c>
      <c r="Z1423" t="inlineStr">
        <is>
          <t>1987-11-19</t>
        </is>
      </c>
      <c r="AA1423" t="n">
        <v>30</v>
      </c>
      <c r="AB1423" t="n">
        <v>28</v>
      </c>
      <c r="AC1423" t="n">
        <v>30</v>
      </c>
      <c r="AD1423" t="n">
        <v>2</v>
      </c>
      <c r="AE1423" t="n">
        <v>2</v>
      </c>
      <c r="AF1423" t="n">
        <v>2</v>
      </c>
      <c r="AG1423" t="n">
        <v>2</v>
      </c>
      <c r="AH1423" t="n">
        <v>0</v>
      </c>
      <c r="AI1423" t="n">
        <v>0</v>
      </c>
      <c r="AJ1423" t="n">
        <v>0</v>
      </c>
      <c r="AK1423" t="n">
        <v>0</v>
      </c>
      <c r="AL1423" t="n">
        <v>1</v>
      </c>
      <c r="AM1423" t="n">
        <v>1</v>
      </c>
      <c r="AN1423" t="n">
        <v>1</v>
      </c>
      <c r="AO1423" t="n">
        <v>1</v>
      </c>
      <c r="AP1423" t="n">
        <v>0</v>
      </c>
      <c r="AQ1423" t="n">
        <v>0</v>
      </c>
      <c r="AR1423" t="inlineStr">
        <is>
          <t>No</t>
        </is>
      </c>
      <c r="AS1423" t="inlineStr">
        <is>
          <t>No</t>
        </is>
      </c>
      <c r="AT1423">
        <f>HYPERLINK("http://catalog.hathitrust.org/Record/001588338","HathiTrust Record")</f>
        <v/>
      </c>
      <c r="AU1423">
        <f>HYPERLINK("https://creighton-primo.hosted.exlibrisgroup.com/primo-explore/search?tab=default_tab&amp;search_scope=EVERYTHING&amp;vid=01CRU&amp;lang=en_US&amp;offset=0&amp;query=any,contains,991001518159702656","Catalog Record")</f>
        <v/>
      </c>
      <c r="AV1423">
        <f>HYPERLINK("http://www.worldcat.org/oclc/1291957","WorldCat Record")</f>
        <v/>
      </c>
      <c r="AW1423" t="inlineStr">
        <is>
          <t>2229459:eng</t>
        </is>
      </c>
      <c r="AX1423" t="inlineStr">
        <is>
          <t>1291957</t>
        </is>
      </c>
      <c r="AY1423" t="inlineStr">
        <is>
          <t>991001518159702656</t>
        </is>
      </c>
      <c r="AZ1423" t="inlineStr">
        <is>
          <t>991001518159702656</t>
        </is>
      </c>
      <c r="BA1423" t="inlineStr">
        <is>
          <t>2254748090002656</t>
        </is>
      </c>
      <c r="BB1423" t="inlineStr">
        <is>
          <t>BOOK</t>
        </is>
      </c>
      <c r="BE1423" t="inlineStr">
        <is>
          <t>30001000600363</t>
        </is>
      </c>
      <c r="BF1423" t="inlineStr">
        <is>
          <t>893268572</t>
        </is>
      </c>
    </row>
    <row r="1424">
      <c r="A1424" t="inlineStr">
        <is>
          <t>No</t>
        </is>
      </c>
      <c r="B1424" t="inlineStr">
        <is>
          <t>CUHSL</t>
        </is>
      </c>
      <c r="C1424" t="inlineStr">
        <is>
          <t>SHELVES</t>
        </is>
      </c>
      <c r="D1424" t="inlineStr">
        <is>
          <t>WY 152 Q1 1992</t>
        </is>
      </c>
      <c r="E1424" t="inlineStr">
        <is>
          <t>0                      WY 0152000Q  1           1992</t>
        </is>
      </c>
      <c r="F1424" t="inlineStr">
        <is>
          <t>Quality imperatives in long-term care : the elusive agenda / Ethel L. Mitty, editor.</t>
        </is>
      </c>
      <c r="H1424" t="inlineStr">
        <is>
          <t>No</t>
        </is>
      </c>
      <c r="I1424" t="inlineStr">
        <is>
          <t>1</t>
        </is>
      </c>
      <c r="J1424" t="inlineStr">
        <is>
          <t>No</t>
        </is>
      </c>
      <c r="K1424" t="inlineStr">
        <is>
          <t>No</t>
        </is>
      </c>
      <c r="L1424" t="inlineStr">
        <is>
          <t>0</t>
        </is>
      </c>
      <c r="N1424" t="inlineStr">
        <is>
          <t>New York : National League for Nursing Press, c1992.</t>
        </is>
      </c>
      <c r="O1424" t="inlineStr">
        <is>
          <t>1992</t>
        </is>
      </c>
      <c r="Q1424" t="inlineStr">
        <is>
          <t>eng</t>
        </is>
      </c>
      <c r="R1424" t="inlineStr">
        <is>
          <t>nyu</t>
        </is>
      </c>
      <c r="S1424" t="inlineStr">
        <is>
          <t>NLN pub. no. 41-2440.</t>
        </is>
      </c>
      <c r="T1424" t="inlineStr">
        <is>
          <t xml:space="preserve">WY </t>
        </is>
      </c>
      <c r="U1424" t="n">
        <v>0</v>
      </c>
      <c r="V1424" t="n">
        <v>0</v>
      </c>
      <c r="W1424" t="inlineStr">
        <is>
          <t>2002-07-21</t>
        </is>
      </c>
      <c r="X1424" t="inlineStr">
        <is>
          <t>2002-07-21</t>
        </is>
      </c>
      <c r="Y1424" t="inlineStr">
        <is>
          <t>2000-06-15</t>
        </is>
      </c>
      <c r="Z1424" t="inlineStr">
        <is>
          <t>2000-06-15</t>
        </is>
      </c>
      <c r="AA1424" t="n">
        <v>252</v>
      </c>
      <c r="AB1424" t="n">
        <v>224</v>
      </c>
      <c r="AC1424" t="n">
        <v>231</v>
      </c>
      <c r="AD1424" t="n">
        <v>3</v>
      </c>
      <c r="AE1424" t="n">
        <v>3</v>
      </c>
      <c r="AF1424" t="n">
        <v>16</v>
      </c>
      <c r="AG1424" t="n">
        <v>16</v>
      </c>
      <c r="AH1424" t="n">
        <v>6</v>
      </c>
      <c r="AI1424" t="n">
        <v>6</v>
      </c>
      <c r="AJ1424" t="n">
        <v>5</v>
      </c>
      <c r="AK1424" t="n">
        <v>5</v>
      </c>
      <c r="AL1424" t="n">
        <v>8</v>
      </c>
      <c r="AM1424" t="n">
        <v>8</v>
      </c>
      <c r="AN1424" t="n">
        <v>1</v>
      </c>
      <c r="AO1424" t="n">
        <v>1</v>
      </c>
      <c r="AP1424" t="n">
        <v>0</v>
      </c>
      <c r="AQ1424" t="n">
        <v>0</v>
      </c>
      <c r="AR1424" t="inlineStr">
        <is>
          <t>No</t>
        </is>
      </c>
      <c r="AS1424" t="inlineStr">
        <is>
          <t>Yes</t>
        </is>
      </c>
      <c r="AT1424">
        <f>HYPERLINK("http://catalog.hathitrust.org/Record/002638108","HathiTrust Record")</f>
        <v/>
      </c>
      <c r="AU1424">
        <f>HYPERLINK("https://creighton-primo.hosted.exlibrisgroup.com/primo-explore/search?tab=default_tab&amp;search_scope=EVERYTHING&amp;vid=01CRU&amp;lang=en_US&amp;offset=0&amp;query=any,contains,991000233759702656","Catalog Record")</f>
        <v/>
      </c>
      <c r="AV1424">
        <f>HYPERLINK("http://www.worldcat.org/oclc/25660900","WorldCat Record")</f>
        <v/>
      </c>
      <c r="AW1424" t="inlineStr">
        <is>
          <t>905107678:eng</t>
        </is>
      </c>
      <c r="AX1424" t="inlineStr">
        <is>
          <t>25660900</t>
        </is>
      </c>
      <c r="AY1424" t="inlineStr">
        <is>
          <t>991000233759702656</t>
        </is>
      </c>
      <c r="AZ1424" t="inlineStr">
        <is>
          <t>991000233759702656</t>
        </is>
      </c>
      <c r="BA1424" t="inlineStr">
        <is>
          <t>2269090870002656</t>
        </is>
      </c>
      <c r="BB1424" t="inlineStr">
        <is>
          <t>BOOK</t>
        </is>
      </c>
      <c r="BD1424" t="inlineStr">
        <is>
          <t>9780887375361</t>
        </is>
      </c>
      <c r="BE1424" t="inlineStr">
        <is>
          <t>30001002375931</t>
        </is>
      </c>
      <c r="BF1424" t="inlineStr">
        <is>
          <t>893536908</t>
        </is>
      </c>
    </row>
    <row r="1425">
      <c r="A1425" t="inlineStr">
        <is>
          <t>No</t>
        </is>
      </c>
      <c r="B1425" t="inlineStr">
        <is>
          <t>CUHSL</t>
        </is>
      </c>
      <c r="C1425" t="inlineStr">
        <is>
          <t>SHELVES</t>
        </is>
      </c>
      <c r="D1425" t="inlineStr">
        <is>
          <t>WY 152 R434 1994</t>
        </is>
      </c>
      <c r="E1425" t="inlineStr">
        <is>
          <t>0                      WY 0152000R  434         1994</t>
        </is>
      </c>
      <c r="F1425" t="inlineStr">
        <is>
          <t>Resources for teaching gerontology / Verle Waters, editor.</t>
        </is>
      </c>
      <c r="H1425" t="inlineStr">
        <is>
          <t>No</t>
        </is>
      </c>
      <c r="I1425" t="inlineStr">
        <is>
          <t>1</t>
        </is>
      </c>
      <c r="J1425" t="inlineStr">
        <is>
          <t>No</t>
        </is>
      </c>
      <c r="K1425" t="inlineStr">
        <is>
          <t>No</t>
        </is>
      </c>
      <c r="L1425" t="inlineStr">
        <is>
          <t>0</t>
        </is>
      </c>
      <c r="N1425" t="inlineStr">
        <is>
          <t>New York : National League for Nursing Press, c1994.</t>
        </is>
      </c>
      <c r="O1425" t="inlineStr">
        <is>
          <t>1994</t>
        </is>
      </c>
      <c r="Q1425" t="inlineStr">
        <is>
          <t>eng</t>
        </is>
      </c>
      <c r="R1425" t="inlineStr">
        <is>
          <t>nyu</t>
        </is>
      </c>
      <c r="S1425" t="inlineStr">
        <is>
          <t>National League for Nursing publication ; no. 14-2608</t>
        </is>
      </c>
      <c r="T1425" t="inlineStr">
        <is>
          <t xml:space="preserve">WY </t>
        </is>
      </c>
      <c r="U1425" t="n">
        <v>0</v>
      </c>
      <c r="V1425" t="n">
        <v>0</v>
      </c>
      <c r="W1425" t="inlineStr">
        <is>
          <t>2002-07-21</t>
        </is>
      </c>
      <c r="X1425" t="inlineStr">
        <is>
          <t>2002-07-21</t>
        </is>
      </c>
      <c r="Y1425" t="inlineStr">
        <is>
          <t>2000-06-15</t>
        </is>
      </c>
      <c r="Z1425" t="inlineStr">
        <is>
          <t>2000-06-15</t>
        </is>
      </c>
      <c r="AA1425" t="n">
        <v>242</v>
      </c>
      <c r="AB1425" t="n">
        <v>217</v>
      </c>
      <c r="AC1425" t="n">
        <v>219</v>
      </c>
      <c r="AD1425" t="n">
        <v>2</v>
      </c>
      <c r="AE1425" t="n">
        <v>2</v>
      </c>
      <c r="AF1425" t="n">
        <v>14</v>
      </c>
      <c r="AG1425" t="n">
        <v>14</v>
      </c>
      <c r="AH1425" t="n">
        <v>4</v>
      </c>
      <c r="AI1425" t="n">
        <v>4</v>
      </c>
      <c r="AJ1425" t="n">
        <v>5</v>
      </c>
      <c r="AK1425" t="n">
        <v>5</v>
      </c>
      <c r="AL1425" t="n">
        <v>10</v>
      </c>
      <c r="AM1425" t="n">
        <v>10</v>
      </c>
      <c r="AN1425" t="n">
        <v>0</v>
      </c>
      <c r="AO1425" t="n">
        <v>0</v>
      </c>
      <c r="AP1425" t="n">
        <v>0</v>
      </c>
      <c r="AQ1425" t="n">
        <v>0</v>
      </c>
      <c r="AR1425" t="inlineStr">
        <is>
          <t>No</t>
        </is>
      </c>
      <c r="AS1425" t="inlineStr">
        <is>
          <t>Yes</t>
        </is>
      </c>
      <c r="AT1425">
        <f>HYPERLINK("http://catalog.hathitrust.org/Record/002810526","HathiTrust Record")</f>
        <v/>
      </c>
      <c r="AU1425">
        <f>HYPERLINK("https://creighton-primo.hosted.exlibrisgroup.com/primo-explore/search?tab=default_tab&amp;search_scope=EVERYTHING&amp;vid=01CRU&amp;lang=en_US&amp;offset=0&amp;query=any,contains,991000246829702656","Catalog Record")</f>
        <v/>
      </c>
      <c r="AV1425">
        <f>HYPERLINK("http://www.worldcat.org/oclc/29960865","WorldCat Record")</f>
        <v/>
      </c>
      <c r="AW1425" t="inlineStr">
        <is>
          <t>14475765:eng</t>
        </is>
      </c>
      <c r="AX1425" t="inlineStr">
        <is>
          <t>29960865</t>
        </is>
      </c>
      <c r="AY1425" t="inlineStr">
        <is>
          <t>991000246829702656</t>
        </is>
      </c>
      <c r="AZ1425" t="inlineStr">
        <is>
          <t>991000246829702656</t>
        </is>
      </c>
      <c r="BA1425" t="inlineStr">
        <is>
          <t>2268321840002656</t>
        </is>
      </c>
      <c r="BB1425" t="inlineStr">
        <is>
          <t>BOOK</t>
        </is>
      </c>
      <c r="BD1425" t="inlineStr">
        <is>
          <t>9780887376054</t>
        </is>
      </c>
      <c r="BE1425" t="inlineStr">
        <is>
          <t>30001002966010</t>
        </is>
      </c>
      <c r="BF1425" t="inlineStr">
        <is>
          <t>893558740</t>
        </is>
      </c>
    </row>
    <row r="1426">
      <c r="A1426" t="inlineStr">
        <is>
          <t>No</t>
        </is>
      </c>
      <c r="B1426" t="inlineStr">
        <is>
          <t>CUHSL</t>
        </is>
      </c>
      <c r="C1426" t="inlineStr">
        <is>
          <t>SHELVES</t>
        </is>
      </c>
      <c r="D1426" t="inlineStr">
        <is>
          <t>WY 152 S381h 1980</t>
        </is>
      </c>
      <c r="E1426" t="inlineStr">
        <is>
          <t>0                      WY 0152000S  381h        1980</t>
        </is>
      </c>
      <c r="F1426" t="inlineStr">
        <is>
          <t>Holistic assessment of the healthy aged / Miriam Martin Schrock.</t>
        </is>
      </c>
      <c r="H1426" t="inlineStr">
        <is>
          <t>No</t>
        </is>
      </c>
      <c r="I1426" t="inlineStr">
        <is>
          <t>1</t>
        </is>
      </c>
      <c r="J1426" t="inlineStr">
        <is>
          <t>No</t>
        </is>
      </c>
      <c r="K1426" t="inlineStr">
        <is>
          <t>No</t>
        </is>
      </c>
      <c r="L1426" t="inlineStr">
        <is>
          <t>0</t>
        </is>
      </c>
      <c r="M1426" t="inlineStr">
        <is>
          <t>Schrock, Miriam Martin.</t>
        </is>
      </c>
      <c r="N1426" t="inlineStr">
        <is>
          <t>New York : Wiley, c1980.</t>
        </is>
      </c>
      <c r="O1426" t="inlineStr">
        <is>
          <t>1980</t>
        </is>
      </c>
      <c r="Q1426" t="inlineStr">
        <is>
          <t>eng</t>
        </is>
      </c>
      <c r="R1426" t="inlineStr">
        <is>
          <t xml:space="preserve">xx </t>
        </is>
      </c>
      <c r="S1426" t="inlineStr">
        <is>
          <t>A Wiley medical publication</t>
        </is>
      </c>
      <c r="T1426" t="inlineStr">
        <is>
          <t xml:space="preserve">WY </t>
        </is>
      </c>
      <c r="U1426" t="n">
        <v>19</v>
      </c>
      <c r="V1426" t="n">
        <v>19</v>
      </c>
      <c r="W1426" t="inlineStr">
        <is>
          <t>1989-04-30</t>
        </is>
      </c>
      <c r="X1426" t="inlineStr">
        <is>
          <t>1989-04-30</t>
        </is>
      </c>
      <c r="Y1426" t="inlineStr">
        <is>
          <t>1987-10-23</t>
        </is>
      </c>
      <c r="Z1426" t="inlineStr">
        <is>
          <t>1987-10-23</t>
        </is>
      </c>
      <c r="AA1426" t="n">
        <v>321</v>
      </c>
      <c r="AB1426" t="n">
        <v>259</v>
      </c>
      <c r="AC1426" t="n">
        <v>260</v>
      </c>
      <c r="AD1426" t="n">
        <v>2</v>
      </c>
      <c r="AE1426" t="n">
        <v>2</v>
      </c>
      <c r="AF1426" t="n">
        <v>10</v>
      </c>
      <c r="AG1426" t="n">
        <v>10</v>
      </c>
      <c r="AH1426" t="n">
        <v>4</v>
      </c>
      <c r="AI1426" t="n">
        <v>4</v>
      </c>
      <c r="AJ1426" t="n">
        <v>3</v>
      </c>
      <c r="AK1426" t="n">
        <v>3</v>
      </c>
      <c r="AL1426" t="n">
        <v>5</v>
      </c>
      <c r="AM1426" t="n">
        <v>5</v>
      </c>
      <c r="AN1426" t="n">
        <v>1</v>
      </c>
      <c r="AO1426" t="n">
        <v>1</v>
      </c>
      <c r="AP1426" t="n">
        <v>0</v>
      </c>
      <c r="AQ1426" t="n">
        <v>0</v>
      </c>
      <c r="AR1426" t="inlineStr">
        <is>
          <t>No</t>
        </is>
      </c>
      <c r="AS1426" t="inlineStr">
        <is>
          <t>Yes</t>
        </is>
      </c>
      <c r="AT1426">
        <f>HYPERLINK("http://catalog.hathitrust.org/Record/000713742","HathiTrust Record")</f>
        <v/>
      </c>
      <c r="AU1426">
        <f>HYPERLINK("https://creighton-primo.hosted.exlibrisgroup.com/primo-explore/search?tab=default_tab&amp;search_scope=EVERYTHING&amp;vid=01CRU&amp;lang=en_US&amp;offset=0&amp;query=any,contains,991000734099702656","Catalog Record")</f>
        <v/>
      </c>
      <c r="AV1426">
        <f>HYPERLINK("http://www.worldcat.org/oclc/5992416","WorldCat Record")</f>
        <v/>
      </c>
      <c r="AW1426" t="inlineStr">
        <is>
          <t>180552570:eng</t>
        </is>
      </c>
      <c r="AX1426" t="inlineStr">
        <is>
          <t>5992416</t>
        </is>
      </c>
      <c r="AY1426" t="inlineStr">
        <is>
          <t>991000734099702656</t>
        </is>
      </c>
      <c r="AZ1426" t="inlineStr">
        <is>
          <t>991000734099702656</t>
        </is>
      </c>
      <c r="BA1426" t="inlineStr">
        <is>
          <t>2268470980002656</t>
        </is>
      </c>
      <c r="BB1426" t="inlineStr">
        <is>
          <t>BOOK</t>
        </is>
      </c>
      <c r="BD1426" t="inlineStr">
        <is>
          <t>9780471055976</t>
        </is>
      </c>
      <c r="BE1426" t="inlineStr">
        <is>
          <t>30001000041063</t>
        </is>
      </c>
      <c r="BF1426" t="inlineStr">
        <is>
          <t>893459766</t>
        </is>
      </c>
    </row>
    <row r="1427">
      <c r="A1427" t="inlineStr">
        <is>
          <t>No</t>
        </is>
      </c>
      <c r="B1427" t="inlineStr">
        <is>
          <t>CUHSL</t>
        </is>
      </c>
      <c r="C1427" t="inlineStr">
        <is>
          <t>SHELVES</t>
        </is>
      </c>
      <c r="D1427" t="inlineStr">
        <is>
          <t>WY 152 T113g 2006</t>
        </is>
      </c>
      <c r="E1427" t="inlineStr">
        <is>
          <t>0                      WY 0152000T  113g        2006</t>
        </is>
      </c>
      <c r="F1427" t="inlineStr">
        <is>
          <t>Gerontological nursing / Patricia A. Tabloski.</t>
        </is>
      </c>
      <c r="H1427" t="inlineStr">
        <is>
          <t>No</t>
        </is>
      </c>
      <c r="I1427" t="inlineStr">
        <is>
          <t>1</t>
        </is>
      </c>
      <c r="J1427" t="inlineStr">
        <is>
          <t>No</t>
        </is>
      </c>
      <c r="K1427" t="inlineStr">
        <is>
          <t>No</t>
        </is>
      </c>
      <c r="L1427" t="inlineStr">
        <is>
          <t>0</t>
        </is>
      </c>
      <c r="M1427" t="inlineStr">
        <is>
          <t>Tabloski, Patricia A.</t>
        </is>
      </c>
      <c r="N1427" t="inlineStr">
        <is>
          <t>Upper Saddle River, N.J. : Pearson Prentice Hall, c2006.</t>
        </is>
      </c>
      <c r="O1427" t="inlineStr">
        <is>
          <t>2006</t>
        </is>
      </c>
      <c r="Q1427" t="inlineStr">
        <is>
          <t>eng</t>
        </is>
      </c>
      <c r="R1427" t="inlineStr">
        <is>
          <t>nju</t>
        </is>
      </c>
      <c r="T1427" t="inlineStr">
        <is>
          <t xml:space="preserve">WY </t>
        </is>
      </c>
      <c r="U1427" t="n">
        <v>5</v>
      </c>
      <c r="V1427" t="n">
        <v>5</v>
      </c>
      <c r="W1427" t="inlineStr">
        <is>
          <t>2008-01-07</t>
        </is>
      </c>
      <c r="X1427" t="inlineStr">
        <is>
          <t>2008-01-07</t>
        </is>
      </c>
      <c r="Y1427" t="inlineStr">
        <is>
          <t>2006-09-11</t>
        </is>
      </c>
      <c r="Z1427" t="inlineStr">
        <is>
          <t>2006-09-11</t>
        </is>
      </c>
      <c r="AA1427" t="n">
        <v>268</v>
      </c>
      <c r="AB1427" t="n">
        <v>196</v>
      </c>
      <c r="AC1427" t="n">
        <v>502</v>
      </c>
      <c r="AD1427" t="n">
        <v>2</v>
      </c>
      <c r="AE1427" t="n">
        <v>5</v>
      </c>
      <c r="AF1427" t="n">
        <v>8</v>
      </c>
      <c r="AG1427" t="n">
        <v>15</v>
      </c>
      <c r="AH1427" t="n">
        <v>2</v>
      </c>
      <c r="AI1427" t="n">
        <v>5</v>
      </c>
      <c r="AJ1427" t="n">
        <v>2</v>
      </c>
      <c r="AK1427" t="n">
        <v>3</v>
      </c>
      <c r="AL1427" t="n">
        <v>4</v>
      </c>
      <c r="AM1427" t="n">
        <v>5</v>
      </c>
      <c r="AN1427" t="n">
        <v>1</v>
      </c>
      <c r="AO1427" t="n">
        <v>3</v>
      </c>
      <c r="AP1427" t="n">
        <v>0</v>
      </c>
      <c r="AQ1427" t="n">
        <v>0</v>
      </c>
      <c r="AR1427" t="inlineStr">
        <is>
          <t>No</t>
        </is>
      </c>
      <c r="AS1427" t="inlineStr">
        <is>
          <t>No</t>
        </is>
      </c>
      <c r="AU1427">
        <f>HYPERLINK("https://creighton-primo.hosted.exlibrisgroup.com/primo-explore/search?tab=default_tab&amp;search_scope=EVERYTHING&amp;vid=01CRU&amp;lang=en_US&amp;offset=0&amp;query=any,contains,991001744279702656","Catalog Record")</f>
        <v/>
      </c>
      <c r="AV1427">
        <f>HYPERLINK("http://www.worldcat.org/oclc/60414604","WorldCat Record")</f>
        <v/>
      </c>
      <c r="AW1427" t="inlineStr">
        <is>
          <t>46268611:eng</t>
        </is>
      </c>
      <c r="AX1427" t="inlineStr">
        <is>
          <t>60414604</t>
        </is>
      </c>
      <c r="AY1427" t="inlineStr">
        <is>
          <t>991001744279702656</t>
        </is>
      </c>
      <c r="AZ1427" t="inlineStr">
        <is>
          <t>991001744279702656</t>
        </is>
      </c>
      <c r="BA1427" t="inlineStr">
        <is>
          <t>2258403020002656</t>
        </is>
      </c>
      <c r="BB1427" t="inlineStr">
        <is>
          <t>BOOK</t>
        </is>
      </c>
      <c r="BD1427" t="inlineStr">
        <is>
          <t>9780130941558</t>
        </is>
      </c>
      <c r="BE1427" t="inlineStr">
        <is>
          <t>30001005120599</t>
        </is>
      </c>
      <c r="BF1427" t="inlineStr">
        <is>
          <t>893541683</t>
        </is>
      </c>
    </row>
    <row r="1428">
      <c r="A1428" t="inlineStr">
        <is>
          <t>No</t>
        </is>
      </c>
      <c r="B1428" t="inlineStr">
        <is>
          <t>CUHSL</t>
        </is>
      </c>
      <c r="C1428" t="inlineStr">
        <is>
          <t>SHELVES</t>
        </is>
      </c>
      <c r="D1428" t="inlineStr">
        <is>
          <t>WY 152 T216g 1988</t>
        </is>
      </c>
      <c r="E1428" t="inlineStr">
        <is>
          <t>0                      WY 0152000T  216g        1988</t>
        </is>
      </c>
      <c r="F1428" t="inlineStr">
        <is>
          <t>Gerontologic nursing : a study and learning tool / Juanita S. Tate, Mary Ann Christ, Faith J. Hohloch.</t>
        </is>
      </c>
      <c r="H1428" t="inlineStr">
        <is>
          <t>No</t>
        </is>
      </c>
      <c r="I1428" t="inlineStr">
        <is>
          <t>1</t>
        </is>
      </c>
      <c r="J1428" t="inlineStr">
        <is>
          <t>No</t>
        </is>
      </c>
      <c r="K1428" t="inlineStr">
        <is>
          <t>No</t>
        </is>
      </c>
      <c r="L1428" t="inlineStr">
        <is>
          <t>0</t>
        </is>
      </c>
      <c r="M1428" t="inlineStr">
        <is>
          <t>Tate, Juanita S.</t>
        </is>
      </c>
      <c r="N1428" t="inlineStr">
        <is>
          <t>Springhouse, Pa. : Springhouse Pub. Co., c1988.</t>
        </is>
      </c>
      <c r="O1428" t="inlineStr">
        <is>
          <t>1988</t>
        </is>
      </c>
      <c r="Q1428" t="inlineStr">
        <is>
          <t>eng</t>
        </is>
      </c>
      <c r="R1428" t="inlineStr">
        <is>
          <t>xxu</t>
        </is>
      </c>
      <c r="S1428" t="inlineStr">
        <is>
          <t>Springhouse notes</t>
        </is>
      </c>
      <c r="T1428" t="inlineStr">
        <is>
          <t xml:space="preserve">WY </t>
        </is>
      </c>
      <c r="U1428" t="n">
        <v>14</v>
      </c>
      <c r="V1428" t="n">
        <v>14</v>
      </c>
      <c r="W1428" t="inlineStr">
        <is>
          <t>1994-10-17</t>
        </is>
      </c>
      <c r="X1428" t="inlineStr">
        <is>
          <t>1994-10-17</t>
        </is>
      </c>
      <c r="Y1428" t="inlineStr">
        <is>
          <t>1988-05-09</t>
        </is>
      </c>
      <c r="Z1428" t="inlineStr">
        <is>
          <t>1988-05-09</t>
        </is>
      </c>
      <c r="AA1428" t="n">
        <v>90</v>
      </c>
      <c r="AB1428" t="n">
        <v>62</v>
      </c>
      <c r="AC1428" t="n">
        <v>109</v>
      </c>
      <c r="AD1428" t="n">
        <v>1</v>
      </c>
      <c r="AE1428" t="n">
        <v>1</v>
      </c>
      <c r="AF1428" t="n">
        <v>3</v>
      </c>
      <c r="AG1428" t="n">
        <v>5</v>
      </c>
      <c r="AH1428" t="n">
        <v>1</v>
      </c>
      <c r="AI1428" t="n">
        <v>1</v>
      </c>
      <c r="AJ1428" t="n">
        <v>1</v>
      </c>
      <c r="AK1428" t="n">
        <v>1</v>
      </c>
      <c r="AL1428" t="n">
        <v>3</v>
      </c>
      <c r="AM1428" t="n">
        <v>5</v>
      </c>
      <c r="AN1428" t="n">
        <v>0</v>
      </c>
      <c r="AO1428" t="n">
        <v>0</v>
      </c>
      <c r="AP1428" t="n">
        <v>0</v>
      </c>
      <c r="AQ1428" t="n">
        <v>0</v>
      </c>
      <c r="AR1428" t="inlineStr">
        <is>
          <t>No</t>
        </is>
      </c>
      <c r="AS1428" t="inlineStr">
        <is>
          <t>Yes</t>
        </is>
      </c>
      <c r="AT1428">
        <f>HYPERLINK("http://catalog.hathitrust.org/Record/004446505","HathiTrust Record")</f>
        <v/>
      </c>
      <c r="AU1428">
        <f>HYPERLINK("https://creighton-primo.hosted.exlibrisgroup.com/primo-explore/search?tab=default_tab&amp;search_scope=EVERYTHING&amp;vid=01CRU&amp;lang=en_US&amp;offset=0&amp;query=any,contains,991001189249702656","Catalog Record")</f>
        <v/>
      </c>
      <c r="AV1428">
        <f>HYPERLINK("http://www.worldcat.org/oclc/16950728","WorldCat Record")</f>
        <v/>
      </c>
      <c r="AW1428" t="inlineStr">
        <is>
          <t>13080698:eng</t>
        </is>
      </c>
      <c r="AX1428" t="inlineStr">
        <is>
          <t>16950728</t>
        </is>
      </c>
      <c r="AY1428" t="inlineStr">
        <is>
          <t>991001189249702656</t>
        </is>
      </c>
      <c r="AZ1428" t="inlineStr">
        <is>
          <t>991001189249702656</t>
        </is>
      </c>
      <c r="BA1428" t="inlineStr">
        <is>
          <t>2269810900002656</t>
        </is>
      </c>
      <c r="BB1428" t="inlineStr">
        <is>
          <t>BOOK</t>
        </is>
      </c>
      <c r="BD1428" t="inlineStr">
        <is>
          <t>9780874341164</t>
        </is>
      </c>
      <c r="BE1428" t="inlineStr">
        <is>
          <t>30001000978918</t>
        </is>
      </c>
      <c r="BF1428" t="inlineStr">
        <is>
          <t>893287291</t>
        </is>
      </c>
    </row>
    <row r="1429">
      <c r="A1429" t="inlineStr">
        <is>
          <t>No</t>
        </is>
      </c>
      <c r="B1429" t="inlineStr">
        <is>
          <t>CUHSL</t>
        </is>
      </c>
      <c r="C1429" t="inlineStr">
        <is>
          <t>SHELVES</t>
        </is>
      </c>
      <c r="D1429" t="inlineStr">
        <is>
          <t>WY 152 T2533 1992</t>
        </is>
      </c>
      <c r="E1429" t="inlineStr">
        <is>
          <t>0                      WY 0152000T  2533        1992</t>
        </is>
      </c>
      <c r="F1429" t="inlineStr">
        <is>
          <t>Teaching patients with chronic conditions.</t>
        </is>
      </c>
      <c r="H1429" t="inlineStr">
        <is>
          <t>No</t>
        </is>
      </c>
      <c r="I1429" t="inlineStr">
        <is>
          <t>1</t>
        </is>
      </c>
      <c r="J1429" t="inlineStr">
        <is>
          <t>No</t>
        </is>
      </c>
      <c r="K1429" t="inlineStr">
        <is>
          <t>No</t>
        </is>
      </c>
      <c r="L1429" t="inlineStr">
        <is>
          <t>0</t>
        </is>
      </c>
      <c r="N1429" t="inlineStr">
        <is>
          <t>Springhouse, Pa. : Springhouse Corp., c1992.</t>
        </is>
      </c>
      <c r="O1429" t="inlineStr">
        <is>
          <t>1992</t>
        </is>
      </c>
      <c r="Q1429" t="inlineStr">
        <is>
          <t>eng</t>
        </is>
      </c>
      <c r="R1429" t="inlineStr">
        <is>
          <t>pau</t>
        </is>
      </c>
      <c r="T1429" t="inlineStr">
        <is>
          <t xml:space="preserve">WY </t>
        </is>
      </c>
      <c r="U1429" t="n">
        <v>9</v>
      </c>
      <c r="V1429" t="n">
        <v>9</v>
      </c>
      <c r="W1429" t="inlineStr">
        <is>
          <t>1997-03-08</t>
        </is>
      </c>
      <c r="X1429" t="inlineStr">
        <is>
          <t>1997-03-08</t>
        </is>
      </c>
      <c r="Y1429" t="inlineStr">
        <is>
          <t>1992-06-23</t>
        </is>
      </c>
      <c r="Z1429" t="inlineStr">
        <is>
          <t>1992-06-23</t>
        </is>
      </c>
      <c r="AA1429" t="n">
        <v>220</v>
      </c>
      <c r="AB1429" t="n">
        <v>184</v>
      </c>
      <c r="AC1429" t="n">
        <v>191</v>
      </c>
      <c r="AD1429" t="n">
        <v>1</v>
      </c>
      <c r="AE1429" t="n">
        <v>1</v>
      </c>
      <c r="AF1429" t="n">
        <v>5</v>
      </c>
      <c r="AG1429" t="n">
        <v>5</v>
      </c>
      <c r="AH1429" t="n">
        <v>3</v>
      </c>
      <c r="AI1429" t="n">
        <v>3</v>
      </c>
      <c r="AJ1429" t="n">
        <v>1</v>
      </c>
      <c r="AK1429" t="n">
        <v>1</v>
      </c>
      <c r="AL1429" t="n">
        <v>3</v>
      </c>
      <c r="AM1429" t="n">
        <v>3</v>
      </c>
      <c r="AN1429" t="n">
        <v>0</v>
      </c>
      <c r="AO1429" t="n">
        <v>0</v>
      </c>
      <c r="AP1429" t="n">
        <v>0</v>
      </c>
      <c r="AQ1429" t="n">
        <v>0</v>
      </c>
      <c r="AR1429" t="inlineStr">
        <is>
          <t>No</t>
        </is>
      </c>
      <c r="AS1429" t="inlineStr">
        <is>
          <t>Yes</t>
        </is>
      </c>
      <c r="AT1429">
        <f>HYPERLINK("http://catalog.hathitrust.org/Record/002604191","HathiTrust Record")</f>
        <v/>
      </c>
      <c r="AU1429">
        <f>HYPERLINK("https://creighton-primo.hosted.exlibrisgroup.com/primo-explore/search?tab=default_tab&amp;search_scope=EVERYTHING&amp;vid=01CRU&amp;lang=en_US&amp;offset=0&amp;query=any,contains,991001229329702656","Catalog Record")</f>
        <v/>
      </c>
      <c r="AV1429">
        <f>HYPERLINK("http://www.worldcat.org/oclc/25316802","WorldCat Record")</f>
        <v/>
      </c>
      <c r="AW1429" t="inlineStr">
        <is>
          <t>28035165:eng</t>
        </is>
      </c>
      <c r="AX1429" t="inlineStr">
        <is>
          <t>25316802</t>
        </is>
      </c>
      <c r="AY1429" t="inlineStr">
        <is>
          <t>991001229329702656</t>
        </is>
      </c>
      <c r="AZ1429" t="inlineStr">
        <is>
          <t>991001229329702656</t>
        </is>
      </c>
      <c r="BA1429" t="inlineStr">
        <is>
          <t>2268166470002656</t>
        </is>
      </c>
      <c r="BB1429" t="inlineStr">
        <is>
          <t>BOOK</t>
        </is>
      </c>
      <c r="BD1429" t="inlineStr">
        <is>
          <t>9780874344974</t>
        </is>
      </c>
      <c r="BE1429" t="inlineStr">
        <is>
          <t>30001002335737</t>
        </is>
      </c>
      <c r="BF1429" t="inlineStr">
        <is>
          <t>893736342</t>
        </is>
      </c>
    </row>
    <row r="1430">
      <c r="A1430" t="inlineStr">
        <is>
          <t>No</t>
        </is>
      </c>
      <c r="B1430" t="inlineStr">
        <is>
          <t>CUHSL</t>
        </is>
      </c>
      <c r="C1430" t="inlineStr">
        <is>
          <t>SHELVES</t>
        </is>
      </c>
      <c r="D1430" t="inlineStr">
        <is>
          <t>WY152 T355 2001</t>
        </is>
      </c>
      <c r="E1430" t="inlineStr">
        <is>
          <t>0                      WY 0152000T  355         2001</t>
        </is>
      </c>
      <c r="F1430" t="inlineStr">
        <is>
          <t>Textbook of palliative nursing / edited by Betty R. Ferrell, Nessa Coyle.</t>
        </is>
      </c>
      <c r="H1430" t="inlineStr">
        <is>
          <t>No</t>
        </is>
      </c>
      <c r="I1430" t="inlineStr">
        <is>
          <t>1</t>
        </is>
      </c>
      <c r="J1430" t="inlineStr">
        <is>
          <t>No</t>
        </is>
      </c>
      <c r="K1430" t="inlineStr">
        <is>
          <t>No</t>
        </is>
      </c>
      <c r="L1430" t="inlineStr">
        <is>
          <t>1</t>
        </is>
      </c>
      <c r="N1430" t="inlineStr">
        <is>
          <t>New York : Oxford University Press, 2001.</t>
        </is>
      </c>
      <c r="O1430" t="inlineStr">
        <is>
          <t>2001</t>
        </is>
      </c>
      <c r="Q1430" t="inlineStr">
        <is>
          <t>eng</t>
        </is>
      </c>
      <c r="R1430" t="inlineStr">
        <is>
          <t>nyu</t>
        </is>
      </c>
      <c r="T1430" t="inlineStr">
        <is>
          <t xml:space="preserve">WY </t>
        </is>
      </c>
      <c r="U1430" t="n">
        <v>1</v>
      </c>
      <c r="V1430" t="n">
        <v>1</v>
      </c>
      <c r="W1430" t="inlineStr">
        <is>
          <t>2003-05-27</t>
        </is>
      </c>
      <c r="X1430" t="inlineStr">
        <is>
          <t>2003-05-27</t>
        </is>
      </c>
      <c r="Y1430" t="inlineStr">
        <is>
          <t>2003-05-23</t>
        </is>
      </c>
      <c r="Z1430" t="inlineStr">
        <is>
          <t>2003-05-23</t>
        </is>
      </c>
      <c r="AA1430" t="n">
        <v>283</v>
      </c>
      <c r="AB1430" t="n">
        <v>193</v>
      </c>
      <c r="AC1430" t="n">
        <v>1202</v>
      </c>
      <c r="AD1430" t="n">
        <v>1</v>
      </c>
      <c r="AE1430" t="n">
        <v>18</v>
      </c>
      <c r="AF1430" t="n">
        <v>13</v>
      </c>
      <c r="AG1430" t="n">
        <v>43</v>
      </c>
      <c r="AH1430" t="n">
        <v>6</v>
      </c>
      <c r="AI1430" t="n">
        <v>12</v>
      </c>
      <c r="AJ1430" t="n">
        <v>2</v>
      </c>
      <c r="AK1430" t="n">
        <v>8</v>
      </c>
      <c r="AL1430" t="n">
        <v>8</v>
      </c>
      <c r="AM1430" t="n">
        <v>15</v>
      </c>
      <c r="AN1430" t="n">
        <v>0</v>
      </c>
      <c r="AO1430" t="n">
        <v>14</v>
      </c>
      <c r="AP1430" t="n">
        <v>0</v>
      </c>
      <c r="AQ1430" t="n">
        <v>1</v>
      </c>
      <c r="AR1430" t="inlineStr">
        <is>
          <t>No</t>
        </is>
      </c>
      <c r="AS1430" t="inlineStr">
        <is>
          <t>No</t>
        </is>
      </c>
      <c r="AU1430">
        <f>HYPERLINK("https://creighton-primo.hosted.exlibrisgroup.com/primo-explore/search?tab=default_tab&amp;search_scope=EVERYTHING&amp;vid=01CRU&amp;lang=en_US&amp;offset=0&amp;query=any,contains,991000347519702656","Catalog Record")</f>
        <v/>
      </c>
      <c r="AV1430">
        <f>HYPERLINK("http://www.worldcat.org/oclc/44420605","WorldCat Record")</f>
        <v/>
      </c>
      <c r="AW1430" t="inlineStr">
        <is>
          <t>3755223362:eng</t>
        </is>
      </c>
      <c r="AX1430" t="inlineStr">
        <is>
          <t>44420605</t>
        </is>
      </c>
      <c r="AY1430" t="inlineStr">
        <is>
          <t>991000347519702656</t>
        </is>
      </c>
      <c r="AZ1430" t="inlineStr">
        <is>
          <t>991000347519702656</t>
        </is>
      </c>
      <c r="BA1430" t="inlineStr">
        <is>
          <t>2255429770002656</t>
        </is>
      </c>
      <c r="BB1430" t="inlineStr">
        <is>
          <t>BOOK</t>
        </is>
      </c>
      <c r="BD1430" t="inlineStr">
        <is>
          <t>9780195135749</t>
        </is>
      </c>
      <c r="BE1430" t="inlineStr">
        <is>
          <t>30001004504389</t>
        </is>
      </c>
      <c r="BF1430" t="inlineStr">
        <is>
          <t>893123007</t>
        </is>
      </c>
    </row>
    <row r="1431">
      <c r="A1431" t="inlineStr">
        <is>
          <t>No</t>
        </is>
      </c>
      <c r="B1431" t="inlineStr">
        <is>
          <t>CUHSL</t>
        </is>
      </c>
      <c r="C1431" t="inlineStr">
        <is>
          <t>SHELVES</t>
        </is>
      </c>
      <c r="D1431" t="inlineStr">
        <is>
          <t>WY 152 T737 1956</t>
        </is>
      </c>
      <c r="E1431" t="inlineStr">
        <is>
          <t>0                      WY 0152000T  737         1956</t>
        </is>
      </c>
      <c r="F1431" t="inlineStr">
        <is>
          <t>Toward better nursing care of patients with long-term illness / a project developed by the Cornell University-New York Hospital School of Nursing in cooperation with the National League for Nursing ; under the direction of Edna L. Fritz.</t>
        </is>
      </c>
      <c r="H1431" t="inlineStr">
        <is>
          <t>No</t>
        </is>
      </c>
      <c r="I1431" t="inlineStr">
        <is>
          <t>1</t>
        </is>
      </c>
      <c r="J1431" t="inlineStr">
        <is>
          <t>No</t>
        </is>
      </c>
      <c r="K1431" t="inlineStr">
        <is>
          <t>No</t>
        </is>
      </c>
      <c r="L1431" t="inlineStr">
        <is>
          <t>0</t>
        </is>
      </c>
      <c r="N1431" t="inlineStr">
        <is>
          <t>New York : National League for Nursing, 1956.</t>
        </is>
      </c>
      <c r="O1431" t="inlineStr">
        <is>
          <t>1956</t>
        </is>
      </c>
      <c r="Q1431" t="inlineStr">
        <is>
          <t>eng</t>
        </is>
      </c>
      <c r="R1431" t="inlineStr">
        <is>
          <t>nyu</t>
        </is>
      </c>
      <c r="T1431" t="inlineStr">
        <is>
          <t xml:space="preserve">WY </t>
        </is>
      </c>
      <c r="U1431" t="n">
        <v>1</v>
      </c>
      <c r="V1431" t="n">
        <v>1</v>
      </c>
      <c r="W1431" t="inlineStr">
        <is>
          <t>1990-07-02</t>
        </is>
      </c>
      <c r="X1431" t="inlineStr">
        <is>
          <t>1990-07-02</t>
        </is>
      </c>
      <c r="Y1431" t="inlineStr">
        <is>
          <t>1987-11-19</t>
        </is>
      </c>
      <c r="Z1431" t="inlineStr">
        <is>
          <t>1987-11-19</t>
        </is>
      </c>
      <c r="AA1431" t="n">
        <v>36</v>
      </c>
      <c r="AB1431" t="n">
        <v>34</v>
      </c>
      <c r="AC1431" t="n">
        <v>36</v>
      </c>
      <c r="AD1431" t="n">
        <v>1</v>
      </c>
      <c r="AE1431" t="n">
        <v>1</v>
      </c>
      <c r="AF1431" t="n">
        <v>1</v>
      </c>
      <c r="AG1431" t="n">
        <v>1</v>
      </c>
      <c r="AH1431" t="n">
        <v>0</v>
      </c>
      <c r="AI1431" t="n">
        <v>0</v>
      </c>
      <c r="AJ1431" t="n">
        <v>0</v>
      </c>
      <c r="AK1431" t="n">
        <v>0</v>
      </c>
      <c r="AL1431" t="n">
        <v>1</v>
      </c>
      <c r="AM1431" t="n">
        <v>1</v>
      </c>
      <c r="AN1431" t="n">
        <v>0</v>
      </c>
      <c r="AO1431" t="n">
        <v>0</v>
      </c>
      <c r="AP1431" t="n">
        <v>0</v>
      </c>
      <c r="AQ1431" t="n">
        <v>0</v>
      </c>
      <c r="AR1431" t="inlineStr">
        <is>
          <t>Yes</t>
        </is>
      </c>
      <c r="AS1431" t="inlineStr">
        <is>
          <t>No</t>
        </is>
      </c>
      <c r="AT1431">
        <f>HYPERLINK("http://catalog.hathitrust.org/Record/102559137","HathiTrust Record")</f>
        <v/>
      </c>
      <c r="AU1431">
        <f>HYPERLINK("https://creighton-primo.hosted.exlibrisgroup.com/primo-explore/search?tab=default_tab&amp;search_scope=EVERYTHING&amp;vid=01CRU&amp;lang=en_US&amp;offset=0&amp;query=any,contains,991001518459702656","Catalog Record")</f>
        <v/>
      </c>
      <c r="AV1431">
        <f>HYPERLINK("http://www.worldcat.org/oclc/14671215","WorldCat Record")</f>
        <v/>
      </c>
      <c r="AW1431" t="inlineStr">
        <is>
          <t>8539174:eng</t>
        </is>
      </c>
      <c r="AX1431" t="inlineStr">
        <is>
          <t>14671215</t>
        </is>
      </c>
      <c r="AY1431" t="inlineStr">
        <is>
          <t>991001518459702656</t>
        </is>
      </c>
      <c r="AZ1431" t="inlineStr">
        <is>
          <t>991001518459702656</t>
        </is>
      </c>
      <c r="BA1431" t="inlineStr">
        <is>
          <t>2260860580002656</t>
        </is>
      </c>
      <c r="BB1431" t="inlineStr">
        <is>
          <t>BOOK</t>
        </is>
      </c>
      <c r="BE1431" t="inlineStr">
        <is>
          <t>30001000600488</t>
        </is>
      </c>
      <c r="BF1431" t="inlineStr">
        <is>
          <t>893821308</t>
        </is>
      </c>
    </row>
    <row r="1432">
      <c r="A1432" t="inlineStr">
        <is>
          <t>No</t>
        </is>
      </c>
      <c r="B1432" t="inlineStr">
        <is>
          <t>CUHSL</t>
        </is>
      </c>
      <c r="C1432" t="inlineStr">
        <is>
          <t>SHELVES</t>
        </is>
      </c>
      <c r="D1432" t="inlineStr">
        <is>
          <t>WY152  W926 2001</t>
        </is>
      </c>
      <c r="E1432" t="inlineStr">
        <is>
          <t>0                      WY 0152000W  926         2001</t>
        </is>
      </c>
      <c r="F1432" t="inlineStr">
        <is>
          <t>Working with older people and their families : [key issues in policy and practice] / edited by Mike Nolan, Sue Davies, and Gordon Grant.</t>
        </is>
      </c>
      <c r="H1432" t="inlineStr">
        <is>
          <t>No</t>
        </is>
      </c>
      <c r="I1432" t="inlineStr">
        <is>
          <t>1</t>
        </is>
      </c>
      <c r="J1432" t="inlineStr">
        <is>
          <t>No</t>
        </is>
      </c>
      <c r="K1432" t="inlineStr">
        <is>
          <t>No</t>
        </is>
      </c>
      <c r="L1432" t="inlineStr">
        <is>
          <t>0</t>
        </is>
      </c>
      <c r="N1432" t="inlineStr">
        <is>
          <t>Buckingham [England] ; Phildelphia, PA : Open University Press, 2001.</t>
        </is>
      </c>
      <c r="O1432" t="inlineStr">
        <is>
          <t>2001</t>
        </is>
      </c>
      <c r="Q1432" t="inlineStr">
        <is>
          <t>eng</t>
        </is>
      </c>
      <c r="R1432" t="inlineStr">
        <is>
          <t>enk</t>
        </is>
      </c>
      <c r="T1432" t="inlineStr">
        <is>
          <t xml:space="preserve">WY </t>
        </is>
      </c>
      <c r="U1432" t="n">
        <v>4</v>
      </c>
      <c r="V1432" t="n">
        <v>4</v>
      </c>
      <c r="W1432" t="inlineStr">
        <is>
          <t>2002-12-10</t>
        </is>
      </c>
      <c r="X1432" t="inlineStr">
        <is>
          <t>2002-12-10</t>
        </is>
      </c>
      <c r="Y1432" t="inlineStr">
        <is>
          <t>2002-05-10</t>
        </is>
      </c>
      <c r="Z1432" t="inlineStr">
        <is>
          <t>2002-05-10</t>
        </is>
      </c>
      <c r="AA1432" t="n">
        <v>294</v>
      </c>
      <c r="AB1432" t="n">
        <v>168</v>
      </c>
      <c r="AC1432" t="n">
        <v>184</v>
      </c>
      <c r="AD1432" t="n">
        <v>1</v>
      </c>
      <c r="AE1432" t="n">
        <v>1</v>
      </c>
      <c r="AF1432" t="n">
        <v>4</v>
      </c>
      <c r="AG1432" t="n">
        <v>6</v>
      </c>
      <c r="AH1432" t="n">
        <v>1</v>
      </c>
      <c r="AI1432" t="n">
        <v>2</v>
      </c>
      <c r="AJ1432" t="n">
        <v>2</v>
      </c>
      <c r="AK1432" t="n">
        <v>3</v>
      </c>
      <c r="AL1432" t="n">
        <v>3</v>
      </c>
      <c r="AM1432" t="n">
        <v>5</v>
      </c>
      <c r="AN1432" t="n">
        <v>0</v>
      </c>
      <c r="AO1432" t="n">
        <v>0</v>
      </c>
      <c r="AP1432" t="n">
        <v>0</v>
      </c>
      <c r="AQ1432" t="n">
        <v>0</v>
      </c>
      <c r="AR1432" t="inlineStr">
        <is>
          <t>No</t>
        </is>
      </c>
      <c r="AS1432" t="inlineStr">
        <is>
          <t>Yes</t>
        </is>
      </c>
      <c r="AT1432">
        <f>HYPERLINK("http://catalog.hathitrust.org/Record/004168566","HathiTrust Record")</f>
        <v/>
      </c>
      <c r="AU1432">
        <f>HYPERLINK("https://creighton-primo.hosted.exlibrisgroup.com/primo-explore/search?tab=default_tab&amp;search_scope=EVERYTHING&amp;vid=01CRU&amp;lang=en_US&amp;offset=0&amp;query=any,contains,991000310189702656","Catalog Record")</f>
        <v/>
      </c>
      <c r="AV1432">
        <f>HYPERLINK("http://www.worldcat.org/oclc/44868895","WorldCat Record")</f>
        <v/>
      </c>
      <c r="AW1432" t="inlineStr">
        <is>
          <t>56588447:eng</t>
        </is>
      </c>
      <c r="AX1432" t="inlineStr">
        <is>
          <t>44868895</t>
        </is>
      </c>
      <c r="AY1432" t="inlineStr">
        <is>
          <t>991000310189702656</t>
        </is>
      </c>
      <c r="AZ1432" t="inlineStr">
        <is>
          <t>991000310189702656</t>
        </is>
      </c>
      <c r="BA1432" t="inlineStr">
        <is>
          <t>2258630360002656</t>
        </is>
      </c>
      <c r="BB1432" t="inlineStr">
        <is>
          <t>BOOK</t>
        </is>
      </c>
      <c r="BD1432" t="inlineStr">
        <is>
          <t>9780335205608</t>
        </is>
      </c>
      <c r="BE1432" t="inlineStr">
        <is>
          <t>30001004238004</t>
        </is>
      </c>
      <c r="BF1432" t="inlineStr">
        <is>
          <t>893354184</t>
        </is>
      </c>
    </row>
    <row r="1433">
      <c r="A1433" t="inlineStr">
        <is>
          <t>No</t>
        </is>
      </c>
      <c r="B1433" t="inlineStr">
        <is>
          <t>CUHSL</t>
        </is>
      </c>
      <c r="C1433" t="inlineStr">
        <is>
          <t>SHELVES</t>
        </is>
      </c>
      <c r="D1433" t="inlineStr">
        <is>
          <t>WY 152.2 C737 1991</t>
        </is>
      </c>
      <c r="E1433" t="inlineStr">
        <is>
          <t>0                      WY 0152200C  737         1991</t>
        </is>
      </c>
      <c r="F1433" t="inlineStr">
        <is>
          <t>Comprehensive cardiac care.</t>
        </is>
      </c>
      <c r="H1433" t="inlineStr">
        <is>
          <t>No</t>
        </is>
      </c>
      <c r="I1433" t="inlineStr">
        <is>
          <t>1</t>
        </is>
      </c>
      <c r="J1433" t="inlineStr">
        <is>
          <t>No</t>
        </is>
      </c>
      <c r="K1433" t="inlineStr">
        <is>
          <t>No</t>
        </is>
      </c>
      <c r="L1433" t="inlineStr">
        <is>
          <t>0</t>
        </is>
      </c>
      <c r="N1433" t="inlineStr">
        <is>
          <t>St. Louis : Mosby Year Book, c1991.</t>
        </is>
      </c>
      <c r="O1433" t="inlineStr">
        <is>
          <t>1991</t>
        </is>
      </c>
      <c r="P1433" t="inlineStr">
        <is>
          <t>7th ed. / edited by Marguerite R. Kinney ... [et al.].</t>
        </is>
      </c>
      <c r="Q1433" t="inlineStr">
        <is>
          <t>eng</t>
        </is>
      </c>
      <c r="R1433" t="inlineStr">
        <is>
          <t>mou</t>
        </is>
      </c>
      <c r="T1433" t="inlineStr">
        <is>
          <t xml:space="preserve">WY </t>
        </is>
      </c>
      <c r="U1433" t="n">
        <v>17</v>
      </c>
      <c r="V1433" t="n">
        <v>17</v>
      </c>
      <c r="W1433" t="inlineStr">
        <is>
          <t>2002-07-09</t>
        </is>
      </c>
      <c r="X1433" t="inlineStr">
        <is>
          <t>2002-07-09</t>
        </is>
      </c>
      <c r="Y1433" t="inlineStr">
        <is>
          <t>1991-04-23</t>
        </is>
      </c>
      <c r="Z1433" t="inlineStr">
        <is>
          <t>1991-04-23</t>
        </is>
      </c>
      <c r="AA1433" t="n">
        <v>359</v>
      </c>
      <c r="AB1433" t="n">
        <v>293</v>
      </c>
      <c r="AC1433" t="n">
        <v>300</v>
      </c>
      <c r="AD1433" t="n">
        <v>2</v>
      </c>
      <c r="AE1433" t="n">
        <v>2</v>
      </c>
      <c r="AF1433" t="n">
        <v>10</v>
      </c>
      <c r="AG1433" t="n">
        <v>10</v>
      </c>
      <c r="AH1433" t="n">
        <v>3</v>
      </c>
      <c r="AI1433" t="n">
        <v>3</v>
      </c>
      <c r="AJ1433" t="n">
        <v>3</v>
      </c>
      <c r="AK1433" t="n">
        <v>3</v>
      </c>
      <c r="AL1433" t="n">
        <v>7</v>
      </c>
      <c r="AM1433" t="n">
        <v>7</v>
      </c>
      <c r="AN1433" t="n">
        <v>1</v>
      </c>
      <c r="AO1433" t="n">
        <v>1</v>
      </c>
      <c r="AP1433" t="n">
        <v>0</v>
      </c>
      <c r="AQ1433" t="n">
        <v>0</v>
      </c>
      <c r="AR1433" t="inlineStr">
        <is>
          <t>No</t>
        </is>
      </c>
      <c r="AS1433" t="inlineStr">
        <is>
          <t>Yes</t>
        </is>
      </c>
      <c r="AT1433">
        <f>HYPERLINK("http://catalog.hathitrust.org/Record/002439554","HathiTrust Record")</f>
        <v/>
      </c>
      <c r="AU1433">
        <f>HYPERLINK("https://creighton-primo.hosted.exlibrisgroup.com/primo-explore/search?tab=default_tab&amp;search_scope=EVERYTHING&amp;vid=01CRU&amp;lang=en_US&amp;offset=0&amp;query=any,contains,991000932889702656","Catalog Record")</f>
        <v/>
      </c>
      <c r="AV1433">
        <f>HYPERLINK("http://www.worldcat.org/oclc/22705958","WorldCat Record")</f>
        <v/>
      </c>
      <c r="AW1433" t="inlineStr">
        <is>
          <t>3768967238:eng</t>
        </is>
      </c>
      <c r="AX1433" t="inlineStr">
        <is>
          <t>22705958</t>
        </is>
      </c>
      <c r="AY1433" t="inlineStr">
        <is>
          <t>991000932889702656</t>
        </is>
      </c>
      <c r="AZ1433" t="inlineStr">
        <is>
          <t>991000932889702656</t>
        </is>
      </c>
      <c r="BA1433" t="inlineStr">
        <is>
          <t>2257557940002656</t>
        </is>
      </c>
      <c r="BB1433" t="inlineStr">
        <is>
          <t>BOOK</t>
        </is>
      </c>
      <c r="BD1433" t="inlineStr">
        <is>
          <t>9780801627705</t>
        </is>
      </c>
      <c r="BE1433" t="inlineStr">
        <is>
          <t>30001002190165</t>
        </is>
      </c>
      <c r="BF1433" t="inlineStr">
        <is>
          <t>893551948</t>
        </is>
      </c>
    </row>
    <row r="1434">
      <c r="A1434" t="inlineStr">
        <is>
          <t>No</t>
        </is>
      </c>
      <c r="B1434" t="inlineStr">
        <is>
          <t>CUHSL</t>
        </is>
      </c>
      <c r="C1434" t="inlineStr">
        <is>
          <t>SHELVES</t>
        </is>
      </c>
      <c r="D1434" t="inlineStr">
        <is>
          <t>WY 152.5 A244 1975</t>
        </is>
      </c>
      <c r="E1434" t="inlineStr">
        <is>
          <t>0                      WY 0152500A  244         1975</t>
        </is>
      </c>
      <c r="F1434" t="inlineStr">
        <is>
          <t>Advances in cardiovascular nursing / compiled by Andrea B. O'Connor.</t>
        </is>
      </c>
      <c r="H1434" t="inlineStr">
        <is>
          <t>No</t>
        </is>
      </c>
      <c r="I1434" t="inlineStr">
        <is>
          <t>1</t>
        </is>
      </c>
      <c r="J1434" t="inlineStr">
        <is>
          <t>No</t>
        </is>
      </c>
      <c r="K1434" t="inlineStr">
        <is>
          <t>No</t>
        </is>
      </c>
      <c r="L1434" t="inlineStr">
        <is>
          <t>0</t>
        </is>
      </c>
      <c r="N1434" t="inlineStr">
        <is>
          <t>New York : American Journal of Nursing, c1975.</t>
        </is>
      </c>
      <c r="O1434" t="inlineStr">
        <is>
          <t>1975</t>
        </is>
      </c>
      <c r="Q1434" t="inlineStr">
        <is>
          <t>eng</t>
        </is>
      </c>
      <c r="R1434" t="inlineStr">
        <is>
          <t xml:space="preserve">xx </t>
        </is>
      </c>
      <c r="S1434" t="inlineStr">
        <is>
          <t>Contemporary nursing series</t>
        </is>
      </c>
      <c r="T1434" t="inlineStr">
        <is>
          <t xml:space="preserve">WY </t>
        </is>
      </c>
      <c r="U1434" t="n">
        <v>2</v>
      </c>
      <c r="V1434" t="n">
        <v>2</v>
      </c>
      <c r="W1434" t="inlineStr">
        <is>
          <t>1993-10-14</t>
        </is>
      </c>
      <c r="X1434" t="inlineStr">
        <is>
          <t>1993-10-14</t>
        </is>
      </c>
      <c r="Y1434" t="inlineStr">
        <is>
          <t>1987-12-21</t>
        </is>
      </c>
      <c r="Z1434" t="inlineStr">
        <is>
          <t>1987-12-21</t>
        </is>
      </c>
      <c r="AA1434" t="n">
        <v>110</v>
      </c>
      <c r="AB1434" t="n">
        <v>100</v>
      </c>
      <c r="AC1434" t="n">
        <v>100</v>
      </c>
      <c r="AD1434" t="n">
        <v>2</v>
      </c>
      <c r="AE1434" t="n">
        <v>2</v>
      </c>
      <c r="AF1434" t="n">
        <v>2</v>
      </c>
      <c r="AG1434" t="n">
        <v>2</v>
      </c>
      <c r="AH1434" t="n">
        <v>0</v>
      </c>
      <c r="AI1434" t="n">
        <v>0</v>
      </c>
      <c r="AJ1434" t="n">
        <v>0</v>
      </c>
      <c r="AK1434" t="n">
        <v>0</v>
      </c>
      <c r="AL1434" t="n">
        <v>1</v>
      </c>
      <c r="AM1434" t="n">
        <v>1</v>
      </c>
      <c r="AN1434" t="n">
        <v>1</v>
      </c>
      <c r="AO1434" t="n">
        <v>1</v>
      </c>
      <c r="AP1434" t="n">
        <v>0</v>
      </c>
      <c r="AQ1434" t="n">
        <v>0</v>
      </c>
      <c r="AR1434" t="inlineStr">
        <is>
          <t>No</t>
        </is>
      </c>
      <c r="AS1434" t="inlineStr">
        <is>
          <t>No</t>
        </is>
      </c>
      <c r="AU1434">
        <f>HYPERLINK("https://creighton-primo.hosted.exlibrisgroup.com/primo-explore/search?tab=default_tab&amp;search_scope=EVERYTHING&amp;vid=01CRU&amp;lang=en_US&amp;offset=0&amp;query=any,contains,991000865119702656","Catalog Record")</f>
        <v/>
      </c>
      <c r="AV1434">
        <f>HYPERLINK("http://www.worldcat.org/oclc/2931099","WorldCat Record")</f>
        <v/>
      </c>
      <c r="AW1434" t="inlineStr">
        <is>
          <t>54160317:eng</t>
        </is>
      </c>
      <c r="AX1434" t="inlineStr">
        <is>
          <t>2931099</t>
        </is>
      </c>
      <c r="AY1434" t="inlineStr">
        <is>
          <t>991000865119702656</t>
        </is>
      </c>
      <c r="AZ1434" t="inlineStr">
        <is>
          <t>991000865119702656</t>
        </is>
      </c>
      <c r="BA1434" t="inlineStr">
        <is>
          <t>2263222650002656</t>
        </is>
      </c>
      <c r="BB1434" t="inlineStr">
        <is>
          <t>BOOK</t>
        </is>
      </c>
      <c r="BE1434" t="inlineStr">
        <is>
          <t>30001000144164</t>
        </is>
      </c>
      <c r="BF1434" t="inlineStr">
        <is>
          <t>893450566</t>
        </is>
      </c>
    </row>
    <row r="1435">
      <c r="A1435" t="inlineStr">
        <is>
          <t>No</t>
        </is>
      </c>
      <c r="B1435" t="inlineStr">
        <is>
          <t>CUHSL</t>
        </is>
      </c>
      <c r="C1435" t="inlineStr">
        <is>
          <t>SHELVES</t>
        </is>
      </c>
      <c r="D1435" t="inlineStr">
        <is>
          <t>WY 152.5 A2441 1985</t>
        </is>
      </c>
      <c r="E1435" t="inlineStr">
        <is>
          <t>0                      WY 0152500A  2441        1985</t>
        </is>
      </c>
      <c r="F1435" t="inlineStr">
        <is>
          <t>Advances in cardiovascular nursing / edited by Marilyn Kuhel Douglas, Julie A. Shinn ; [contributors, Marilyn Kuhel Douglas ... et al.].</t>
        </is>
      </c>
      <c r="H1435" t="inlineStr">
        <is>
          <t>No</t>
        </is>
      </c>
      <c r="I1435" t="inlineStr">
        <is>
          <t>1</t>
        </is>
      </c>
      <c r="J1435" t="inlineStr">
        <is>
          <t>No</t>
        </is>
      </c>
      <c r="K1435" t="inlineStr">
        <is>
          <t>No</t>
        </is>
      </c>
      <c r="L1435" t="inlineStr">
        <is>
          <t>0</t>
        </is>
      </c>
      <c r="N1435" t="inlineStr">
        <is>
          <t>Rockville, Md. : Aspen Systems Corp., c1985.</t>
        </is>
      </c>
      <c r="O1435" t="inlineStr">
        <is>
          <t>1985</t>
        </is>
      </c>
      <c r="Q1435" t="inlineStr">
        <is>
          <t>eng</t>
        </is>
      </c>
      <c r="R1435" t="inlineStr">
        <is>
          <t>xxu</t>
        </is>
      </c>
      <c r="T1435" t="inlineStr">
        <is>
          <t xml:space="preserve">WY </t>
        </is>
      </c>
      <c r="U1435" t="n">
        <v>7</v>
      </c>
      <c r="V1435" t="n">
        <v>7</v>
      </c>
      <c r="W1435" t="inlineStr">
        <is>
          <t>1993-09-01</t>
        </is>
      </c>
      <c r="X1435" t="inlineStr">
        <is>
          <t>1993-09-01</t>
        </is>
      </c>
      <c r="Y1435" t="inlineStr">
        <is>
          <t>1987-12-21</t>
        </is>
      </c>
      <c r="Z1435" t="inlineStr">
        <is>
          <t>1987-12-21</t>
        </is>
      </c>
      <c r="AA1435" t="n">
        <v>216</v>
      </c>
      <c r="AB1435" t="n">
        <v>200</v>
      </c>
      <c r="AC1435" t="n">
        <v>207</v>
      </c>
      <c r="AD1435" t="n">
        <v>2</v>
      </c>
      <c r="AE1435" t="n">
        <v>2</v>
      </c>
      <c r="AF1435" t="n">
        <v>9</v>
      </c>
      <c r="AG1435" t="n">
        <v>9</v>
      </c>
      <c r="AH1435" t="n">
        <v>2</v>
      </c>
      <c r="AI1435" t="n">
        <v>2</v>
      </c>
      <c r="AJ1435" t="n">
        <v>3</v>
      </c>
      <c r="AK1435" t="n">
        <v>3</v>
      </c>
      <c r="AL1435" t="n">
        <v>8</v>
      </c>
      <c r="AM1435" t="n">
        <v>8</v>
      </c>
      <c r="AN1435" t="n">
        <v>0</v>
      </c>
      <c r="AO1435" t="n">
        <v>0</v>
      </c>
      <c r="AP1435" t="n">
        <v>0</v>
      </c>
      <c r="AQ1435" t="n">
        <v>0</v>
      </c>
      <c r="AR1435" t="inlineStr">
        <is>
          <t>No</t>
        </is>
      </c>
      <c r="AS1435" t="inlineStr">
        <is>
          <t>Yes</t>
        </is>
      </c>
      <c r="AT1435">
        <f>HYPERLINK("http://catalog.hathitrust.org/Record/000653309","HathiTrust Record")</f>
        <v/>
      </c>
      <c r="AU1435">
        <f>HYPERLINK("https://creighton-primo.hosted.exlibrisgroup.com/primo-explore/search?tab=default_tab&amp;search_scope=EVERYTHING&amp;vid=01CRU&amp;lang=en_US&amp;offset=0&amp;query=any,contains,991000865149702656","Catalog Record")</f>
        <v/>
      </c>
      <c r="AV1435">
        <f>HYPERLINK("http://www.worldcat.org/oclc/11782867","WorldCat Record")</f>
        <v/>
      </c>
      <c r="AW1435" t="inlineStr">
        <is>
          <t>4595535:eng</t>
        </is>
      </c>
      <c r="AX1435" t="inlineStr">
        <is>
          <t>11782867</t>
        </is>
      </c>
      <c r="AY1435" t="inlineStr">
        <is>
          <t>991000865149702656</t>
        </is>
      </c>
      <c r="AZ1435" t="inlineStr">
        <is>
          <t>991000865149702656</t>
        </is>
      </c>
      <c r="BA1435" t="inlineStr">
        <is>
          <t>2270632160002656</t>
        </is>
      </c>
      <c r="BB1435" t="inlineStr">
        <is>
          <t>BOOK</t>
        </is>
      </c>
      <c r="BD1435" t="inlineStr">
        <is>
          <t>9780871891051</t>
        </is>
      </c>
      <c r="BE1435" t="inlineStr">
        <is>
          <t>30001000144172</t>
        </is>
      </c>
      <c r="BF1435" t="inlineStr">
        <is>
          <t>893540742</t>
        </is>
      </c>
    </row>
    <row r="1436">
      <c r="A1436" t="inlineStr">
        <is>
          <t>No</t>
        </is>
      </c>
      <c r="B1436" t="inlineStr">
        <is>
          <t>CUHSL</t>
        </is>
      </c>
      <c r="C1436" t="inlineStr">
        <is>
          <t>SHELVES</t>
        </is>
      </c>
      <c r="D1436" t="inlineStr">
        <is>
          <t>WY 152.5 A841a 1980</t>
        </is>
      </c>
      <c r="E1436" t="inlineStr">
        <is>
          <t>0                      WY 0152500A  841a        1980</t>
        </is>
      </c>
      <c r="F1436" t="inlineStr">
        <is>
          <t>Aortic arch surgery / Mary Jo Aspinall.</t>
        </is>
      </c>
      <c r="H1436" t="inlineStr">
        <is>
          <t>No</t>
        </is>
      </c>
      <c r="I1436" t="inlineStr">
        <is>
          <t>1</t>
        </is>
      </c>
      <c r="J1436" t="inlineStr">
        <is>
          <t>No</t>
        </is>
      </c>
      <c r="K1436" t="inlineStr">
        <is>
          <t>No</t>
        </is>
      </c>
      <c r="L1436" t="inlineStr">
        <is>
          <t>0</t>
        </is>
      </c>
      <c r="M1436" t="inlineStr">
        <is>
          <t>Aspinall, Mary Jo.</t>
        </is>
      </c>
      <c r="N1436" t="inlineStr">
        <is>
          <t>New York : Appleton-Century-Crofts, c1980.</t>
        </is>
      </c>
      <c r="O1436" t="inlineStr">
        <is>
          <t>1980</t>
        </is>
      </c>
      <c r="Q1436" t="inlineStr">
        <is>
          <t>eng</t>
        </is>
      </c>
      <c r="R1436" t="inlineStr">
        <is>
          <t>xxu</t>
        </is>
      </c>
      <c r="S1436" t="inlineStr">
        <is>
          <t>Continuing education in cardiovascular nursing. Series 2, Surgical aspects of cardiovascular disease, nursing intervention ; unit 4</t>
        </is>
      </c>
      <c r="T1436" t="inlineStr">
        <is>
          <t xml:space="preserve">WY </t>
        </is>
      </c>
      <c r="U1436" t="n">
        <v>2</v>
      </c>
      <c r="V1436" t="n">
        <v>2</v>
      </c>
      <c r="W1436" t="inlineStr">
        <is>
          <t>1990-07-25</t>
        </is>
      </c>
      <c r="X1436" t="inlineStr">
        <is>
          <t>1990-07-25</t>
        </is>
      </c>
      <c r="Y1436" t="inlineStr">
        <is>
          <t>1987-12-21</t>
        </is>
      </c>
      <c r="Z1436" t="inlineStr">
        <is>
          <t>1987-12-21</t>
        </is>
      </c>
      <c r="AA1436" t="n">
        <v>83</v>
      </c>
      <c r="AB1436" t="n">
        <v>60</v>
      </c>
      <c r="AC1436" t="n">
        <v>60</v>
      </c>
      <c r="AD1436" t="n">
        <v>1</v>
      </c>
      <c r="AE1436" t="n">
        <v>1</v>
      </c>
      <c r="AF1436" t="n">
        <v>3</v>
      </c>
      <c r="AG1436" t="n">
        <v>3</v>
      </c>
      <c r="AH1436" t="n">
        <v>1</v>
      </c>
      <c r="AI1436" t="n">
        <v>1</v>
      </c>
      <c r="AJ1436" t="n">
        <v>0</v>
      </c>
      <c r="AK1436" t="n">
        <v>0</v>
      </c>
      <c r="AL1436" t="n">
        <v>3</v>
      </c>
      <c r="AM1436" t="n">
        <v>3</v>
      </c>
      <c r="AN1436" t="n">
        <v>0</v>
      </c>
      <c r="AO1436" t="n">
        <v>0</v>
      </c>
      <c r="AP1436" t="n">
        <v>0</v>
      </c>
      <c r="AQ1436" t="n">
        <v>0</v>
      </c>
      <c r="AR1436" t="inlineStr">
        <is>
          <t>No</t>
        </is>
      </c>
      <c r="AS1436" t="inlineStr">
        <is>
          <t>No</t>
        </is>
      </c>
      <c r="AU1436">
        <f>HYPERLINK("https://creighton-primo.hosted.exlibrisgroup.com/primo-explore/search?tab=default_tab&amp;search_scope=EVERYTHING&amp;vid=01CRU&amp;lang=en_US&amp;offset=0&amp;query=any,contains,991000865189702656","Catalog Record")</f>
        <v/>
      </c>
      <c r="AV1436">
        <f>HYPERLINK("http://www.worldcat.org/oclc/6486973","WorldCat Record")</f>
        <v/>
      </c>
      <c r="AW1436" t="inlineStr">
        <is>
          <t>502981:eng</t>
        </is>
      </c>
      <c r="AX1436" t="inlineStr">
        <is>
          <t>6486973</t>
        </is>
      </c>
      <c r="AY1436" t="inlineStr">
        <is>
          <t>991000865189702656</t>
        </is>
      </c>
      <c r="AZ1436" t="inlineStr">
        <is>
          <t>991000865189702656</t>
        </is>
      </c>
      <c r="BA1436" t="inlineStr">
        <is>
          <t>2272725160002656</t>
        </is>
      </c>
      <c r="BB1436" t="inlineStr">
        <is>
          <t>BOOK</t>
        </is>
      </c>
      <c r="BD1436" t="inlineStr">
        <is>
          <t>9780838501719</t>
        </is>
      </c>
      <c r="BE1436" t="inlineStr">
        <is>
          <t>30001000144180</t>
        </is>
      </c>
      <c r="BF1436" t="inlineStr">
        <is>
          <t>893278375</t>
        </is>
      </c>
    </row>
    <row r="1437">
      <c r="A1437" t="inlineStr">
        <is>
          <t>No</t>
        </is>
      </c>
      <c r="B1437" t="inlineStr">
        <is>
          <t>CUHSL</t>
        </is>
      </c>
      <c r="C1437" t="inlineStr">
        <is>
          <t>SHELVES</t>
        </is>
      </c>
      <c r="D1437" t="inlineStr">
        <is>
          <t>WY 152.5 B869p 1991</t>
        </is>
      </c>
      <c r="E1437" t="inlineStr">
        <is>
          <t>0                      WY 0152500B  869p        1991</t>
        </is>
      </c>
      <c r="F1437" t="inlineStr">
        <is>
          <t>Promoting stroke recovery : a research-based approach for nurses / Kathryn Schofield Bronstein, Judith M. Popovich, Christina Stewart-Amidei ; illustrations by Lydia Johns.</t>
        </is>
      </c>
      <c r="H1437" t="inlineStr">
        <is>
          <t>No</t>
        </is>
      </c>
      <c r="I1437" t="inlineStr">
        <is>
          <t>1</t>
        </is>
      </c>
      <c r="J1437" t="inlineStr">
        <is>
          <t>No</t>
        </is>
      </c>
      <c r="K1437" t="inlineStr">
        <is>
          <t>No</t>
        </is>
      </c>
      <c r="L1437" t="inlineStr">
        <is>
          <t>0</t>
        </is>
      </c>
      <c r="M1437" t="inlineStr">
        <is>
          <t>Bronstein, Kathryn Schofield.</t>
        </is>
      </c>
      <c r="N1437" t="inlineStr">
        <is>
          <t>St. Louis : Mosby, c1991.</t>
        </is>
      </c>
      <c r="O1437" t="inlineStr">
        <is>
          <t>1991</t>
        </is>
      </c>
      <c r="Q1437" t="inlineStr">
        <is>
          <t>eng</t>
        </is>
      </c>
      <c r="R1437" t="inlineStr">
        <is>
          <t>mou</t>
        </is>
      </c>
      <c r="T1437" t="inlineStr">
        <is>
          <t xml:space="preserve">WY </t>
        </is>
      </c>
      <c r="U1437" t="n">
        <v>8</v>
      </c>
      <c r="V1437" t="n">
        <v>8</v>
      </c>
      <c r="W1437" t="inlineStr">
        <is>
          <t>1996-10-23</t>
        </is>
      </c>
      <c r="X1437" t="inlineStr">
        <is>
          <t>1996-10-23</t>
        </is>
      </c>
      <c r="Y1437" t="inlineStr">
        <is>
          <t>1991-04-25</t>
        </is>
      </c>
      <c r="Z1437" t="inlineStr">
        <is>
          <t>1991-04-25</t>
        </is>
      </c>
      <c r="AA1437" t="n">
        <v>356</v>
      </c>
      <c r="AB1437" t="n">
        <v>291</v>
      </c>
      <c r="AC1437" t="n">
        <v>293</v>
      </c>
      <c r="AD1437" t="n">
        <v>2</v>
      </c>
      <c r="AE1437" t="n">
        <v>2</v>
      </c>
      <c r="AF1437" t="n">
        <v>18</v>
      </c>
      <c r="AG1437" t="n">
        <v>18</v>
      </c>
      <c r="AH1437" t="n">
        <v>9</v>
      </c>
      <c r="AI1437" t="n">
        <v>9</v>
      </c>
      <c r="AJ1437" t="n">
        <v>4</v>
      </c>
      <c r="AK1437" t="n">
        <v>4</v>
      </c>
      <c r="AL1437" t="n">
        <v>12</v>
      </c>
      <c r="AM1437" t="n">
        <v>12</v>
      </c>
      <c r="AN1437" t="n">
        <v>0</v>
      </c>
      <c r="AO1437" t="n">
        <v>0</v>
      </c>
      <c r="AP1437" t="n">
        <v>0</v>
      </c>
      <c r="AQ1437" t="n">
        <v>0</v>
      </c>
      <c r="AR1437" t="inlineStr">
        <is>
          <t>No</t>
        </is>
      </c>
      <c r="AS1437" t="inlineStr">
        <is>
          <t>Yes</t>
        </is>
      </c>
      <c r="AT1437">
        <f>HYPERLINK("http://catalog.hathitrust.org/Record/002443274","HathiTrust Record")</f>
        <v/>
      </c>
      <c r="AU1437">
        <f>HYPERLINK("https://creighton-primo.hosted.exlibrisgroup.com/primo-explore/search?tab=default_tab&amp;search_scope=EVERYTHING&amp;vid=01CRU&amp;lang=en_US&amp;offset=0&amp;query=any,contains,991000933219702656","Catalog Record")</f>
        <v/>
      </c>
      <c r="AV1437">
        <f>HYPERLINK("http://www.worldcat.org/oclc/22183291","WorldCat Record")</f>
        <v/>
      </c>
      <c r="AW1437" t="inlineStr">
        <is>
          <t>836725329:eng</t>
        </is>
      </c>
      <c r="AX1437" t="inlineStr">
        <is>
          <t>22183291</t>
        </is>
      </c>
      <c r="AY1437" t="inlineStr">
        <is>
          <t>991000933219702656</t>
        </is>
      </c>
      <c r="AZ1437" t="inlineStr">
        <is>
          <t>991000933219702656</t>
        </is>
      </c>
      <c r="BA1437" t="inlineStr">
        <is>
          <t>2258928070002656</t>
        </is>
      </c>
      <c r="BB1437" t="inlineStr">
        <is>
          <t>BOOK</t>
        </is>
      </c>
      <c r="BD1437" t="inlineStr">
        <is>
          <t>9780801662294</t>
        </is>
      </c>
      <c r="BE1437" t="inlineStr">
        <is>
          <t>30001002190223</t>
        </is>
      </c>
      <c r="BF1437" t="inlineStr">
        <is>
          <t>893826238</t>
        </is>
      </c>
    </row>
    <row r="1438">
      <c r="A1438" t="inlineStr">
        <is>
          <t>No</t>
        </is>
      </c>
      <c r="B1438" t="inlineStr">
        <is>
          <t>CUHSL</t>
        </is>
      </c>
      <c r="C1438" t="inlineStr">
        <is>
          <t>SHELVES</t>
        </is>
      </c>
      <c r="D1438" t="inlineStr">
        <is>
          <t>WY 152.5 C226c 1990</t>
        </is>
      </c>
      <c r="E1438" t="inlineStr">
        <is>
          <t>0                      WY 0152500C  226c        1990</t>
        </is>
      </c>
      <c r="F1438" t="inlineStr">
        <is>
          <t>Cardiovascular disorders / Mary M. Canobbio.</t>
        </is>
      </c>
      <c r="H1438" t="inlineStr">
        <is>
          <t>No</t>
        </is>
      </c>
      <c r="I1438" t="inlineStr">
        <is>
          <t>1</t>
        </is>
      </c>
      <c r="J1438" t="inlineStr">
        <is>
          <t>No</t>
        </is>
      </c>
      <c r="K1438" t="inlineStr">
        <is>
          <t>No</t>
        </is>
      </c>
      <c r="L1438" t="inlineStr">
        <is>
          <t>0</t>
        </is>
      </c>
      <c r="M1438" t="inlineStr">
        <is>
          <t>Canobbio, Mary M.</t>
        </is>
      </c>
      <c r="N1438" t="inlineStr">
        <is>
          <t>Saint Louis : Mosby, c1990.</t>
        </is>
      </c>
      <c r="O1438" t="inlineStr">
        <is>
          <t>1990</t>
        </is>
      </c>
      <c r="Q1438" t="inlineStr">
        <is>
          <t>eng</t>
        </is>
      </c>
      <c r="R1438" t="inlineStr">
        <is>
          <t>xxu</t>
        </is>
      </c>
      <c r="S1438" t="inlineStr">
        <is>
          <t>Mosby's clinical nursing series</t>
        </is>
      </c>
      <c r="T1438" t="inlineStr">
        <is>
          <t xml:space="preserve">WY </t>
        </is>
      </c>
      <c r="U1438" t="n">
        <v>14</v>
      </c>
      <c r="V1438" t="n">
        <v>14</v>
      </c>
      <c r="W1438" t="inlineStr">
        <is>
          <t>1995-03-16</t>
        </is>
      </c>
      <c r="X1438" t="inlineStr">
        <is>
          <t>1995-03-16</t>
        </is>
      </c>
      <c r="Y1438" t="inlineStr">
        <is>
          <t>1991-02-16</t>
        </is>
      </c>
      <c r="Z1438" t="inlineStr">
        <is>
          <t>1991-02-16</t>
        </is>
      </c>
      <c r="AA1438" t="n">
        <v>495</v>
      </c>
      <c r="AB1438" t="n">
        <v>407</v>
      </c>
      <c r="AC1438" t="n">
        <v>424</v>
      </c>
      <c r="AD1438" t="n">
        <v>3</v>
      </c>
      <c r="AE1438" t="n">
        <v>3</v>
      </c>
      <c r="AF1438" t="n">
        <v>12</v>
      </c>
      <c r="AG1438" t="n">
        <v>14</v>
      </c>
      <c r="AH1438" t="n">
        <v>7</v>
      </c>
      <c r="AI1438" t="n">
        <v>8</v>
      </c>
      <c r="AJ1438" t="n">
        <v>2</v>
      </c>
      <c r="AK1438" t="n">
        <v>3</v>
      </c>
      <c r="AL1438" t="n">
        <v>7</v>
      </c>
      <c r="AM1438" t="n">
        <v>7</v>
      </c>
      <c r="AN1438" t="n">
        <v>1</v>
      </c>
      <c r="AO1438" t="n">
        <v>1</v>
      </c>
      <c r="AP1438" t="n">
        <v>0</v>
      </c>
      <c r="AQ1438" t="n">
        <v>0</v>
      </c>
      <c r="AR1438" t="inlineStr">
        <is>
          <t>No</t>
        </is>
      </c>
      <c r="AS1438" t="inlineStr">
        <is>
          <t>Yes</t>
        </is>
      </c>
      <c r="AT1438">
        <f>HYPERLINK("http://catalog.hathitrust.org/Record/001953151","HathiTrust Record")</f>
        <v/>
      </c>
      <c r="AU1438">
        <f>HYPERLINK("https://creighton-primo.hosted.exlibrisgroup.com/primo-explore/search?tab=default_tab&amp;search_scope=EVERYTHING&amp;vid=01CRU&amp;lang=en_US&amp;offset=0&amp;query=any,contains,991001767899702656","Catalog Record")</f>
        <v/>
      </c>
      <c r="AV1438">
        <f>HYPERLINK("http://www.worldcat.org/oclc/21037002","WorldCat Record")</f>
        <v/>
      </c>
      <c r="AW1438" t="inlineStr">
        <is>
          <t>22635431:eng</t>
        </is>
      </c>
      <c r="AX1438" t="inlineStr">
        <is>
          <t>21037002</t>
        </is>
      </c>
      <c r="AY1438" t="inlineStr">
        <is>
          <t>991001767899702656</t>
        </is>
      </c>
      <c r="AZ1438" t="inlineStr">
        <is>
          <t>991001767899702656</t>
        </is>
      </c>
      <c r="BA1438" t="inlineStr">
        <is>
          <t>2272521290002656</t>
        </is>
      </c>
      <c r="BB1438" t="inlineStr">
        <is>
          <t>BOOK</t>
        </is>
      </c>
      <c r="BD1438" t="inlineStr">
        <is>
          <t>9780801614057</t>
        </is>
      </c>
      <c r="BE1438" t="inlineStr">
        <is>
          <t>30001002087536</t>
        </is>
      </c>
      <c r="BF1438" t="inlineStr">
        <is>
          <t>893652151</t>
        </is>
      </c>
    </row>
    <row r="1439">
      <c r="A1439" t="inlineStr">
        <is>
          <t>No</t>
        </is>
      </c>
      <c r="B1439" t="inlineStr">
        <is>
          <t>CUHSL</t>
        </is>
      </c>
      <c r="C1439" t="inlineStr">
        <is>
          <t>SHELVES</t>
        </is>
      </c>
      <c r="D1439" t="inlineStr">
        <is>
          <t>WY 152.5 C267 1980</t>
        </is>
      </c>
      <c r="E1439" t="inlineStr">
        <is>
          <t>0                      WY 0152500C  267         1980</t>
        </is>
      </c>
      <c r="F1439" t="inlineStr">
        <is>
          <t>Cardiology for nurses / [edited by] Nanette Kass Wenger, J. Willis Hurst, Mildred C. McIntyre.</t>
        </is>
      </c>
      <c r="H1439" t="inlineStr">
        <is>
          <t>No</t>
        </is>
      </c>
      <c r="I1439" t="inlineStr">
        <is>
          <t>1</t>
        </is>
      </c>
      <c r="J1439" t="inlineStr">
        <is>
          <t>No</t>
        </is>
      </c>
      <c r="K1439" t="inlineStr">
        <is>
          <t>No</t>
        </is>
      </c>
      <c r="L1439" t="inlineStr">
        <is>
          <t>0</t>
        </is>
      </c>
      <c r="N1439" t="inlineStr">
        <is>
          <t>New York : McGraw-Hill, c1980.</t>
        </is>
      </c>
      <c r="O1439" t="inlineStr">
        <is>
          <t>1980</t>
        </is>
      </c>
      <c r="Q1439" t="inlineStr">
        <is>
          <t>eng</t>
        </is>
      </c>
      <c r="R1439" t="inlineStr">
        <is>
          <t>nyu</t>
        </is>
      </c>
      <c r="T1439" t="inlineStr">
        <is>
          <t xml:space="preserve">WY </t>
        </is>
      </c>
      <c r="U1439" t="n">
        <v>5</v>
      </c>
      <c r="V1439" t="n">
        <v>5</v>
      </c>
      <c r="W1439" t="inlineStr">
        <is>
          <t>1990-01-03</t>
        </is>
      </c>
      <c r="X1439" t="inlineStr">
        <is>
          <t>1990-01-03</t>
        </is>
      </c>
      <c r="Y1439" t="inlineStr">
        <is>
          <t>1987-12-22</t>
        </is>
      </c>
      <c r="Z1439" t="inlineStr">
        <is>
          <t>1987-12-22</t>
        </is>
      </c>
      <c r="AA1439" t="n">
        <v>202</v>
      </c>
      <c r="AB1439" t="n">
        <v>163</v>
      </c>
      <c r="AC1439" t="n">
        <v>163</v>
      </c>
      <c r="AD1439" t="n">
        <v>2</v>
      </c>
      <c r="AE1439" t="n">
        <v>2</v>
      </c>
      <c r="AF1439" t="n">
        <v>5</v>
      </c>
      <c r="AG1439" t="n">
        <v>5</v>
      </c>
      <c r="AH1439" t="n">
        <v>2</v>
      </c>
      <c r="AI1439" t="n">
        <v>2</v>
      </c>
      <c r="AJ1439" t="n">
        <v>1</v>
      </c>
      <c r="AK1439" t="n">
        <v>1</v>
      </c>
      <c r="AL1439" t="n">
        <v>3</v>
      </c>
      <c r="AM1439" t="n">
        <v>3</v>
      </c>
      <c r="AN1439" t="n">
        <v>1</v>
      </c>
      <c r="AO1439" t="n">
        <v>1</v>
      </c>
      <c r="AP1439" t="n">
        <v>0</v>
      </c>
      <c r="AQ1439" t="n">
        <v>0</v>
      </c>
      <c r="AR1439" t="inlineStr">
        <is>
          <t>No</t>
        </is>
      </c>
      <c r="AS1439" t="inlineStr">
        <is>
          <t>No</t>
        </is>
      </c>
      <c r="AU1439">
        <f>HYPERLINK("https://creighton-primo.hosted.exlibrisgroup.com/primo-explore/search?tab=default_tab&amp;search_scope=EVERYTHING&amp;vid=01CRU&amp;lang=en_US&amp;offset=0&amp;query=any,contains,991000865259702656","Catalog Record")</f>
        <v/>
      </c>
      <c r="AV1439">
        <f>HYPERLINK("http://www.worldcat.org/oclc/5564319","WorldCat Record")</f>
        <v/>
      </c>
      <c r="AW1439" t="inlineStr">
        <is>
          <t>18424351:eng</t>
        </is>
      </c>
      <c r="AX1439" t="inlineStr">
        <is>
          <t>5564319</t>
        </is>
      </c>
      <c r="AY1439" t="inlineStr">
        <is>
          <t>991000865259702656</t>
        </is>
      </c>
      <c r="AZ1439" t="inlineStr">
        <is>
          <t>991000865259702656</t>
        </is>
      </c>
      <c r="BA1439" t="inlineStr">
        <is>
          <t>2266433640002656</t>
        </is>
      </c>
      <c r="BB1439" t="inlineStr">
        <is>
          <t>BOOK</t>
        </is>
      </c>
      <c r="BE1439" t="inlineStr">
        <is>
          <t>30001000144222</t>
        </is>
      </c>
      <c r="BF1439" t="inlineStr">
        <is>
          <t>893727033</t>
        </is>
      </c>
    </row>
    <row r="1440">
      <c r="A1440" t="inlineStr">
        <is>
          <t>No</t>
        </is>
      </c>
      <c r="B1440" t="inlineStr">
        <is>
          <t>CUHSL</t>
        </is>
      </c>
      <c r="C1440" t="inlineStr">
        <is>
          <t>SHELVES</t>
        </is>
      </c>
      <c r="D1440" t="inlineStr">
        <is>
          <t>WY 152.5 C26717 1988</t>
        </is>
      </c>
      <c r="E1440" t="inlineStr">
        <is>
          <t>0                      WY 0152500C  26717       1988</t>
        </is>
      </c>
      <c r="F1440" t="inlineStr">
        <is>
          <t>Cardiac critical care nursing / edited by Leslie S. Kern.</t>
        </is>
      </c>
      <c r="H1440" t="inlineStr">
        <is>
          <t>No</t>
        </is>
      </c>
      <c r="I1440" t="inlineStr">
        <is>
          <t>1</t>
        </is>
      </c>
      <c r="J1440" t="inlineStr">
        <is>
          <t>No</t>
        </is>
      </c>
      <c r="K1440" t="inlineStr">
        <is>
          <t>No</t>
        </is>
      </c>
      <c r="L1440" t="inlineStr">
        <is>
          <t>0</t>
        </is>
      </c>
      <c r="N1440" t="inlineStr">
        <is>
          <t>Rockville, Md. : Aspen Publishers, c1988.</t>
        </is>
      </c>
      <c r="O1440" t="inlineStr">
        <is>
          <t>1988</t>
        </is>
      </c>
      <c r="Q1440" t="inlineStr">
        <is>
          <t>eng</t>
        </is>
      </c>
      <c r="R1440" t="inlineStr">
        <is>
          <t>xxu</t>
        </is>
      </c>
      <c r="T1440" t="inlineStr">
        <is>
          <t xml:space="preserve">WY </t>
        </is>
      </c>
      <c r="U1440" t="n">
        <v>29</v>
      </c>
      <c r="V1440" t="n">
        <v>29</v>
      </c>
      <c r="W1440" t="inlineStr">
        <is>
          <t>1998-04-20</t>
        </is>
      </c>
      <c r="X1440" t="inlineStr">
        <is>
          <t>1998-04-20</t>
        </is>
      </c>
      <c r="Y1440" t="inlineStr">
        <is>
          <t>1988-04-30</t>
        </is>
      </c>
      <c r="Z1440" t="inlineStr">
        <is>
          <t>1988-04-30</t>
        </is>
      </c>
      <c r="AA1440" t="n">
        <v>171</v>
      </c>
      <c r="AB1440" t="n">
        <v>155</v>
      </c>
      <c r="AC1440" t="n">
        <v>157</v>
      </c>
      <c r="AD1440" t="n">
        <v>1</v>
      </c>
      <c r="AE1440" t="n">
        <v>1</v>
      </c>
      <c r="AF1440" t="n">
        <v>8</v>
      </c>
      <c r="AG1440" t="n">
        <v>8</v>
      </c>
      <c r="AH1440" t="n">
        <v>3</v>
      </c>
      <c r="AI1440" t="n">
        <v>3</v>
      </c>
      <c r="AJ1440" t="n">
        <v>2</v>
      </c>
      <c r="AK1440" t="n">
        <v>2</v>
      </c>
      <c r="AL1440" t="n">
        <v>7</v>
      </c>
      <c r="AM1440" t="n">
        <v>7</v>
      </c>
      <c r="AN1440" t="n">
        <v>0</v>
      </c>
      <c r="AO1440" t="n">
        <v>0</v>
      </c>
      <c r="AP1440" t="n">
        <v>0</v>
      </c>
      <c r="AQ1440" t="n">
        <v>0</v>
      </c>
      <c r="AR1440" t="inlineStr">
        <is>
          <t>No</t>
        </is>
      </c>
      <c r="AS1440" t="inlineStr">
        <is>
          <t>Yes</t>
        </is>
      </c>
      <c r="AT1440">
        <f>HYPERLINK("http://catalog.hathitrust.org/Record/000844723","HathiTrust Record")</f>
        <v/>
      </c>
      <c r="AU1440">
        <f>HYPERLINK("https://creighton-primo.hosted.exlibrisgroup.com/primo-explore/search?tab=default_tab&amp;search_scope=EVERYTHING&amp;vid=01CRU&amp;lang=en_US&amp;offset=0&amp;query=any,contains,991001187019702656","Catalog Record")</f>
        <v/>
      </c>
      <c r="AV1440">
        <f>HYPERLINK("http://www.worldcat.org/oclc/16646523","WorldCat Record")</f>
        <v/>
      </c>
      <c r="AW1440" t="inlineStr">
        <is>
          <t>12795896:eng</t>
        </is>
      </c>
      <c r="AX1440" t="inlineStr">
        <is>
          <t>16646523</t>
        </is>
      </c>
      <c r="AY1440" t="inlineStr">
        <is>
          <t>991001187019702656</t>
        </is>
      </c>
      <c r="AZ1440" t="inlineStr">
        <is>
          <t>991001187019702656</t>
        </is>
      </c>
      <c r="BA1440" t="inlineStr">
        <is>
          <t>2260299720002656</t>
        </is>
      </c>
      <c r="BB1440" t="inlineStr">
        <is>
          <t>BOOK</t>
        </is>
      </c>
      <c r="BD1440" t="inlineStr">
        <is>
          <t>9780871898807</t>
        </is>
      </c>
      <c r="BE1440" t="inlineStr">
        <is>
          <t>30001000978355</t>
        </is>
      </c>
      <c r="BF1440" t="inlineStr">
        <is>
          <t>893821028</t>
        </is>
      </c>
    </row>
    <row r="1441">
      <c r="A1441" t="inlineStr">
        <is>
          <t>No</t>
        </is>
      </c>
      <c r="B1441" t="inlineStr">
        <is>
          <t>CUHSL</t>
        </is>
      </c>
      <c r="C1441" t="inlineStr">
        <is>
          <t>SHELVES</t>
        </is>
      </c>
      <c r="D1441" t="inlineStr">
        <is>
          <t>WY 152.5 C2672 1989</t>
        </is>
      </c>
      <c r="E1441" t="inlineStr">
        <is>
          <t>0                      WY 0152500C  2672        1989</t>
        </is>
      </c>
      <c r="F1441" t="inlineStr">
        <is>
          <t>Cardiac nursing / Sandra L. Underhill ... [et al.] ; with 56 contributors.</t>
        </is>
      </c>
      <c r="H1441" t="inlineStr">
        <is>
          <t>No</t>
        </is>
      </c>
      <c r="I1441" t="inlineStr">
        <is>
          <t>1</t>
        </is>
      </c>
      <c r="J1441" t="inlineStr">
        <is>
          <t>No</t>
        </is>
      </c>
      <c r="K1441" t="inlineStr">
        <is>
          <t>Yes</t>
        </is>
      </c>
      <c r="L1441" t="inlineStr">
        <is>
          <t>0</t>
        </is>
      </c>
      <c r="N1441" t="inlineStr">
        <is>
          <t>Philadelphia : Lippincott, c1989.</t>
        </is>
      </c>
      <c r="O1441" t="inlineStr">
        <is>
          <t>1989</t>
        </is>
      </c>
      <c r="P1441" t="inlineStr">
        <is>
          <t>2nd ed.</t>
        </is>
      </c>
      <c r="Q1441" t="inlineStr">
        <is>
          <t>eng</t>
        </is>
      </c>
      <c r="R1441" t="inlineStr">
        <is>
          <t>pau</t>
        </is>
      </c>
      <c r="T1441" t="inlineStr">
        <is>
          <t xml:space="preserve">WY </t>
        </is>
      </c>
      <c r="U1441" t="n">
        <v>90</v>
      </c>
      <c r="V1441" t="n">
        <v>90</v>
      </c>
      <c r="W1441" t="inlineStr">
        <is>
          <t>2002-03-22</t>
        </is>
      </c>
      <c r="X1441" t="inlineStr">
        <is>
          <t>2002-03-22</t>
        </is>
      </c>
      <c r="Y1441" t="inlineStr">
        <is>
          <t>1992-08-19</t>
        </is>
      </c>
      <c r="Z1441" t="inlineStr">
        <is>
          <t>1992-08-19</t>
        </is>
      </c>
      <c r="AA1441" t="n">
        <v>235</v>
      </c>
      <c r="AB1441" t="n">
        <v>181</v>
      </c>
      <c r="AC1441" t="n">
        <v>1246</v>
      </c>
      <c r="AD1441" t="n">
        <v>2</v>
      </c>
      <c r="AE1441" t="n">
        <v>10</v>
      </c>
      <c r="AF1441" t="n">
        <v>7</v>
      </c>
      <c r="AG1441" t="n">
        <v>41</v>
      </c>
      <c r="AH1441" t="n">
        <v>1</v>
      </c>
      <c r="AI1441" t="n">
        <v>15</v>
      </c>
      <c r="AJ1441" t="n">
        <v>2</v>
      </c>
      <c r="AK1441" t="n">
        <v>10</v>
      </c>
      <c r="AL1441" t="n">
        <v>4</v>
      </c>
      <c r="AM1441" t="n">
        <v>14</v>
      </c>
      <c r="AN1441" t="n">
        <v>1</v>
      </c>
      <c r="AO1441" t="n">
        <v>8</v>
      </c>
      <c r="AP1441" t="n">
        <v>0</v>
      </c>
      <c r="AQ1441" t="n">
        <v>1</v>
      </c>
      <c r="AR1441" t="inlineStr">
        <is>
          <t>No</t>
        </is>
      </c>
      <c r="AS1441" t="inlineStr">
        <is>
          <t>No</t>
        </is>
      </c>
      <c r="AU1441">
        <f>HYPERLINK("https://creighton-primo.hosted.exlibrisgroup.com/primo-explore/search?tab=default_tab&amp;search_scope=EVERYTHING&amp;vid=01CRU&amp;lang=en_US&amp;offset=0&amp;query=any,contains,991001340059702656","Catalog Record")</f>
        <v/>
      </c>
      <c r="AV1441">
        <f>HYPERLINK("http://www.worldcat.org/oclc/19324356","WorldCat Record")</f>
        <v/>
      </c>
      <c r="AW1441" t="inlineStr">
        <is>
          <t>1078055486:eng</t>
        </is>
      </c>
      <c r="AX1441" t="inlineStr">
        <is>
          <t>19324356</t>
        </is>
      </c>
      <c r="AY1441" t="inlineStr">
        <is>
          <t>991001340059702656</t>
        </is>
      </c>
      <c r="AZ1441" t="inlineStr">
        <is>
          <t>991001340059702656</t>
        </is>
      </c>
      <c r="BA1441" t="inlineStr">
        <is>
          <t>2268145470002656</t>
        </is>
      </c>
      <c r="BB1441" t="inlineStr">
        <is>
          <t>BOOK</t>
        </is>
      </c>
      <c r="BD1441" t="inlineStr">
        <is>
          <t>9780397546480</t>
        </is>
      </c>
      <c r="BE1441" t="inlineStr">
        <is>
          <t>30001002455287</t>
        </is>
      </c>
      <c r="BF1441" t="inlineStr">
        <is>
          <t>893161905</t>
        </is>
      </c>
    </row>
    <row r="1442">
      <c r="A1442" t="inlineStr">
        <is>
          <t>No</t>
        </is>
      </c>
      <c r="B1442" t="inlineStr">
        <is>
          <t>CUHSL</t>
        </is>
      </c>
      <c r="C1442" t="inlineStr">
        <is>
          <t>SHELVES</t>
        </is>
      </c>
      <c r="D1442" t="inlineStr">
        <is>
          <t>WY 152.5 C2672 2005</t>
        </is>
      </c>
      <c r="E1442" t="inlineStr">
        <is>
          <t>0                      WY 0152500C  2672        2005</t>
        </is>
      </c>
      <c r="F1442" t="inlineStr">
        <is>
          <t>Cardiac nursing / [edited by] Susan L. Woods ... [et al.].</t>
        </is>
      </c>
      <c r="H1442" t="inlineStr">
        <is>
          <t>No</t>
        </is>
      </c>
      <c r="I1442" t="inlineStr">
        <is>
          <t>1</t>
        </is>
      </c>
      <c r="J1442" t="inlineStr">
        <is>
          <t>No</t>
        </is>
      </c>
      <c r="K1442" t="inlineStr">
        <is>
          <t>Yes</t>
        </is>
      </c>
      <c r="L1442" t="inlineStr">
        <is>
          <t>0</t>
        </is>
      </c>
      <c r="N1442" t="inlineStr">
        <is>
          <t>Philadelphia : Lippincott Williams &amp; Wilkins, c2005.</t>
        </is>
      </c>
      <c r="O1442" t="inlineStr">
        <is>
          <t>2005</t>
        </is>
      </c>
      <c r="P1442" t="inlineStr">
        <is>
          <t>5th ed.</t>
        </is>
      </c>
      <c r="Q1442" t="inlineStr">
        <is>
          <t>eng</t>
        </is>
      </c>
      <c r="R1442" t="inlineStr">
        <is>
          <t>pau</t>
        </is>
      </c>
      <c r="T1442" t="inlineStr">
        <is>
          <t xml:space="preserve">WY </t>
        </is>
      </c>
      <c r="U1442" t="n">
        <v>2</v>
      </c>
      <c r="V1442" t="n">
        <v>2</v>
      </c>
      <c r="W1442" t="inlineStr">
        <is>
          <t>2010-08-30</t>
        </is>
      </c>
      <c r="X1442" t="inlineStr">
        <is>
          <t>2010-08-30</t>
        </is>
      </c>
      <c r="Y1442" t="inlineStr">
        <is>
          <t>2005-11-09</t>
        </is>
      </c>
      <c r="Z1442" t="inlineStr">
        <is>
          <t>2005-11-09</t>
        </is>
      </c>
      <c r="AA1442" t="n">
        <v>443</v>
      </c>
      <c r="AB1442" t="n">
        <v>307</v>
      </c>
      <c r="AC1442" t="n">
        <v>1246</v>
      </c>
      <c r="AD1442" t="n">
        <v>0</v>
      </c>
      <c r="AE1442" t="n">
        <v>10</v>
      </c>
      <c r="AF1442" t="n">
        <v>10</v>
      </c>
      <c r="AG1442" t="n">
        <v>41</v>
      </c>
      <c r="AH1442" t="n">
        <v>4</v>
      </c>
      <c r="AI1442" t="n">
        <v>15</v>
      </c>
      <c r="AJ1442" t="n">
        <v>3</v>
      </c>
      <c r="AK1442" t="n">
        <v>10</v>
      </c>
      <c r="AL1442" t="n">
        <v>6</v>
      </c>
      <c r="AM1442" t="n">
        <v>14</v>
      </c>
      <c r="AN1442" t="n">
        <v>0</v>
      </c>
      <c r="AO1442" t="n">
        <v>8</v>
      </c>
      <c r="AP1442" t="n">
        <v>0</v>
      </c>
      <c r="AQ1442" t="n">
        <v>1</v>
      </c>
      <c r="AR1442" t="inlineStr">
        <is>
          <t>No</t>
        </is>
      </c>
      <c r="AS1442" t="inlineStr">
        <is>
          <t>No</t>
        </is>
      </c>
      <c r="AU1442">
        <f>HYPERLINK("https://creighton-primo.hosted.exlibrisgroup.com/primo-explore/search?tab=default_tab&amp;search_scope=EVERYTHING&amp;vid=01CRU&amp;lang=en_US&amp;offset=0&amp;query=any,contains,991001735659702656","Catalog Record")</f>
        <v/>
      </c>
      <c r="AV1442">
        <f>HYPERLINK("http://www.worldcat.org/oclc/55138520","WorldCat Record")</f>
        <v/>
      </c>
      <c r="AW1442" t="inlineStr">
        <is>
          <t>1078055486:eng</t>
        </is>
      </c>
      <c r="AX1442" t="inlineStr">
        <is>
          <t>55138520</t>
        </is>
      </c>
      <c r="AY1442" t="inlineStr">
        <is>
          <t>991001735659702656</t>
        </is>
      </c>
      <c r="AZ1442" t="inlineStr">
        <is>
          <t>991001735659702656</t>
        </is>
      </c>
      <c r="BA1442" t="inlineStr">
        <is>
          <t>2263983190002656</t>
        </is>
      </c>
      <c r="BB1442" t="inlineStr">
        <is>
          <t>BOOK</t>
        </is>
      </c>
      <c r="BD1442" t="inlineStr">
        <is>
          <t>9780781747189</t>
        </is>
      </c>
      <c r="BE1442" t="inlineStr">
        <is>
          <t>30001004911329</t>
        </is>
      </c>
      <c r="BF1442" t="inlineStr">
        <is>
          <t>893727861</t>
        </is>
      </c>
    </row>
    <row r="1443">
      <c r="A1443" t="inlineStr">
        <is>
          <t>No</t>
        </is>
      </c>
      <c r="B1443" t="inlineStr">
        <is>
          <t>CUHSL</t>
        </is>
      </c>
      <c r="C1443" t="inlineStr">
        <is>
          <t>SHELVES</t>
        </is>
      </c>
      <c r="D1443" t="inlineStr">
        <is>
          <t>WY 152.5 C26724 1991</t>
        </is>
      </c>
      <c r="E1443" t="inlineStr">
        <is>
          <t>0                      WY 0152500C  26724       1991</t>
        </is>
      </c>
      <c r="F1443" t="inlineStr">
        <is>
          <t>Cardiac nursing : a clinical management and patient care resource / edited by Sue Wingate.</t>
        </is>
      </c>
      <c r="H1443" t="inlineStr">
        <is>
          <t>No</t>
        </is>
      </c>
      <c r="I1443" t="inlineStr">
        <is>
          <t>1</t>
        </is>
      </c>
      <c r="J1443" t="inlineStr">
        <is>
          <t>No</t>
        </is>
      </c>
      <c r="K1443" t="inlineStr">
        <is>
          <t>No</t>
        </is>
      </c>
      <c r="L1443" t="inlineStr">
        <is>
          <t>0</t>
        </is>
      </c>
      <c r="N1443" t="inlineStr">
        <is>
          <t>Gaithersburg, Md. : Aspen Publishers, c1991.</t>
        </is>
      </c>
      <c r="O1443" t="inlineStr">
        <is>
          <t>1991</t>
        </is>
      </c>
      <c r="Q1443" t="inlineStr">
        <is>
          <t>eng</t>
        </is>
      </c>
      <c r="R1443" t="inlineStr">
        <is>
          <t>mdu</t>
        </is>
      </c>
      <c r="T1443" t="inlineStr">
        <is>
          <t xml:space="preserve">WY </t>
        </is>
      </c>
      <c r="U1443" t="n">
        <v>14</v>
      </c>
      <c r="V1443" t="n">
        <v>14</v>
      </c>
      <c r="W1443" t="inlineStr">
        <is>
          <t>1996-02-20</t>
        </is>
      </c>
      <c r="X1443" t="inlineStr">
        <is>
          <t>1996-02-20</t>
        </is>
      </c>
      <c r="Y1443" t="inlineStr">
        <is>
          <t>1991-09-17</t>
        </is>
      </c>
      <c r="Z1443" t="inlineStr">
        <is>
          <t>1991-09-17</t>
        </is>
      </c>
      <c r="AA1443" t="n">
        <v>181</v>
      </c>
      <c r="AB1443" t="n">
        <v>160</v>
      </c>
      <c r="AC1443" t="n">
        <v>167</v>
      </c>
      <c r="AD1443" t="n">
        <v>2</v>
      </c>
      <c r="AE1443" t="n">
        <v>2</v>
      </c>
      <c r="AF1443" t="n">
        <v>11</v>
      </c>
      <c r="AG1443" t="n">
        <v>11</v>
      </c>
      <c r="AH1443" t="n">
        <v>5</v>
      </c>
      <c r="AI1443" t="n">
        <v>5</v>
      </c>
      <c r="AJ1443" t="n">
        <v>2</v>
      </c>
      <c r="AK1443" t="n">
        <v>2</v>
      </c>
      <c r="AL1443" t="n">
        <v>8</v>
      </c>
      <c r="AM1443" t="n">
        <v>8</v>
      </c>
      <c r="AN1443" t="n">
        <v>1</v>
      </c>
      <c r="AO1443" t="n">
        <v>1</v>
      </c>
      <c r="AP1443" t="n">
        <v>0</v>
      </c>
      <c r="AQ1443" t="n">
        <v>0</v>
      </c>
      <c r="AR1443" t="inlineStr">
        <is>
          <t>No</t>
        </is>
      </c>
      <c r="AS1443" t="inlineStr">
        <is>
          <t>Yes</t>
        </is>
      </c>
      <c r="AT1443">
        <f>HYPERLINK("http://catalog.hathitrust.org/Record/002441609","HathiTrust Record")</f>
        <v/>
      </c>
      <c r="AU1443">
        <f>HYPERLINK("https://creighton-primo.hosted.exlibrisgroup.com/primo-explore/search?tab=default_tab&amp;search_scope=EVERYTHING&amp;vid=01CRU&amp;lang=en_US&amp;offset=0&amp;query=any,contains,991001014909702656","Catalog Record")</f>
        <v/>
      </c>
      <c r="AV1443">
        <f>HYPERLINK("http://www.worldcat.org/oclc/22706202","WorldCat Record")</f>
        <v/>
      </c>
      <c r="AW1443" t="inlineStr">
        <is>
          <t>23994648:eng</t>
        </is>
      </c>
      <c r="AX1443" t="inlineStr">
        <is>
          <t>22706202</t>
        </is>
      </c>
      <c r="AY1443" t="inlineStr">
        <is>
          <t>991001014909702656</t>
        </is>
      </c>
      <c r="AZ1443" t="inlineStr">
        <is>
          <t>991001014909702656</t>
        </is>
      </c>
      <c r="BA1443" t="inlineStr">
        <is>
          <t>2257533930002656</t>
        </is>
      </c>
      <c r="BB1443" t="inlineStr">
        <is>
          <t>BOOK</t>
        </is>
      </c>
      <c r="BD1443" t="inlineStr">
        <is>
          <t>9780834202016</t>
        </is>
      </c>
      <c r="BE1443" t="inlineStr">
        <is>
          <t>30001002240531</t>
        </is>
      </c>
      <c r="BF1443" t="inlineStr">
        <is>
          <t>893377053</t>
        </is>
      </c>
    </row>
    <row r="1444">
      <c r="A1444" t="inlineStr">
        <is>
          <t>No</t>
        </is>
      </c>
      <c r="B1444" t="inlineStr">
        <is>
          <t>CUHSL</t>
        </is>
      </c>
      <c r="C1444" t="inlineStr">
        <is>
          <t>SHELVES</t>
        </is>
      </c>
      <c r="D1444" t="inlineStr">
        <is>
          <t>WY 152.5 C2673 1980</t>
        </is>
      </c>
      <c r="E1444" t="inlineStr">
        <is>
          <t>0                      WY 0152500C  2673        1980</t>
        </is>
      </c>
      <c r="F1444" t="inlineStr">
        <is>
          <t>Cardiac rehabilitation : implications for the nurse and other allied health professionals / Paul S. Fardy ... [et al.].</t>
        </is>
      </c>
      <c r="H1444" t="inlineStr">
        <is>
          <t>No</t>
        </is>
      </c>
      <c r="I1444" t="inlineStr">
        <is>
          <t>1</t>
        </is>
      </c>
      <c r="J1444" t="inlineStr">
        <is>
          <t>No</t>
        </is>
      </c>
      <c r="K1444" t="inlineStr">
        <is>
          <t>No</t>
        </is>
      </c>
      <c r="L1444" t="inlineStr">
        <is>
          <t>0</t>
        </is>
      </c>
      <c r="N1444" t="inlineStr">
        <is>
          <t>St. Louis : Mosby, 1980.</t>
        </is>
      </c>
      <c r="O1444" t="inlineStr">
        <is>
          <t>1980</t>
        </is>
      </c>
      <c r="Q1444" t="inlineStr">
        <is>
          <t>eng</t>
        </is>
      </c>
      <c r="R1444" t="inlineStr">
        <is>
          <t>xxu</t>
        </is>
      </c>
      <c r="T1444" t="inlineStr">
        <is>
          <t xml:space="preserve">WY </t>
        </is>
      </c>
      <c r="U1444" t="n">
        <v>12</v>
      </c>
      <c r="V1444" t="n">
        <v>12</v>
      </c>
      <c r="W1444" t="inlineStr">
        <is>
          <t>1996-09-14</t>
        </is>
      </c>
      <c r="X1444" t="inlineStr">
        <is>
          <t>1996-09-14</t>
        </is>
      </c>
      <c r="Y1444" t="inlineStr">
        <is>
          <t>1987-12-30</t>
        </is>
      </c>
      <c r="Z1444" t="inlineStr">
        <is>
          <t>1987-12-30</t>
        </is>
      </c>
      <c r="AA1444" t="n">
        <v>199</v>
      </c>
      <c r="AB1444" t="n">
        <v>153</v>
      </c>
      <c r="AC1444" t="n">
        <v>153</v>
      </c>
      <c r="AD1444" t="n">
        <v>3</v>
      </c>
      <c r="AE1444" t="n">
        <v>3</v>
      </c>
      <c r="AF1444" t="n">
        <v>8</v>
      </c>
      <c r="AG1444" t="n">
        <v>8</v>
      </c>
      <c r="AH1444" t="n">
        <v>3</v>
      </c>
      <c r="AI1444" t="n">
        <v>3</v>
      </c>
      <c r="AJ1444" t="n">
        <v>3</v>
      </c>
      <c r="AK1444" t="n">
        <v>3</v>
      </c>
      <c r="AL1444" t="n">
        <v>4</v>
      </c>
      <c r="AM1444" t="n">
        <v>4</v>
      </c>
      <c r="AN1444" t="n">
        <v>2</v>
      </c>
      <c r="AO1444" t="n">
        <v>2</v>
      </c>
      <c r="AP1444" t="n">
        <v>0</v>
      </c>
      <c r="AQ1444" t="n">
        <v>0</v>
      </c>
      <c r="AR1444" t="inlineStr">
        <is>
          <t>No</t>
        </is>
      </c>
      <c r="AS1444" t="inlineStr">
        <is>
          <t>No</t>
        </is>
      </c>
      <c r="AU1444">
        <f>HYPERLINK("https://creighton-primo.hosted.exlibrisgroup.com/primo-explore/search?tab=default_tab&amp;search_scope=EVERYTHING&amp;vid=01CRU&amp;lang=en_US&amp;offset=0&amp;query=any,contains,991001086409702656","Catalog Record")</f>
        <v/>
      </c>
      <c r="AV1444">
        <f>HYPERLINK("http://www.worldcat.org/oclc/6304886","WorldCat Record")</f>
        <v/>
      </c>
      <c r="AW1444" t="inlineStr">
        <is>
          <t>21910724:eng</t>
        </is>
      </c>
      <c r="AX1444" t="inlineStr">
        <is>
          <t>6304886</t>
        </is>
      </c>
      <c r="AY1444" t="inlineStr">
        <is>
          <t>991001086409702656</t>
        </is>
      </c>
      <c r="AZ1444" t="inlineStr">
        <is>
          <t>991001086409702656</t>
        </is>
      </c>
      <c r="BA1444" t="inlineStr">
        <is>
          <t>2267791050002656</t>
        </is>
      </c>
      <c r="BB1444" t="inlineStr">
        <is>
          <t>BOOK</t>
        </is>
      </c>
      <c r="BD1444" t="inlineStr">
        <is>
          <t>9780801616105</t>
        </is>
      </c>
      <c r="BE1444" t="inlineStr">
        <is>
          <t>30001000259566</t>
        </is>
      </c>
      <c r="BF1444" t="inlineStr">
        <is>
          <t>893727227</t>
        </is>
      </c>
    </row>
    <row r="1445">
      <c r="A1445" t="inlineStr">
        <is>
          <t>No</t>
        </is>
      </c>
      <c r="B1445" t="inlineStr">
        <is>
          <t>CUHSL</t>
        </is>
      </c>
      <c r="C1445" t="inlineStr">
        <is>
          <t>SHELVES</t>
        </is>
      </c>
      <c r="D1445" t="inlineStr">
        <is>
          <t>WY 152.5 C552c 1976</t>
        </is>
      </c>
      <c r="E1445" t="inlineStr">
        <is>
          <t>0                      WY 0152500C  552c        1976</t>
        </is>
      </c>
      <c r="F1445" t="inlineStr">
        <is>
          <t>Cardiosurgical nursing care : understandings, concepts, and principles for practice / Rita K. Chow.</t>
        </is>
      </c>
      <c r="H1445" t="inlineStr">
        <is>
          <t>No</t>
        </is>
      </c>
      <c r="I1445" t="inlineStr">
        <is>
          <t>1</t>
        </is>
      </c>
      <c r="J1445" t="inlineStr">
        <is>
          <t>No</t>
        </is>
      </c>
      <c r="K1445" t="inlineStr">
        <is>
          <t>No</t>
        </is>
      </c>
      <c r="L1445" t="inlineStr">
        <is>
          <t>0</t>
        </is>
      </c>
      <c r="M1445" t="inlineStr">
        <is>
          <t>Chow, Rita K.</t>
        </is>
      </c>
      <c r="N1445" t="inlineStr">
        <is>
          <t>New York : Springer Pub. Co., c1976.</t>
        </is>
      </c>
      <c r="O1445" t="inlineStr">
        <is>
          <t>1976</t>
        </is>
      </c>
      <c r="Q1445" t="inlineStr">
        <is>
          <t>eng</t>
        </is>
      </c>
      <c r="R1445" t="inlineStr">
        <is>
          <t>nyu</t>
        </is>
      </c>
      <c r="T1445" t="inlineStr">
        <is>
          <t xml:space="preserve">WY </t>
        </is>
      </c>
      <c r="U1445" t="n">
        <v>2</v>
      </c>
      <c r="V1445" t="n">
        <v>2</v>
      </c>
      <c r="W1445" t="inlineStr">
        <is>
          <t>1997-09-28</t>
        </is>
      </c>
      <c r="X1445" t="inlineStr">
        <is>
          <t>1997-09-28</t>
        </is>
      </c>
      <c r="Y1445" t="inlineStr">
        <is>
          <t>1987-12-21</t>
        </is>
      </c>
      <c r="Z1445" t="inlineStr">
        <is>
          <t>1987-12-21</t>
        </is>
      </c>
      <c r="AA1445" t="n">
        <v>173</v>
      </c>
      <c r="AB1445" t="n">
        <v>155</v>
      </c>
      <c r="AC1445" t="n">
        <v>157</v>
      </c>
      <c r="AD1445" t="n">
        <v>2</v>
      </c>
      <c r="AE1445" t="n">
        <v>2</v>
      </c>
      <c r="AF1445" t="n">
        <v>6</v>
      </c>
      <c r="AG1445" t="n">
        <v>6</v>
      </c>
      <c r="AH1445" t="n">
        <v>1</v>
      </c>
      <c r="AI1445" t="n">
        <v>1</v>
      </c>
      <c r="AJ1445" t="n">
        <v>1</v>
      </c>
      <c r="AK1445" t="n">
        <v>1</v>
      </c>
      <c r="AL1445" t="n">
        <v>4</v>
      </c>
      <c r="AM1445" t="n">
        <v>4</v>
      </c>
      <c r="AN1445" t="n">
        <v>1</v>
      </c>
      <c r="AO1445" t="n">
        <v>1</v>
      </c>
      <c r="AP1445" t="n">
        <v>0</v>
      </c>
      <c r="AQ1445" t="n">
        <v>0</v>
      </c>
      <c r="AR1445" t="inlineStr">
        <is>
          <t>No</t>
        </is>
      </c>
      <c r="AS1445" t="inlineStr">
        <is>
          <t>Yes</t>
        </is>
      </c>
      <c r="AT1445">
        <f>HYPERLINK("http://catalog.hathitrust.org/Record/000045141","HathiTrust Record")</f>
        <v/>
      </c>
      <c r="AU1445">
        <f>HYPERLINK("https://creighton-primo.hosted.exlibrisgroup.com/primo-explore/search?tab=default_tab&amp;search_scope=EVERYTHING&amp;vid=01CRU&amp;lang=en_US&amp;offset=0&amp;query=any,contains,991000865299702656","Catalog Record")</f>
        <v/>
      </c>
      <c r="AV1445">
        <f>HYPERLINK("http://www.worldcat.org/oclc/1529090","WorldCat Record")</f>
        <v/>
      </c>
      <c r="AW1445" t="inlineStr">
        <is>
          <t>2391086:eng</t>
        </is>
      </c>
      <c r="AX1445" t="inlineStr">
        <is>
          <t>1529090</t>
        </is>
      </c>
      <c r="AY1445" t="inlineStr">
        <is>
          <t>991000865299702656</t>
        </is>
      </c>
      <c r="AZ1445" t="inlineStr">
        <is>
          <t>991000865299702656</t>
        </is>
      </c>
      <c r="BA1445" t="inlineStr">
        <is>
          <t>2259653270002656</t>
        </is>
      </c>
      <c r="BB1445" t="inlineStr">
        <is>
          <t>BOOK</t>
        </is>
      </c>
      <c r="BD1445" t="inlineStr">
        <is>
          <t>9780826112330</t>
        </is>
      </c>
      <c r="BE1445" t="inlineStr">
        <is>
          <t>30001000144248</t>
        </is>
      </c>
      <c r="BF1445" t="inlineStr">
        <is>
          <t>893287077</t>
        </is>
      </c>
    </row>
    <row r="1446">
      <c r="A1446" t="inlineStr">
        <is>
          <t>No</t>
        </is>
      </c>
      <c r="B1446" t="inlineStr">
        <is>
          <t>CUHSL</t>
        </is>
      </c>
      <c r="C1446" t="inlineStr">
        <is>
          <t>SHELVES</t>
        </is>
      </c>
      <c r="D1446" t="inlineStr">
        <is>
          <t>WY 152.5 C729 1978</t>
        </is>
      </c>
      <c r="E1446" t="inlineStr">
        <is>
          <t>0                      WY 0152500C  729         1978</t>
        </is>
      </c>
      <c r="F1446" t="inlineStr">
        <is>
          <t>Combatting cardiovascular diseases skillfully.</t>
        </is>
      </c>
      <c r="H1446" t="inlineStr">
        <is>
          <t>No</t>
        </is>
      </c>
      <c r="I1446" t="inlineStr">
        <is>
          <t>1</t>
        </is>
      </c>
      <c r="J1446" t="inlineStr">
        <is>
          <t>No</t>
        </is>
      </c>
      <c r="K1446" t="inlineStr">
        <is>
          <t>No</t>
        </is>
      </c>
      <c r="L1446" t="inlineStr">
        <is>
          <t>0</t>
        </is>
      </c>
      <c r="N1446" t="inlineStr">
        <is>
          <t>Horsham, Pa. : Intermed Communications, c1978.</t>
        </is>
      </c>
      <c r="O1446" t="inlineStr">
        <is>
          <t>1978</t>
        </is>
      </c>
      <c r="Q1446" t="inlineStr">
        <is>
          <t>eng</t>
        </is>
      </c>
      <c r="R1446" t="inlineStr">
        <is>
          <t>pau</t>
        </is>
      </c>
      <c r="S1446" t="inlineStr">
        <is>
          <t>Nursing skillbook</t>
        </is>
      </c>
      <c r="T1446" t="inlineStr">
        <is>
          <t xml:space="preserve">WY </t>
        </is>
      </c>
      <c r="U1446" t="n">
        <v>1</v>
      </c>
      <c r="V1446" t="n">
        <v>1</v>
      </c>
      <c r="W1446" t="inlineStr">
        <is>
          <t>1993-01-18</t>
        </is>
      </c>
      <c r="X1446" t="inlineStr">
        <is>
          <t>1993-01-18</t>
        </is>
      </c>
      <c r="Y1446" t="inlineStr">
        <is>
          <t>1987-12-21</t>
        </is>
      </c>
      <c r="Z1446" t="inlineStr">
        <is>
          <t>1987-12-21</t>
        </is>
      </c>
      <c r="AA1446" t="n">
        <v>193</v>
      </c>
      <c r="AB1446" t="n">
        <v>166</v>
      </c>
      <c r="AC1446" t="n">
        <v>355</v>
      </c>
      <c r="AD1446" t="n">
        <v>1</v>
      </c>
      <c r="AE1446" t="n">
        <v>2</v>
      </c>
      <c r="AF1446" t="n">
        <v>4</v>
      </c>
      <c r="AG1446" t="n">
        <v>7</v>
      </c>
      <c r="AH1446" t="n">
        <v>1</v>
      </c>
      <c r="AI1446" t="n">
        <v>3</v>
      </c>
      <c r="AJ1446" t="n">
        <v>1</v>
      </c>
      <c r="AK1446" t="n">
        <v>1</v>
      </c>
      <c r="AL1446" t="n">
        <v>3</v>
      </c>
      <c r="AM1446" t="n">
        <v>5</v>
      </c>
      <c r="AN1446" t="n">
        <v>0</v>
      </c>
      <c r="AO1446" t="n">
        <v>1</v>
      </c>
      <c r="AP1446" t="n">
        <v>0</v>
      </c>
      <c r="AQ1446" t="n">
        <v>0</v>
      </c>
      <c r="AR1446" t="inlineStr">
        <is>
          <t>No</t>
        </is>
      </c>
      <c r="AS1446" t="inlineStr">
        <is>
          <t>No</t>
        </is>
      </c>
      <c r="AU1446">
        <f>HYPERLINK("https://creighton-primo.hosted.exlibrisgroup.com/primo-explore/search?tab=default_tab&amp;search_scope=EVERYTHING&amp;vid=01CRU&amp;lang=en_US&amp;offset=0&amp;query=any,contains,991000865339702656","Catalog Record")</f>
        <v/>
      </c>
      <c r="AV1446">
        <f>HYPERLINK("http://www.worldcat.org/oclc/4476610","WorldCat Record")</f>
        <v/>
      </c>
      <c r="AW1446" t="inlineStr">
        <is>
          <t>54641999:eng</t>
        </is>
      </c>
      <c r="AX1446" t="inlineStr">
        <is>
          <t>4476610</t>
        </is>
      </c>
      <c r="AY1446" t="inlineStr">
        <is>
          <t>991000865339702656</t>
        </is>
      </c>
      <c r="AZ1446" t="inlineStr">
        <is>
          <t>991000865339702656</t>
        </is>
      </c>
      <c r="BA1446" t="inlineStr">
        <is>
          <t>2270092780002656</t>
        </is>
      </c>
      <c r="BB1446" t="inlineStr">
        <is>
          <t>BOOK</t>
        </is>
      </c>
      <c r="BD1446" t="inlineStr">
        <is>
          <t>9780916730116</t>
        </is>
      </c>
      <c r="BE1446" t="inlineStr">
        <is>
          <t>30001000144255</t>
        </is>
      </c>
      <c r="BF1446" t="inlineStr">
        <is>
          <t>893273419</t>
        </is>
      </c>
    </row>
    <row r="1447">
      <c r="A1447" t="inlineStr">
        <is>
          <t>No</t>
        </is>
      </c>
      <c r="B1447" t="inlineStr">
        <is>
          <t>CUHSL</t>
        </is>
      </c>
      <c r="C1447" t="inlineStr">
        <is>
          <t>SHELVES</t>
        </is>
      </c>
      <c r="D1447" t="inlineStr">
        <is>
          <t>WY 152.5 C735c 1979</t>
        </is>
      </c>
      <c r="E1447" t="inlineStr">
        <is>
          <t>0                      WY 0152500C  735c        1979</t>
        </is>
      </c>
      <c r="F1447" t="inlineStr">
        <is>
          <t>Cardiac rehabilitation : a comprehensive nursing approach / Patricia McCall Comoss, E. Ann Smith Burke, Susan Herr Swails.</t>
        </is>
      </c>
      <c r="H1447" t="inlineStr">
        <is>
          <t>No</t>
        </is>
      </c>
      <c r="I1447" t="inlineStr">
        <is>
          <t>1</t>
        </is>
      </c>
      <c r="J1447" t="inlineStr">
        <is>
          <t>No</t>
        </is>
      </c>
      <c r="K1447" t="inlineStr">
        <is>
          <t>No</t>
        </is>
      </c>
      <c r="L1447" t="inlineStr">
        <is>
          <t>0</t>
        </is>
      </c>
      <c r="M1447" t="inlineStr">
        <is>
          <t>Comoss, Patricia McCall.</t>
        </is>
      </c>
      <c r="N1447" t="inlineStr">
        <is>
          <t>Philadelphia : Lippincott, c1979.</t>
        </is>
      </c>
      <c r="O1447" t="inlineStr">
        <is>
          <t>1979</t>
        </is>
      </c>
      <c r="Q1447" t="inlineStr">
        <is>
          <t>eng</t>
        </is>
      </c>
      <c r="R1447" t="inlineStr">
        <is>
          <t>pau</t>
        </is>
      </c>
      <c r="T1447" t="inlineStr">
        <is>
          <t xml:space="preserve">WY </t>
        </is>
      </c>
      <c r="U1447" t="n">
        <v>7</v>
      </c>
      <c r="V1447" t="n">
        <v>7</v>
      </c>
      <c r="W1447" t="inlineStr">
        <is>
          <t>1996-09-14</t>
        </is>
      </c>
      <c r="X1447" t="inlineStr">
        <is>
          <t>1996-09-14</t>
        </is>
      </c>
      <c r="Y1447" t="inlineStr">
        <is>
          <t>1987-12-21</t>
        </is>
      </c>
      <c r="Z1447" t="inlineStr">
        <is>
          <t>1987-12-21</t>
        </is>
      </c>
      <c r="AA1447" t="n">
        <v>199</v>
      </c>
      <c r="AB1447" t="n">
        <v>173</v>
      </c>
      <c r="AC1447" t="n">
        <v>175</v>
      </c>
      <c r="AD1447" t="n">
        <v>3</v>
      </c>
      <c r="AE1447" t="n">
        <v>3</v>
      </c>
      <c r="AF1447" t="n">
        <v>8</v>
      </c>
      <c r="AG1447" t="n">
        <v>8</v>
      </c>
      <c r="AH1447" t="n">
        <v>1</v>
      </c>
      <c r="AI1447" t="n">
        <v>1</v>
      </c>
      <c r="AJ1447" t="n">
        <v>2</v>
      </c>
      <c r="AK1447" t="n">
        <v>2</v>
      </c>
      <c r="AL1447" t="n">
        <v>5</v>
      </c>
      <c r="AM1447" t="n">
        <v>5</v>
      </c>
      <c r="AN1447" t="n">
        <v>2</v>
      </c>
      <c r="AO1447" t="n">
        <v>2</v>
      </c>
      <c r="AP1447" t="n">
        <v>0</v>
      </c>
      <c r="AQ1447" t="n">
        <v>0</v>
      </c>
      <c r="AR1447" t="inlineStr">
        <is>
          <t>No</t>
        </is>
      </c>
      <c r="AS1447" t="inlineStr">
        <is>
          <t>Yes</t>
        </is>
      </c>
      <c r="AT1447">
        <f>HYPERLINK("http://catalog.hathitrust.org/Record/000686807","HathiTrust Record")</f>
        <v/>
      </c>
      <c r="AU1447">
        <f>HYPERLINK("https://creighton-primo.hosted.exlibrisgroup.com/primo-explore/search?tab=default_tab&amp;search_scope=EVERYTHING&amp;vid=01CRU&amp;lang=en_US&amp;offset=0&amp;query=any,contains,991000865379702656","Catalog Record")</f>
        <v/>
      </c>
      <c r="AV1447">
        <f>HYPERLINK("http://www.worldcat.org/oclc/4933464","WorldCat Record")</f>
        <v/>
      </c>
      <c r="AW1447" t="inlineStr">
        <is>
          <t>363447833:eng</t>
        </is>
      </c>
      <c r="AX1447" t="inlineStr">
        <is>
          <t>4933464</t>
        </is>
      </c>
      <c r="AY1447" t="inlineStr">
        <is>
          <t>991000865379702656</t>
        </is>
      </c>
      <c r="AZ1447" t="inlineStr">
        <is>
          <t>991000865379702656</t>
        </is>
      </c>
      <c r="BA1447" t="inlineStr">
        <is>
          <t>2269186640002656</t>
        </is>
      </c>
      <c r="BB1447" t="inlineStr">
        <is>
          <t>BOOK</t>
        </is>
      </c>
      <c r="BD1447" t="inlineStr">
        <is>
          <t>9780397543229</t>
        </is>
      </c>
      <c r="BE1447" t="inlineStr">
        <is>
          <t>30001000144263</t>
        </is>
      </c>
      <c r="BF1447" t="inlineStr">
        <is>
          <t>893546155</t>
        </is>
      </c>
    </row>
    <row r="1448">
      <c r="A1448" t="inlineStr">
        <is>
          <t>No</t>
        </is>
      </c>
      <c r="B1448" t="inlineStr">
        <is>
          <t>CUHSL</t>
        </is>
      </c>
      <c r="C1448" t="inlineStr">
        <is>
          <t>SHELVES</t>
        </is>
      </c>
      <c r="D1448" t="inlineStr">
        <is>
          <t>WY 152.5 C737 1996</t>
        </is>
      </c>
      <c r="E1448" t="inlineStr">
        <is>
          <t>0                      WY 0152500C  737         1996</t>
        </is>
      </c>
      <c r="F1448" t="inlineStr">
        <is>
          <t>Andreoli's comprehensive cardiac care.</t>
        </is>
      </c>
      <c r="H1448" t="inlineStr">
        <is>
          <t>No</t>
        </is>
      </c>
      <c r="I1448" t="inlineStr">
        <is>
          <t>1</t>
        </is>
      </c>
      <c r="J1448" t="inlineStr">
        <is>
          <t>No</t>
        </is>
      </c>
      <c r="K1448" t="inlineStr">
        <is>
          <t>No</t>
        </is>
      </c>
      <c r="L1448" t="inlineStr">
        <is>
          <t>0</t>
        </is>
      </c>
      <c r="N1448" t="inlineStr">
        <is>
          <t>St. Louis : Mosby, c1996.</t>
        </is>
      </c>
      <c r="O1448" t="inlineStr">
        <is>
          <t>1996</t>
        </is>
      </c>
      <c r="P1448" t="inlineStr">
        <is>
          <t>8th ed. / edited by Marguerite R. Kinney, Donna R. Packa.</t>
        </is>
      </c>
      <c r="Q1448" t="inlineStr">
        <is>
          <t>eng</t>
        </is>
      </c>
      <c r="R1448" t="inlineStr">
        <is>
          <t>mou</t>
        </is>
      </c>
      <c r="T1448" t="inlineStr">
        <is>
          <t xml:space="preserve">WY </t>
        </is>
      </c>
      <c r="U1448" t="n">
        <v>7</v>
      </c>
      <c r="V1448" t="n">
        <v>7</v>
      </c>
      <c r="W1448" t="inlineStr">
        <is>
          <t>1998-04-20</t>
        </is>
      </c>
      <c r="X1448" t="inlineStr">
        <is>
          <t>1998-04-20</t>
        </is>
      </c>
      <c r="Y1448" t="inlineStr">
        <is>
          <t>1996-06-24</t>
        </is>
      </c>
      <c r="Z1448" t="inlineStr">
        <is>
          <t>1996-06-24</t>
        </is>
      </c>
      <c r="AA1448" t="n">
        <v>469</v>
      </c>
      <c r="AB1448" t="n">
        <v>386</v>
      </c>
      <c r="AC1448" t="n">
        <v>393</v>
      </c>
      <c r="AD1448" t="n">
        <v>3</v>
      </c>
      <c r="AE1448" t="n">
        <v>3</v>
      </c>
      <c r="AF1448" t="n">
        <v>13</v>
      </c>
      <c r="AG1448" t="n">
        <v>13</v>
      </c>
      <c r="AH1448" t="n">
        <v>5</v>
      </c>
      <c r="AI1448" t="n">
        <v>5</v>
      </c>
      <c r="AJ1448" t="n">
        <v>3</v>
      </c>
      <c r="AK1448" t="n">
        <v>3</v>
      </c>
      <c r="AL1448" t="n">
        <v>8</v>
      </c>
      <c r="AM1448" t="n">
        <v>8</v>
      </c>
      <c r="AN1448" t="n">
        <v>0</v>
      </c>
      <c r="AO1448" t="n">
        <v>0</v>
      </c>
      <c r="AP1448" t="n">
        <v>0</v>
      </c>
      <c r="AQ1448" t="n">
        <v>0</v>
      </c>
      <c r="AR1448" t="inlineStr">
        <is>
          <t>No</t>
        </is>
      </c>
      <c r="AS1448" t="inlineStr">
        <is>
          <t>Yes</t>
        </is>
      </c>
      <c r="AT1448">
        <f>HYPERLINK("http://catalog.hathitrust.org/Record/002999690","HathiTrust Record")</f>
        <v/>
      </c>
      <c r="AU1448">
        <f>HYPERLINK("https://creighton-primo.hosted.exlibrisgroup.com/primo-explore/search?tab=default_tab&amp;search_scope=EVERYTHING&amp;vid=01CRU&amp;lang=en_US&amp;offset=0&amp;query=any,contains,991000833359702656","Catalog Record")</f>
        <v/>
      </c>
      <c r="AV1448">
        <f>HYPERLINK("http://www.worldcat.org/oclc/32590775","WorldCat Record")</f>
        <v/>
      </c>
      <c r="AW1448" t="inlineStr">
        <is>
          <t>3863820456:eng</t>
        </is>
      </c>
      <c r="AX1448" t="inlineStr">
        <is>
          <t>32590775</t>
        </is>
      </c>
      <c r="AY1448" t="inlineStr">
        <is>
          <t>991000833359702656</t>
        </is>
      </c>
      <c r="AZ1448" t="inlineStr">
        <is>
          <t>991000833359702656</t>
        </is>
      </c>
      <c r="BA1448" t="inlineStr">
        <is>
          <t>2272061970002656</t>
        </is>
      </c>
      <c r="BB1448" t="inlineStr">
        <is>
          <t>BOOK</t>
        </is>
      </c>
      <c r="BD1448" t="inlineStr">
        <is>
          <t>9780801678844</t>
        </is>
      </c>
      <c r="BE1448" t="inlineStr">
        <is>
          <t>30001003440197</t>
        </is>
      </c>
      <c r="BF1448" t="inlineStr">
        <is>
          <t>893273367</t>
        </is>
      </c>
    </row>
    <row r="1449">
      <c r="A1449" t="inlineStr">
        <is>
          <t>No</t>
        </is>
      </c>
      <c r="B1449" t="inlineStr">
        <is>
          <t>CUHSL</t>
        </is>
      </c>
      <c r="C1449" t="inlineStr">
        <is>
          <t>SHELVES</t>
        </is>
      </c>
      <c r="D1449" t="inlineStr">
        <is>
          <t>WY 152.5 G297n 1985</t>
        </is>
      </c>
      <c r="E1449" t="inlineStr">
        <is>
          <t>0                      WY 0152500G  297n        1985</t>
        </is>
      </c>
      <c r="F1449" t="inlineStr">
        <is>
          <t>Nursing care of the stroke patient : a therapeutic approach, based on Bobath principles / Zena L. Gee, Phyllis M. Passarella.</t>
        </is>
      </c>
      <c r="H1449" t="inlineStr">
        <is>
          <t>No</t>
        </is>
      </c>
      <c r="I1449" t="inlineStr">
        <is>
          <t>1</t>
        </is>
      </c>
      <c r="J1449" t="inlineStr">
        <is>
          <t>No</t>
        </is>
      </c>
      <c r="K1449" t="inlineStr">
        <is>
          <t>No</t>
        </is>
      </c>
      <c r="L1449" t="inlineStr">
        <is>
          <t>0</t>
        </is>
      </c>
      <c r="M1449" t="inlineStr">
        <is>
          <t>Gee, Zena L.</t>
        </is>
      </c>
      <c r="N1449" t="inlineStr">
        <is>
          <t>Pittsburgh, PA : AREN-Publications, c1985.</t>
        </is>
      </c>
      <c r="O1449" t="inlineStr">
        <is>
          <t>1985</t>
        </is>
      </c>
      <c r="Q1449" t="inlineStr">
        <is>
          <t>eng</t>
        </is>
      </c>
      <c r="R1449" t="inlineStr">
        <is>
          <t>pau</t>
        </is>
      </c>
      <c r="T1449" t="inlineStr">
        <is>
          <t xml:space="preserve">WY </t>
        </is>
      </c>
      <c r="U1449" t="n">
        <v>5</v>
      </c>
      <c r="V1449" t="n">
        <v>5</v>
      </c>
      <c r="W1449" t="inlineStr">
        <is>
          <t>1997-02-27</t>
        </is>
      </c>
      <c r="X1449" t="inlineStr">
        <is>
          <t>1997-02-27</t>
        </is>
      </c>
      <c r="Y1449" t="inlineStr">
        <is>
          <t>1987-10-23</t>
        </is>
      </c>
      <c r="Z1449" t="inlineStr">
        <is>
          <t>1987-10-23</t>
        </is>
      </c>
      <c r="AA1449" t="n">
        <v>50</v>
      </c>
      <c r="AB1449" t="n">
        <v>43</v>
      </c>
      <c r="AC1449" t="n">
        <v>48</v>
      </c>
      <c r="AD1449" t="n">
        <v>1</v>
      </c>
      <c r="AE1449" t="n">
        <v>1</v>
      </c>
      <c r="AF1449" t="n">
        <v>2</v>
      </c>
      <c r="AG1449" t="n">
        <v>2</v>
      </c>
      <c r="AH1449" t="n">
        <v>1</v>
      </c>
      <c r="AI1449" t="n">
        <v>1</v>
      </c>
      <c r="AJ1449" t="n">
        <v>1</v>
      </c>
      <c r="AK1449" t="n">
        <v>1</v>
      </c>
      <c r="AL1449" t="n">
        <v>1</v>
      </c>
      <c r="AM1449" t="n">
        <v>1</v>
      </c>
      <c r="AN1449" t="n">
        <v>0</v>
      </c>
      <c r="AO1449" t="n">
        <v>0</v>
      </c>
      <c r="AP1449" t="n">
        <v>0</v>
      </c>
      <c r="AQ1449" t="n">
        <v>0</v>
      </c>
      <c r="AR1449" t="inlineStr">
        <is>
          <t>No</t>
        </is>
      </c>
      <c r="AS1449" t="inlineStr">
        <is>
          <t>No</t>
        </is>
      </c>
      <c r="AU1449">
        <f>HYPERLINK("https://creighton-primo.hosted.exlibrisgroup.com/primo-explore/search?tab=default_tab&amp;search_scope=EVERYTHING&amp;vid=01CRU&amp;lang=en_US&amp;offset=0&amp;query=any,contains,991000734049702656","Catalog Record")</f>
        <v/>
      </c>
      <c r="AV1449">
        <f>HYPERLINK("http://www.worldcat.org/oclc/13062108","WorldCat Record")</f>
        <v/>
      </c>
      <c r="AW1449" t="inlineStr">
        <is>
          <t>934503638:eng</t>
        </is>
      </c>
      <c r="AX1449" t="inlineStr">
        <is>
          <t>13062108</t>
        </is>
      </c>
      <c r="AY1449" t="inlineStr">
        <is>
          <t>991000734049702656</t>
        </is>
      </c>
      <c r="AZ1449" t="inlineStr">
        <is>
          <t>991000734049702656</t>
        </is>
      </c>
      <c r="BA1449" t="inlineStr">
        <is>
          <t>2259078330002656</t>
        </is>
      </c>
      <c r="BB1449" t="inlineStr">
        <is>
          <t>BOOK</t>
        </is>
      </c>
      <c r="BE1449" t="inlineStr">
        <is>
          <t>30001000041048</t>
        </is>
      </c>
      <c r="BF1449" t="inlineStr">
        <is>
          <t>893357449</t>
        </is>
      </c>
    </row>
    <row r="1450">
      <c r="A1450" t="inlineStr">
        <is>
          <t>No</t>
        </is>
      </c>
      <c r="B1450" t="inlineStr">
        <is>
          <t>CUHSL</t>
        </is>
      </c>
      <c r="C1450" t="inlineStr">
        <is>
          <t>SHELVES</t>
        </is>
      </c>
      <c r="D1450" t="inlineStr">
        <is>
          <t>WY 152.5 H222d</t>
        </is>
      </c>
      <c r="E1450" t="inlineStr">
        <is>
          <t>0                      WY 0152500H  222d</t>
        </is>
      </c>
      <c r="F1450" t="inlineStr">
        <is>
          <t>Decision making in the coronary care unit / William P. Hamilton, Mary Ann Lavin.</t>
        </is>
      </c>
      <c r="H1450" t="inlineStr">
        <is>
          <t>No</t>
        </is>
      </c>
      <c r="I1450" t="inlineStr">
        <is>
          <t>1</t>
        </is>
      </c>
      <c r="J1450" t="inlineStr">
        <is>
          <t>No</t>
        </is>
      </c>
      <c r="K1450" t="inlineStr">
        <is>
          <t>No</t>
        </is>
      </c>
      <c r="L1450" t="inlineStr">
        <is>
          <t>0</t>
        </is>
      </c>
      <c r="M1450" t="inlineStr">
        <is>
          <t>Hamilton, William P., 1936-</t>
        </is>
      </c>
      <c r="N1450" t="inlineStr">
        <is>
          <t>St. Louis : Mosby, 1976.</t>
        </is>
      </c>
      <c r="O1450" t="inlineStr">
        <is>
          <t>1976</t>
        </is>
      </c>
      <c r="P1450" t="inlineStr">
        <is>
          <t>2nd ed.</t>
        </is>
      </c>
      <c r="Q1450" t="inlineStr">
        <is>
          <t>eng</t>
        </is>
      </c>
      <c r="R1450" t="inlineStr">
        <is>
          <t>mou</t>
        </is>
      </c>
      <c r="T1450" t="inlineStr">
        <is>
          <t xml:space="preserve">WY </t>
        </is>
      </c>
      <c r="U1450" t="n">
        <v>3</v>
      </c>
      <c r="V1450" t="n">
        <v>3</v>
      </c>
      <c r="W1450" t="inlineStr">
        <is>
          <t>1991-11-29</t>
        </is>
      </c>
      <c r="X1450" t="inlineStr">
        <is>
          <t>1991-11-29</t>
        </is>
      </c>
      <c r="Y1450" t="inlineStr">
        <is>
          <t>1989-03-13</t>
        </is>
      </c>
      <c r="Z1450" t="inlineStr">
        <is>
          <t>1989-03-13</t>
        </is>
      </c>
      <c r="AA1450" t="n">
        <v>136</v>
      </c>
      <c r="AB1450" t="n">
        <v>99</v>
      </c>
      <c r="AC1450" t="n">
        <v>101</v>
      </c>
      <c r="AD1450" t="n">
        <v>3</v>
      </c>
      <c r="AE1450" t="n">
        <v>3</v>
      </c>
      <c r="AF1450" t="n">
        <v>6</v>
      </c>
      <c r="AG1450" t="n">
        <v>6</v>
      </c>
      <c r="AH1450" t="n">
        <v>1</v>
      </c>
      <c r="AI1450" t="n">
        <v>1</v>
      </c>
      <c r="AJ1450" t="n">
        <v>1</v>
      </c>
      <c r="AK1450" t="n">
        <v>1</v>
      </c>
      <c r="AL1450" t="n">
        <v>3</v>
      </c>
      <c r="AM1450" t="n">
        <v>3</v>
      </c>
      <c r="AN1450" t="n">
        <v>2</v>
      </c>
      <c r="AO1450" t="n">
        <v>2</v>
      </c>
      <c r="AP1450" t="n">
        <v>0</v>
      </c>
      <c r="AQ1450" t="n">
        <v>0</v>
      </c>
      <c r="AR1450" t="inlineStr">
        <is>
          <t>No</t>
        </is>
      </c>
      <c r="AS1450" t="inlineStr">
        <is>
          <t>Yes</t>
        </is>
      </c>
      <c r="AT1450">
        <f>HYPERLINK("http://catalog.hathitrust.org/Record/000705016","HathiTrust Record")</f>
        <v/>
      </c>
      <c r="AU1450">
        <f>HYPERLINK("https://creighton-primo.hosted.exlibrisgroup.com/primo-explore/search?tab=default_tab&amp;search_scope=EVERYTHING&amp;vid=01CRU&amp;lang=en_US&amp;offset=0&amp;query=any,contains,991000865409702656","Catalog Record")</f>
        <v/>
      </c>
      <c r="AV1450">
        <f>HYPERLINK("http://www.worldcat.org/oclc/2075993","WorldCat Record")</f>
        <v/>
      </c>
      <c r="AW1450" t="inlineStr">
        <is>
          <t>2287226527:eng</t>
        </is>
      </c>
      <c r="AX1450" t="inlineStr">
        <is>
          <t>2075993</t>
        </is>
      </c>
      <c r="AY1450" t="inlineStr">
        <is>
          <t>991000865409702656</t>
        </is>
      </c>
      <c r="AZ1450" t="inlineStr">
        <is>
          <t>991000865409702656</t>
        </is>
      </c>
      <c r="BA1450" t="inlineStr">
        <is>
          <t>2262059450002656</t>
        </is>
      </c>
      <c r="BB1450" t="inlineStr">
        <is>
          <t>BOOK</t>
        </is>
      </c>
      <c r="BD1450" t="inlineStr">
        <is>
          <t>9780801620263</t>
        </is>
      </c>
      <c r="BE1450" t="inlineStr">
        <is>
          <t>30001000144305</t>
        </is>
      </c>
      <c r="BF1450" t="inlineStr">
        <is>
          <t>893376977</t>
        </is>
      </c>
    </row>
    <row r="1451">
      <c r="A1451" t="inlineStr">
        <is>
          <t>No</t>
        </is>
      </c>
      <c r="B1451" t="inlineStr">
        <is>
          <t>CUHSL</t>
        </is>
      </c>
      <c r="C1451" t="inlineStr">
        <is>
          <t>SHELVES</t>
        </is>
      </c>
      <c r="D1451" t="inlineStr">
        <is>
          <t>WY 152.5 H816m 2002</t>
        </is>
      </c>
      <c r="E1451" t="inlineStr">
        <is>
          <t>0                      WY 0152500H  816m        2002</t>
        </is>
      </c>
      <c r="F1451" t="inlineStr">
        <is>
          <t>Manual of neonatal and paediatric heart disease / Fiona S. Horrox ; illustrations, Guy Heaton.</t>
        </is>
      </c>
      <c r="H1451" t="inlineStr">
        <is>
          <t>No</t>
        </is>
      </c>
      <c r="I1451" t="inlineStr">
        <is>
          <t>1</t>
        </is>
      </c>
      <c r="J1451" t="inlineStr">
        <is>
          <t>No</t>
        </is>
      </c>
      <c r="K1451" t="inlineStr">
        <is>
          <t>No</t>
        </is>
      </c>
      <c r="L1451" t="inlineStr">
        <is>
          <t>0</t>
        </is>
      </c>
      <c r="M1451" t="inlineStr">
        <is>
          <t>Horrox, Fiona S.</t>
        </is>
      </c>
      <c r="N1451" t="inlineStr">
        <is>
          <t>London ; Philadelphia : Whurr, 2002.</t>
        </is>
      </c>
      <c r="O1451" t="inlineStr">
        <is>
          <t>2002</t>
        </is>
      </c>
      <c r="Q1451" t="inlineStr">
        <is>
          <t>eng</t>
        </is>
      </c>
      <c r="R1451" t="inlineStr">
        <is>
          <t>enk</t>
        </is>
      </c>
      <c r="T1451" t="inlineStr">
        <is>
          <t xml:space="preserve">WY </t>
        </is>
      </c>
      <c r="U1451" t="n">
        <v>1</v>
      </c>
      <c r="V1451" t="n">
        <v>1</v>
      </c>
      <c r="W1451" t="inlineStr">
        <is>
          <t>2007-07-09</t>
        </is>
      </c>
      <c r="X1451" t="inlineStr">
        <is>
          <t>2007-07-09</t>
        </is>
      </c>
      <c r="Y1451" t="inlineStr">
        <is>
          <t>2004-09-03</t>
        </is>
      </c>
      <c r="Z1451" t="inlineStr">
        <is>
          <t>2004-09-03</t>
        </is>
      </c>
      <c r="AA1451" t="n">
        <v>112</v>
      </c>
      <c r="AB1451" t="n">
        <v>50</v>
      </c>
      <c r="AC1451" t="n">
        <v>52</v>
      </c>
      <c r="AD1451" t="n">
        <v>1</v>
      </c>
      <c r="AE1451" t="n">
        <v>1</v>
      </c>
      <c r="AF1451" t="n">
        <v>2</v>
      </c>
      <c r="AG1451" t="n">
        <v>2</v>
      </c>
      <c r="AH1451" t="n">
        <v>0</v>
      </c>
      <c r="AI1451" t="n">
        <v>0</v>
      </c>
      <c r="AJ1451" t="n">
        <v>0</v>
      </c>
      <c r="AK1451" t="n">
        <v>0</v>
      </c>
      <c r="AL1451" t="n">
        <v>2</v>
      </c>
      <c r="AM1451" t="n">
        <v>2</v>
      </c>
      <c r="AN1451" t="n">
        <v>0</v>
      </c>
      <c r="AO1451" t="n">
        <v>0</v>
      </c>
      <c r="AP1451" t="n">
        <v>0</v>
      </c>
      <c r="AQ1451" t="n">
        <v>0</v>
      </c>
      <c r="AR1451" t="inlineStr">
        <is>
          <t>No</t>
        </is>
      </c>
      <c r="AS1451" t="inlineStr">
        <is>
          <t>Yes</t>
        </is>
      </c>
      <c r="AT1451">
        <f>HYPERLINK("http://catalog.hathitrust.org/Record/004270178","HathiTrust Record")</f>
        <v/>
      </c>
      <c r="AU1451">
        <f>HYPERLINK("https://creighton-primo.hosted.exlibrisgroup.com/primo-explore/search?tab=default_tab&amp;search_scope=EVERYTHING&amp;vid=01CRU&amp;lang=en_US&amp;offset=0&amp;query=any,contains,991000382909702656","Catalog Record")</f>
        <v/>
      </c>
      <c r="AV1451">
        <f>HYPERLINK("http://www.worldcat.org/oclc/48361997","WorldCat Record")</f>
        <v/>
      </c>
      <c r="AW1451" t="inlineStr">
        <is>
          <t>876423:eng</t>
        </is>
      </c>
      <c r="AX1451" t="inlineStr">
        <is>
          <t>48361997</t>
        </is>
      </c>
      <c r="AY1451" t="inlineStr">
        <is>
          <t>991000382909702656</t>
        </is>
      </c>
      <c r="AZ1451" t="inlineStr">
        <is>
          <t>991000382909702656</t>
        </is>
      </c>
      <c r="BA1451" t="inlineStr">
        <is>
          <t>2266530590002656</t>
        </is>
      </c>
      <c r="BB1451" t="inlineStr">
        <is>
          <t>BOOK</t>
        </is>
      </c>
      <c r="BD1451" t="inlineStr">
        <is>
          <t>9781861562449</t>
        </is>
      </c>
      <c r="BE1451" t="inlineStr">
        <is>
          <t>30001004507259</t>
        </is>
      </c>
      <c r="BF1451" t="inlineStr">
        <is>
          <t>893811452</t>
        </is>
      </c>
    </row>
    <row r="1452">
      <c r="A1452" t="inlineStr">
        <is>
          <t>No</t>
        </is>
      </c>
      <c r="B1452" t="inlineStr">
        <is>
          <t>CUHSL</t>
        </is>
      </c>
      <c r="C1452" t="inlineStr">
        <is>
          <t>SHELVES</t>
        </is>
      </c>
      <c r="D1452" t="inlineStr">
        <is>
          <t>WY 152.5 K53c 1975</t>
        </is>
      </c>
      <c r="E1452" t="inlineStr">
        <is>
          <t>0                      WY 0152500K  53c         1975</t>
        </is>
      </c>
      <c r="F1452" t="inlineStr">
        <is>
          <t>Care of the cardiac surgical patient / Ouida M. King.</t>
        </is>
      </c>
      <c r="H1452" t="inlineStr">
        <is>
          <t>No</t>
        </is>
      </c>
      <c r="I1452" t="inlineStr">
        <is>
          <t>1</t>
        </is>
      </c>
      <c r="J1452" t="inlineStr">
        <is>
          <t>No</t>
        </is>
      </c>
      <c r="K1452" t="inlineStr">
        <is>
          <t>No</t>
        </is>
      </c>
      <c r="L1452" t="inlineStr">
        <is>
          <t>0</t>
        </is>
      </c>
      <c r="M1452" t="inlineStr">
        <is>
          <t>King, Ouida M., 1942-</t>
        </is>
      </c>
      <c r="N1452" t="inlineStr">
        <is>
          <t>St. Louis : Mosby, 1975.</t>
        </is>
      </c>
      <c r="O1452" t="inlineStr">
        <is>
          <t>1975</t>
        </is>
      </c>
      <c r="Q1452" t="inlineStr">
        <is>
          <t>eng</t>
        </is>
      </c>
      <c r="R1452" t="inlineStr">
        <is>
          <t>mou</t>
        </is>
      </c>
      <c r="T1452" t="inlineStr">
        <is>
          <t xml:space="preserve">WY </t>
        </is>
      </c>
      <c r="U1452" t="n">
        <v>3</v>
      </c>
      <c r="V1452" t="n">
        <v>3</v>
      </c>
      <c r="W1452" t="inlineStr">
        <is>
          <t>1995-10-21</t>
        </is>
      </c>
      <c r="X1452" t="inlineStr">
        <is>
          <t>1995-10-21</t>
        </is>
      </c>
      <c r="Y1452" t="inlineStr">
        <is>
          <t>1988-01-08</t>
        </is>
      </c>
      <c r="Z1452" t="inlineStr">
        <is>
          <t>1988-01-08</t>
        </is>
      </c>
      <c r="AA1452" t="n">
        <v>214</v>
      </c>
      <c r="AB1452" t="n">
        <v>175</v>
      </c>
      <c r="AC1452" t="n">
        <v>177</v>
      </c>
      <c r="AD1452" t="n">
        <v>3</v>
      </c>
      <c r="AE1452" t="n">
        <v>3</v>
      </c>
      <c r="AF1452" t="n">
        <v>7</v>
      </c>
      <c r="AG1452" t="n">
        <v>7</v>
      </c>
      <c r="AH1452" t="n">
        <v>1</v>
      </c>
      <c r="AI1452" t="n">
        <v>1</v>
      </c>
      <c r="AJ1452" t="n">
        <v>2</v>
      </c>
      <c r="AK1452" t="n">
        <v>2</v>
      </c>
      <c r="AL1452" t="n">
        <v>3</v>
      </c>
      <c r="AM1452" t="n">
        <v>3</v>
      </c>
      <c r="AN1452" t="n">
        <v>2</v>
      </c>
      <c r="AO1452" t="n">
        <v>2</v>
      </c>
      <c r="AP1452" t="n">
        <v>0</v>
      </c>
      <c r="AQ1452" t="n">
        <v>0</v>
      </c>
      <c r="AR1452" t="inlineStr">
        <is>
          <t>No</t>
        </is>
      </c>
      <c r="AS1452" t="inlineStr">
        <is>
          <t>Yes</t>
        </is>
      </c>
      <c r="AT1452">
        <f>HYPERLINK("http://catalog.hathitrust.org/Record/000018482","HathiTrust Record")</f>
        <v/>
      </c>
      <c r="AU1452">
        <f>HYPERLINK("https://creighton-primo.hosted.exlibrisgroup.com/primo-explore/search?tab=default_tab&amp;search_scope=EVERYTHING&amp;vid=01CRU&amp;lang=en_US&amp;offset=0&amp;query=any,contains,991000865529702656","Catalog Record")</f>
        <v/>
      </c>
      <c r="AV1452">
        <f>HYPERLINK("http://www.worldcat.org/oclc/1207308","WorldCat Record")</f>
        <v/>
      </c>
      <c r="AW1452" t="inlineStr">
        <is>
          <t>2094061:eng</t>
        </is>
      </c>
      <c r="AX1452" t="inlineStr">
        <is>
          <t>1207308</t>
        </is>
      </c>
      <c r="AY1452" t="inlineStr">
        <is>
          <t>991000865529702656</t>
        </is>
      </c>
      <c r="AZ1452" t="inlineStr">
        <is>
          <t>991000865529702656</t>
        </is>
      </c>
      <c r="BA1452" t="inlineStr">
        <is>
          <t>2269318920002656</t>
        </is>
      </c>
      <c r="BB1452" t="inlineStr">
        <is>
          <t>BOOK</t>
        </is>
      </c>
      <c r="BD1452" t="inlineStr">
        <is>
          <t>9780801634345</t>
        </is>
      </c>
      <c r="BE1452" t="inlineStr">
        <is>
          <t>30001000144347</t>
        </is>
      </c>
      <c r="BF1452" t="inlineStr">
        <is>
          <t>893551863</t>
        </is>
      </c>
    </row>
    <row r="1453">
      <c r="A1453" t="inlineStr">
        <is>
          <t>No</t>
        </is>
      </c>
      <c r="B1453" t="inlineStr">
        <is>
          <t>CUHSL</t>
        </is>
      </c>
      <c r="C1453" t="inlineStr">
        <is>
          <t>SHELVES</t>
        </is>
      </c>
      <c r="D1453" t="inlineStr">
        <is>
          <t>WY 152.5 M148p 1981</t>
        </is>
      </c>
      <c r="E1453" t="inlineStr">
        <is>
          <t>0                      WY 0152500M  148p        1981</t>
        </is>
      </c>
      <c r="F1453" t="inlineStr">
        <is>
          <t>People with cardiac problems : nursing concepts / Wealtha Collins McGurn.</t>
        </is>
      </c>
      <c r="H1453" t="inlineStr">
        <is>
          <t>No</t>
        </is>
      </c>
      <c r="I1453" t="inlineStr">
        <is>
          <t>1</t>
        </is>
      </c>
      <c r="J1453" t="inlineStr">
        <is>
          <t>No</t>
        </is>
      </c>
      <c r="K1453" t="inlineStr">
        <is>
          <t>No</t>
        </is>
      </c>
      <c r="L1453" t="inlineStr">
        <is>
          <t>0</t>
        </is>
      </c>
      <c r="M1453" t="inlineStr">
        <is>
          <t>McGurn, Wealtha Collins.</t>
        </is>
      </c>
      <c r="N1453" t="inlineStr">
        <is>
          <t>Philadelphia : Lippincott, c1981.</t>
        </is>
      </c>
      <c r="O1453" t="inlineStr">
        <is>
          <t>1981</t>
        </is>
      </c>
      <c r="Q1453" t="inlineStr">
        <is>
          <t>eng</t>
        </is>
      </c>
      <c r="R1453" t="inlineStr">
        <is>
          <t>xxu</t>
        </is>
      </c>
      <c r="T1453" t="inlineStr">
        <is>
          <t xml:space="preserve">WY </t>
        </is>
      </c>
      <c r="U1453" t="n">
        <v>4</v>
      </c>
      <c r="V1453" t="n">
        <v>4</v>
      </c>
      <c r="W1453" t="inlineStr">
        <is>
          <t>1993-10-08</t>
        </is>
      </c>
      <c r="X1453" t="inlineStr">
        <is>
          <t>1993-10-08</t>
        </is>
      </c>
      <c r="Y1453" t="inlineStr">
        <is>
          <t>1987-12-21</t>
        </is>
      </c>
      <c r="Z1453" t="inlineStr">
        <is>
          <t>1987-12-21</t>
        </is>
      </c>
      <c r="AA1453" t="n">
        <v>162</v>
      </c>
      <c r="AB1453" t="n">
        <v>133</v>
      </c>
      <c r="AC1453" t="n">
        <v>135</v>
      </c>
      <c r="AD1453" t="n">
        <v>1</v>
      </c>
      <c r="AE1453" t="n">
        <v>1</v>
      </c>
      <c r="AF1453" t="n">
        <v>7</v>
      </c>
      <c r="AG1453" t="n">
        <v>7</v>
      </c>
      <c r="AH1453" t="n">
        <v>3</v>
      </c>
      <c r="AI1453" t="n">
        <v>3</v>
      </c>
      <c r="AJ1453" t="n">
        <v>2</v>
      </c>
      <c r="AK1453" t="n">
        <v>2</v>
      </c>
      <c r="AL1453" t="n">
        <v>6</v>
      </c>
      <c r="AM1453" t="n">
        <v>6</v>
      </c>
      <c r="AN1453" t="n">
        <v>0</v>
      </c>
      <c r="AO1453" t="n">
        <v>0</v>
      </c>
      <c r="AP1453" t="n">
        <v>0</v>
      </c>
      <c r="AQ1453" t="n">
        <v>0</v>
      </c>
      <c r="AR1453" t="inlineStr">
        <is>
          <t>No</t>
        </is>
      </c>
      <c r="AS1453" t="inlineStr">
        <is>
          <t>Yes</t>
        </is>
      </c>
      <c r="AT1453">
        <f>HYPERLINK("http://catalog.hathitrust.org/Record/000267317","HathiTrust Record")</f>
        <v/>
      </c>
      <c r="AU1453">
        <f>HYPERLINK("https://creighton-primo.hosted.exlibrisgroup.com/primo-explore/search?tab=default_tab&amp;search_scope=EVERYTHING&amp;vid=01CRU&amp;lang=en_US&amp;offset=0&amp;query=any,contains,991000865629702656","Catalog Record")</f>
        <v/>
      </c>
      <c r="AV1453">
        <f>HYPERLINK("http://www.worldcat.org/oclc/6943158","WorldCat Record")</f>
        <v/>
      </c>
      <c r="AW1453" t="inlineStr">
        <is>
          <t>25160710:eng</t>
        </is>
      </c>
      <c r="AX1453" t="inlineStr">
        <is>
          <t>6943158</t>
        </is>
      </c>
      <c r="AY1453" t="inlineStr">
        <is>
          <t>991000865629702656</t>
        </is>
      </c>
      <c r="AZ1453" t="inlineStr">
        <is>
          <t>991000865629702656</t>
        </is>
      </c>
      <c r="BA1453" t="inlineStr">
        <is>
          <t>2257239790002656</t>
        </is>
      </c>
      <c r="BB1453" t="inlineStr">
        <is>
          <t>BOOK</t>
        </is>
      </c>
      <c r="BD1453" t="inlineStr">
        <is>
          <t>9780397542499</t>
        </is>
      </c>
      <c r="BE1453" t="inlineStr">
        <is>
          <t>30001000144370</t>
        </is>
      </c>
      <c r="BF1453" t="inlineStr">
        <is>
          <t>893831689</t>
        </is>
      </c>
    </row>
    <row r="1454">
      <c r="A1454" t="inlineStr">
        <is>
          <t>No</t>
        </is>
      </c>
      <c r="B1454" t="inlineStr">
        <is>
          <t>CUHSL</t>
        </is>
      </c>
      <c r="C1454" t="inlineStr">
        <is>
          <t>SHELVES</t>
        </is>
      </c>
      <c r="D1454" t="inlineStr">
        <is>
          <t>WY 152.5 M294 1983</t>
        </is>
      </c>
      <c r="E1454" t="inlineStr">
        <is>
          <t>0                      WY 0152500M  294         1983</t>
        </is>
      </c>
      <c r="F1454" t="inlineStr">
        <is>
          <t>Manual of cardiovascular assessment / New York Heart Association ; Sara J. Wells, editor ; Kate Mahoney and Shirlee Stokes, contributing editors.</t>
        </is>
      </c>
      <c r="H1454" t="inlineStr">
        <is>
          <t>No</t>
        </is>
      </c>
      <c r="I1454" t="inlineStr">
        <is>
          <t>1</t>
        </is>
      </c>
      <c r="J1454" t="inlineStr">
        <is>
          <t>No</t>
        </is>
      </c>
      <c r="K1454" t="inlineStr">
        <is>
          <t>No</t>
        </is>
      </c>
      <c r="L1454" t="inlineStr">
        <is>
          <t>0</t>
        </is>
      </c>
      <c r="N1454" t="inlineStr">
        <is>
          <t>Reston, Va. : Reston Pub. Co., c1983.</t>
        </is>
      </c>
      <c r="O1454" t="inlineStr">
        <is>
          <t>1983</t>
        </is>
      </c>
      <c r="Q1454" t="inlineStr">
        <is>
          <t>eng</t>
        </is>
      </c>
      <c r="R1454" t="inlineStr">
        <is>
          <t>xxu</t>
        </is>
      </c>
      <c r="T1454" t="inlineStr">
        <is>
          <t xml:space="preserve">WY </t>
        </is>
      </c>
      <c r="U1454" t="n">
        <v>6</v>
      </c>
      <c r="V1454" t="n">
        <v>6</v>
      </c>
      <c r="W1454" t="inlineStr">
        <is>
          <t>1995-08-30</t>
        </is>
      </c>
      <c r="X1454" t="inlineStr">
        <is>
          <t>1995-08-30</t>
        </is>
      </c>
      <c r="Y1454" t="inlineStr">
        <is>
          <t>1987-12-21</t>
        </is>
      </c>
      <c r="Z1454" t="inlineStr">
        <is>
          <t>1987-12-21</t>
        </is>
      </c>
      <c r="AA1454" t="n">
        <v>155</v>
      </c>
      <c r="AB1454" t="n">
        <v>140</v>
      </c>
      <c r="AC1454" t="n">
        <v>142</v>
      </c>
      <c r="AD1454" t="n">
        <v>1</v>
      </c>
      <c r="AE1454" t="n">
        <v>1</v>
      </c>
      <c r="AF1454" t="n">
        <v>5</v>
      </c>
      <c r="AG1454" t="n">
        <v>5</v>
      </c>
      <c r="AH1454" t="n">
        <v>2</v>
      </c>
      <c r="AI1454" t="n">
        <v>2</v>
      </c>
      <c r="AJ1454" t="n">
        <v>1</v>
      </c>
      <c r="AK1454" t="n">
        <v>1</v>
      </c>
      <c r="AL1454" t="n">
        <v>4</v>
      </c>
      <c r="AM1454" t="n">
        <v>4</v>
      </c>
      <c r="AN1454" t="n">
        <v>0</v>
      </c>
      <c r="AO1454" t="n">
        <v>0</v>
      </c>
      <c r="AP1454" t="n">
        <v>0</v>
      </c>
      <c r="AQ1454" t="n">
        <v>0</v>
      </c>
      <c r="AR1454" t="inlineStr">
        <is>
          <t>No</t>
        </is>
      </c>
      <c r="AS1454" t="inlineStr">
        <is>
          <t>Yes</t>
        </is>
      </c>
      <c r="AT1454">
        <f>HYPERLINK("http://catalog.hathitrust.org/Record/000322173","HathiTrust Record")</f>
        <v/>
      </c>
      <c r="AU1454">
        <f>HYPERLINK("https://creighton-primo.hosted.exlibrisgroup.com/primo-explore/search?tab=default_tab&amp;search_scope=EVERYTHING&amp;vid=01CRU&amp;lang=en_US&amp;offset=0&amp;query=any,contains,991000865669702656","Catalog Record")</f>
        <v/>
      </c>
      <c r="AV1454">
        <f>HYPERLINK("http://www.worldcat.org/oclc/9197744","WorldCat Record")</f>
        <v/>
      </c>
      <c r="AW1454" t="inlineStr">
        <is>
          <t>497575:eng</t>
        </is>
      </c>
      <c r="AX1454" t="inlineStr">
        <is>
          <t>9197744</t>
        </is>
      </c>
      <c r="AY1454" t="inlineStr">
        <is>
          <t>991000865669702656</t>
        </is>
      </c>
      <c r="AZ1454" t="inlineStr">
        <is>
          <t>991000865669702656</t>
        </is>
      </c>
      <c r="BA1454" t="inlineStr">
        <is>
          <t>2266618100002656</t>
        </is>
      </c>
      <c r="BB1454" t="inlineStr">
        <is>
          <t>BOOK</t>
        </is>
      </c>
      <c r="BD1454" t="inlineStr">
        <is>
          <t>9780835942331</t>
        </is>
      </c>
      <c r="BE1454" t="inlineStr">
        <is>
          <t>30001000144388</t>
        </is>
      </c>
      <c r="BF1454" t="inlineStr">
        <is>
          <t>893735982</t>
        </is>
      </c>
    </row>
    <row r="1455">
      <c r="A1455" t="inlineStr">
        <is>
          <t>No</t>
        </is>
      </c>
      <c r="B1455" t="inlineStr">
        <is>
          <t>CUHSL</t>
        </is>
      </c>
      <c r="C1455" t="inlineStr">
        <is>
          <t>SHELVES</t>
        </is>
      </c>
      <c r="D1455" t="inlineStr">
        <is>
          <t>WY 152.5 N974 1984</t>
        </is>
      </c>
      <c r="E1455" t="inlineStr">
        <is>
          <t>0                      WY 0152500N  974         1984</t>
        </is>
      </c>
      <c r="F1455" t="inlineStr">
        <is>
          <t>Nursing for cardiovascular health / [edited by] Diane Sadler.</t>
        </is>
      </c>
      <c r="H1455" t="inlineStr">
        <is>
          <t>No</t>
        </is>
      </c>
      <c r="I1455" t="inlineStr">
        <is>
          <t>1</t>
        </is>
      </c>
      <c r="J1455" t="inlineStr">
        <is>
          <t>No</t>
        </is>
      </c>
      <c r="K1455" t="inlineStr">
        <is>
          <t>No</t>
        </is>
      </c>
      <c r="L1455" t="inlineStr">
        <is>
          <t>0</t>
        </is>
      </c>
      <c r="N1455" t="inlineStr">
        <is>
          <t>Norwalk, CT : Appleton-Century-Crofts, c1984.</t>
        </is>
      </c>
      <c r="O1455" t="inlineStr">
        <is>
          <t>1984</t>
        </is>
      </c>
      <c r="Q1455" t="inlineStr">
        <is>
          <t>eng</t>
        </is>
      </c>
      <c r="R1455" t="inlineStr">
        <is>
          <t>xxu</t>
        </is>
      </c>
      <c r="T1455" t="inlineStr">
        <is>
          <t xml:space="preserve">WY </t>
        </is>
      </c>
      <c r="U1455" t="n">
        <v>6</v>
      </c>
      <c r="V1455" t="n">
        <v>6</v>
      </c>
      <c r="W1455" t="inlineStr">
        <is>
          <t>1990-03-21</t>
        </is>
      </c>
      <c r="X1455" t="inlineStr">
        <is>
          <t>1990-03-21</t>
        </is>
      </c>
      <c r="Y1455" t="inlineStr">
        <is>
          <t>1987-12-22</t>
        </is>
      </c>
      <c r="Z1455" t="inlineStr">
        <is>
          <t>1987-12-22</t>
        </is>
      </c>
      <c r="AA1455" t="n">
        <v>196</v>
      </c>
      <c r="AB1455" t="n">
        <v>168</v>
      </c>
      <c r="AC1455" t="n">
        <v>175</v>
      </c>
      <c r="AD1455" t="n">
        <v>2</v>
      </c>
      <c r="AE1455" t="n">
        <v>2</v>
      </c>
      <c r="AF1455" t="n">
        <v>7</v>
      </c>
      <c r="AG1455" t="n">
        <v>7</v>
      </c>
      <c r="AH1455" t="n">
        <v>2</v>
      </c>
      <c r="AI1455" t="n">
        <v>2</v>
      </c>
      <c r="AJ1455" t="n">
        <v>2</v>
      </c>
      <c r="AK1455" t="n">
        <v>2</v>
      </c>
      <c r="AL1455" t="n">
        <v>5</v>
      </c>
      <c r="AM1455" t="n">
        <v>5</v>
      </c>
      <c r="AN1455" t="n">
        <v>1</v>
      </c>
      <c r="AO1455" t="n">
        <v>1</v>
      </c>
      <c r="AP1455" t="n">
        <v>0</v>
      </c>
      <c r="AQ1455" t="n">
        <v>0</v>
      </c>
      <c r="AR1455" t="inlineStr">
        <is>
          <t>No</t>
        </is>
      </c>
      <c r="AS1455" t="inlineStr">
        <is>
          <t>Yes</t>
        </is>
      </c>
      <c r="AT1455">
        <f>HYPERLINK("http://catalog.hathitrust.org/Record/000123304","HathiTrust Record")</f>
        <v/>
      </c>
      <c r="AU1455">
        <f>HYPERLINK("https://creighton-primo.hosted.exlibrisgroup.com/primo-explore/search?tab=default_tab&amp;search_scope=EVERYTHING&amp;vid=01CRU&amp;lang=en_US&amp;offset=0&amp;query=any,contains,991000865809702656","Catalog Record")</f>
        <v/>
      </c>
      <c r="AV1455">
        <f>HYPERLINK("http://www.worldcat.org/oclc/9683454","WorldCat Record")</f>
        <v/>
      </c>
      <c r="AW1455" t="inlineStr">
        <is>
          <t>43738858:eng</t>
        </is>
      </c>
      <c r="AX1455" t="inlineStr">
        <is>
          <t>9683454</t>
        </is>
      </c>
      <c r="AY1455" t="inlineStr">
        <is>
          <t>991000865809702656</t>
        </is>
      </c>
      <c r="AZ1455" t="inlineStr">
        <is>
          <t>991000865809702656</t>
        </is>
      </c>
      <c r="BA1455" t="inlineStr">
        <is>
          <t>2269674040002656</t>
        </is>
      </c>
      <c r="BB1455" t="inlineStr">
        <is>
          <t>BOOK</t>
        </is>
      </c>
      <c r="BD1455" t="inlineStr">
        <is>
          <t>9780838570241</t>
        </is>
      </c>
      <c r="BE1455" t="inlineStr">
        <is>
          <t>30001000144404</t>
        </is>
      </c>
      <c r="BF1455" t="inlineStr">
        <is>
          <t>893278376</t>
        </is>
      </c>
    </row>
    <row r="1456">
      <c r="A1456" t="inlineStr">
        <is>
          <t>No</t>
        </is>
      </c>
      <c r="B1456" t="inlineStr">
        <is>
          <t>CUHSL</t>
        </is>
      </c>
      <c r="C1456" t="inlineStr">
        <is>
          <t>SHELVES</t>
        </is>
      </c>
      <c r="D1456" t="inlineStr">
        <is>
          <t>WY 152.5 S678s 2004</t>
        </is>
      </c>
      <c r="E1456" t="inlineStr">
        <is>
          <t>0                      WY 0152500S  678s        2004</t>
        </is>
      </c>
      <c r="F1456" t="inlineStr">
        <is>
          <t>Scope and standards of vascular nursing practice / Society for Vascular Nursing &amp; American Nurses Association.</t>
        </is>
      </c>
      <c r="H1456" t="inlineStr">
        <is>
          <t>No</t>
        </is>
      </c>
      <c r="I1456" t="inlineStr">
        <is>
          <t>1</t>
        </is>
      </c>
      <c r="J1456" t="inlineStr">
        <is>
          <t>No</t>
        </is>
      </c>
      <c r="K1456" t="inlineStr">
        <is>
          <t>No</t>
        </is>
      </c>
      <c r="L1456" t="inlineStr">
        <is>
          <t>0</t>
        </is>
      </c>
      <c r="M1456" t="inlineStr">
        <is>
          <t>Society for Vascular Nursing.</t>
        </is>
      </c>
      <c r="N1456" t="inlineStr">
        <is>
          <t>Washington, DC : American Nurses Association, 2004.</t>
        </is>
      </c>
      <c r="O1456" t="inlineStr">
        <is>
          <t>2004</t>
        </is>
      </c>
      <c r="Q1456" t="inlineStr">
        <is>
          <t>eng</t>
        </is>
      </c>
      <c r="R1456" t="inlineStr">
        <is>
          <t>dcu</t>
        </is>
      </c>
      <c r="S1456" t="inlineStr">
        <is>
          <t>ANA pub ; no. 04SSVN</t>
        </is>
      </c>
      <c r="T1456" t="inlineStr">
        <is>
          <t xml:space="preserve">WY </t>
        </is>
      </c>
      <c r="U1456" t="n">
        <v>2</v>
      </c>
      <c r="V1456" t="n">
        <v>2</v>
      </c>
      <c r="W1456" t="inlineStr">
        <is>
          <t>2004-07-19</t>
        </is>
      </c>
      <c r="X1456" t="inlineStr">
        <is>
          <t>2004-07-19</t>
        </is>
      </c>
      <c r="Y1456" t="inlineStr">
        <is>
          <t>2004-06-25</t>
        </is>
      </c>
      <c r="Z1456" t="inlineStr">
        <is>
          <t>2004-06-25</t>
        </is>
      </c>
      <c r="AA1456" t="n">
        <v>232</v>
      </c>
      <c r="AB1456" t="n">
        <v>224</v>
      </c>
      <c r="AC1456" t="n">
        <v>238</v>
      </c>
      <c r="AD1456" t="n">
        <v>1</v>
      </c>
      <c r="AE1456" t="n">
        <v>1</v>
      </c>
      <c r="AF1456" t="n">
        <v>9</v>
      </c>
      <c r="AG1456" t="n">
        <v>9</v>
      </c>
      <c r="AH1456" t="n">
        <v>2</v>
      </c>
      <c r="AI1456" t="n">
        <v>2</v>
      </c>
      <c r="AJ1456" t="n">
        <v>2</v>
      </c>
      <c r="AK1456" t="n">
        <v>2</v>
      </c>
      <c r="AL1456" t="n">
        <v>7</v>
      </c>
      <c r="AM1456" t="n">
        <v>7</v>
      </c>
      <c r="AN1456" t="n">
        <v>0</v>
      </c>
      <c r="AO1456" t="n">
        <v>0</v>
      </c>
      <c r="AP1456" t="n">
        <v>0</v>
      </c>
      <c r="AQ1456" t="n">
        <v>0</v>
      </c>
      <c r="AR1456" t="inlineStr">
        <is>
          <t>No</t>
        </is>
      </c>
      <c r="AS1456" t="inlineStr">
        <is>
          <t>Yes</t>
        </is>
      </c>
      <c r="AT1456">
        <f>HYPERLINK("http://catalog.hathitrust.org/Record/004925367","HathiTrust Record")</f>
        <v/>
      </c>
      <c r="AU1456">
        <f>HYPERLINK("https://creighton-primo.hosted.exlibrisgroup.com/primo-explore/search?tab=default_tab&amp;search_scope=EVERYTHING&amp;vid=01CRU&amp;lang=en_US&amp;offset=0&amp;query=any,contains,991000375469702656","Catalog Record")</f>
        <v/>
      </c>
      <c r="AV1456">
        <f>HYPERLINK("http://www.worldcat.org/oclc/54818510","WorldCat Record")</f>
        <v/>
      </c>
      <c r="AW1456" t="inlineStr">
        <is>
          <t>998789:eng</t>
        </is>
      </c>
      <c r="AX1456" t="inlineStr">
        <is>
          <t>54818510</t>
        </is>
      </c>
      <c r="AY1456" t="inlineStr">
        <is>
          <t>991000375469702656</t>
        </is>
      </c>
      <c r="AZ1456" t="inlineStr">
        <is>
          <t>991000375469702656</t>
        </is>
      </c>
      <c r="BA1456" t="inlineStr">
        <is>
          <t>2268149950002656</t>
        </is>
      </c>
      <c r="BB1456" t="inlineStr">
        <is>
          <t>BOOK</t>
        </is>
      </c>
      <c r="BD1456" t="inlineStr">
        <is>
          <t>9781558102217</t>
        </is>
      </c>
      <c r="BE1456" t="inlineStr">
        <is>
          <t>30001004218766</t>
        </is>
      </c>
      <c r="BF1456" t="inlineStr">
        <is>
          <t>893275011</t>
        </is>
      </c>
    </row>
    <row r="1457">
      <c r="A1457" t="inlineStr">
        <is>
          <t>No</t>
        </is>
      </c>
      <c r="B1457" t="inlineStr">
        <is>
          <t>CUHSL</t>
        </is>
      </c>
      <c r="C1457" t="inlineStr">
        <is>
          <t>SHELVES</t>
        </is>
      </c>
      <c r="D1457" t="inlineStr">
        <is>
          <t>WY 152.5 S974c 1989</t>
        </is>
      </c>
      <c r="E1457" t="inlineStr">
        <is>
          <t>0                      WY 0152500S  974c        1989</t>
        </is>
      </c>
      <c r="F1457" t="inlineStr">
        <is>
          <t>Clinical electrocardiography for nurses / Hannelore M. Sweetwood.</t>
        </is>
      </c>
      <c r="H1457" t="inlineStr">
        <is>
          <t>No</t>
        </is>
      </c>
      <c r="I1457" t="inlineStr">
        <is>
          <t>1</t>
        </is>
      </c>
      <c r="J1457" t="inlineStr">
        <is>
          <t>No</t>
        </is>
      </c>
      <c r="K1457" t="inlineStr">
        <is>
          <t>No</t>
        </is>
      </c>
      <c r="L1457" t="inlineStr">
        <is>
          <t>0</t>
        </is>
      </c>
      <c r="M1457" t="inlineStr">
        <is>
          <t>Sweetwood, Hannelore M.</t>
        </is>
      </c>
      <c r="N1457" t="inlineStr">
        <is>
          <t>Rockville, Md. : Aspen Publishers, c1989.</t>
        </is>
      </c>
      <c r="O1457" t="inlineStr">
        <is>
          <t>1989</t>
        </is>
      </c>
      <c r="P1457" t="inlineStr">
        <is>
          <t>2nd ed.</t>
        </is>
      </c>
      <c r="Q1457" t="inlineStr">
        <is>
          <t>eng</t>
        </is>
      </c>
      <c r="R1457" t="inlineStr">
        <is>
          <t>xxu</t>
        </is>
      </c>
      <c r="T1457" t="inlineStr">
        <is>
          <t xml:space="preserve">WY </t>
        </is>
      </c>
      <c r="U1457" t="n">
        <v>7</v>
      </c>
      <c r="V1457" t="n">
        <v>7</v>
      </c>
      <c r="W1457" t="inlineStr">
        <is>
          <t>1990-10-15</t>
        </is>
      </c>
      <c r="X1457" t="inlineStr">
        <is>
          <t>1990-10-15</t>
        </is>
      </c>
      <c r="Y1457" t="inlineStr">
        <is>
          <t>1989-06-15</t>
        </is>
      </c>
      <c r="Z1457" t="inlineStr">
        <is>
          <t>1989-06-15</t>
        </is>
      </c>
      <c r="AA1457" t="n">
        <v>156</v>
      </c>
      <c r="AB1457" t="n">
        <v>135</v>
      </c>
      <c r="AC1457" t="n">
        <v>228</v>
      </c>
      <c r="AD1457" t="n">
        <v>2</v>
      </c>
      <c r="AE1457" t="n">
        <v>2</v>
      </c>
      <c r="AF1457" t="n">
        <v>4</v>
      </c>
      <c r="AG1457" t="n">
        <v>7</v>
      </c>
      <c r="AH1457" t="n">
        <v>1</v>
      </c>
      <c r="AI1457" t="n">
        <v>3</v>
      </c>
      <c r="AJ1457" t="n">
        <v>1</v>
      </c>
      <c r="AK1457" t="n">
        <v>1</v>
      </c>
      <c r="AL1457" t="n">
        <v>3</v>
      </c>
      <c r="AM1457" t="n">
        <v>6</v>
      </c>
      <c r="AN1457" t="n">
        <v>0</v>
      </c>
      <c r="AO1457" t="n">
        <v>0</v>
      </c>
      <c r="AP1457" t="n">
        <v>0</v>
      </c>
      <c r="AQ1457" t="n">
        <v>0</v>
      </c>
      <c r="AR1457" t="inlineStr">
        <is>
          <t>No</t>
        </is>
      </c>
      <c r="AS1457" t="inlineStr">
        <is>
          <t>Yes</t>
        </is>
      </c>
      <c r="AT1457">
        <f>HYPERLINK("http://catalog.hathitrust.org/Record/001820790","HathiTrust Record")</f>
        <v/>
      </c>
      <c r="AU1457">
        <f>HYPERLINK("https://creighton-primo.hosted.exlibrisgroup.com/primo-explore/search?tab=default_tab&amp;search_scope=EVERYTHING&amp;vid=01CRU&amp;lang=en_US&amp;offset=0&amp;query=any,contains,991001308339702656","Catalog Record")</f>
        <v/>
      </c>
      <c r="AV1457">
        <f>HYPERLINK("http://www.worldcat.org/oclc/18413394","WorldCat Record")</f>
        <v/>
      </c>
      <c r="AW1457" t="inlineStr">
        <is>
          <t>17440878:eng</t>
        </is>
      </c>
      <c r="AX1457" t="inlineStr">
        <is>
          <t>18413394</t>
        </is>
      </c>
      <c r="AY1457" t="inlineStr">
        <is>
          <t>991001308339702656</t>
        </is>
      </c>
      <c r="AZ1457" t="inlineStr">
        <is>
          <t>991001308339702656</t>
        </is>
      </c>
      <c r="BA1457" t="inlineStr">
        <is>
          <t>2258519600002656</t>
        </is>
      </c>
      <c r="BB1457" t="inlineStr">
        <is>
          <t>BOOK</t>
        </is>
      </c>
      <c r="BD1457" t="inlineStr">
        <is>
          <t>9780834200159</t>
        </is>
      </c>
      <c r="BE1457" t="inlineStr">
        <is>
          <t>30001001750100</t>
        </is>
      </c>
      <c r="BF1457" t="inlineStr">
        <is>
          <t>893816291</t>
        </is>
      </c>
    </row>
    <row r="1458">
      <c r="A1458" t="inlineStr">
        <is>
          <t>No</t>
        </is>
      </c>
      <c r="B1458" t="inlineStr">
        <is>
          <t>CUHSL</t>
        </is>
      </c>
      <c r="C1458" t="inlineStr">
        <is>
          <t>SHELVES</t>
        </is>
      </c>
      <c r="D1458" t="inlineStr">
        <is>
          <t>WY152.5 T468ca 2004</t>
        </is>
      </c>
      <c r="E1458" t="inlineStr">
        <is>
          <t>0                      WY 0152500T  468ca       2004</t>
        </is>
      </c>
      <c r="F1458" t="inlineStr">
        <is>
          <t>Caring for the coronary patient / David R. Thompson, Rosemary A. Webster, with additional material by Tom Quinn ; foreword by Dame Jenifer Wilson-Barnett.</t>
        </is>
      </c>
      <c r="H1458" t="inlineStr">
        <is>
          <t>No</t>
        </is>
      </c>
      <c r="I1458" t="inlineStr">
        <is>
          <t>1</t>
        </is>
      </c>
      <c r="J1458" t="inlineStr">
        <is>
          <t>No</t>
        </is>
      </c>
      <c r="K1458" t="inlineStr">
        <is>
          <t>Yes</t>
        </is>
      </c>
      <c r="L1458" t="inlineStr">
        <is>
          <t>0</t>
        </is>
      </c>
      <c r="M1458" t="inlineStr">
        <is>
          <t>Thompson, David R., 1955-</t>
        </is>
      </c>
      <c r="N1458" t="inlineStr">
        <is>
          <t>Edinburgh ; New York : Butterworth-Heinemann, 2004.</t>
        </is>
      </c>
      <c r="O1458" t="inlineStr">
        <is>
          <t>2004</t>
        </is>
      </c>
      <c r="P1458" t="inlineStr">
        <is>
          <t>2nd ed.</t>
        </is>
      </c>
      <c r="Q1458" t="inlineStr">
        <is>
          <t>eng</t>
        </is>
      </c>
      <c r="R1458" t="inlineStr">
        <is>
          <t>stk</t>
        </is>
      </c>
      <c r="T1458" t="inlineStr">
        <is>
          <t xml:space="preserve">WY </t>
        </is>
      </c>
      <c r="U1458" t="n">
        <v>0</v>
      </c>
      <c r="V1458" t="n">
        <v>0</v>
      </c>
      <c r="W1458" t="inlineStr">
        <is>
          <t>2005-04-29</t>
        </is>
      </c>
      <c r="X1458" t="inlineStr">
        <is>
          <t>2005-04-29</t>
        </is>
      </c>
      <c r="Y1458" t="inlineStr">
        <is>
          <t>2005-04-28</t>
        </is>
      </c>
      <c r="Z1458" t="inlineStr">
        <is>
          <t>2005-04-28</t>
        </is>
      </c>
      <c r="AA1458" t="n">
        <v>188</v>
      </c>
      <c r="AB1458" t="n">
        <v>83</v>
      </c>
      <c r="AC1458" t="n">
        <v>125</v>
      </c>
      <c r="AD1458" t="n">
        <v>1</v>
      </c>
      <c r="AE1458" t="n">
        <v>1</v>
      </c>
      <c r="AF1458" t="n">
        <v>1</v>
      </c>
      <c r="AG1458" t="n">
        <v>3</v>
      </c>
      <c r="AH1458" t="n">
        <v>0</v>
      </c>
      <c r="AI1458" t="n">
        <v>0</v>
      </c>
      <c r="AJ1458" t="n">
        <v>1</v>
      </c>
      <c r="AK1458" t="n">
        <v>1</v>
      </c>
      <c r="AL1458" t="n">
        <v>1</v>
      </c>
      <c r="AM1458" t="n">
        <v>3</v>
      </c>
      <c r="AN1458" t="n">
        <v>0</v>
      </c>
      <c r="AO1458" t="n">
        <v>0</v>
      </c>
      <c r="AP1458" t="n">
        <v>0</v>
      </c>
      <c r="AQ1458" t="n">
        <v>0</v>
      </c>
      <c r="AR1458" t="inlineStr">
        <is>
          <t>No</t>
        </is>
      </c>
      <c r="AS1458" t="inlineStr">
        <is>
          <t>Yes</t>
        </is>
      </c>
      <c r="AT1458">
        <f>HYPERLINK("http://catalog.hathitrust.org/Record/004995101","HathiTrust Record")</f>
        <v/>
      </c>
      <c r="AU1458">
        <f>HYPERLINK("https://creighton-primo.hosted.exlibrisgroup.com/primo-explore/search?tab=default_tab&amp;search_scope=EVERYTHING&amp;vid=01CRU&amp;lang=en_US&amp;offset=0&amp;query=any,contains,991000437879702656","Catalog Record")</f>
        <v/>
      </c>
      <c r="AV1458">
        <f>HYPERLINK("http://www.worldcat.org/oclc/56012245","WorldCat Record")</f>
        <v/>
      </c>
      <c r="AW1458" t="inlineStr">
        <is>
          <t>370195836:eng</t>
        </is>
      </c>
      <c r="AX1458" t="inlineStr">
        <is>
          <t>56012245</t>
        </is>
      </c>
      <c r="AY1458" t="inlineStr">
        <is>
          <t>991000437879702656</t>
        </is>
      </c>
      <c r="AZ1458" t="inlineStr">
        <is>
          <t>991000437879702656</t>
        </is>
      </c>
      <c r="BA1458" t="inlineStr">
        <is>
          <t>2255351430002656</t>
        </is>
      </c>
      <c r="BB1458" t="inlineStr">
        <is>
          <t>BOOK</t>
        </is>
      </c>
      <c r="BD1458" t="inlineStr">
        <is>
          <t>9780750643153</t>
        </is>
      </c>
      <c r="BE1458" t="inlineStr">
        <is>
          <t>30001004929610</t>
        </is>
      </c>
      <c r="BF1458" t="inlineStr">
        <is>
          <t>893447330</t>
        </is>
      </c>
    </row>
    <row r="1459">
      <c r="A1459" t="inlineStr">
        <is>
          <t>No</t>
        </is>
      </c>
      <c r="B1459" t="inlineStr">
        <is>
          <t>CUHSL</t>
        </is>
      </c>
      <c r="C1459" t="inlineStr">
        <is>
          <t>SHELVES</t>
        </is>
      </c>
      <c r="D1459" t="inlineStr">
        <is>
          <t>WY 152.5 T469c 1992</t>
        </is>
      </c>
      <c r="E1459" t="inlineStr">
        <is>
          <t>0                      WY 0152500T  469c        1992</t>
        </is>
      </c>
      <c r="F1459" t="inlineStr">
        <is>
          <t>Caring for the coronary patient / David R. Thompson and Rosemary A. Webster.</t>
        </is>
      </c>
      <c r="H1459" t="inlineStr">
        <is>
          <t>No</t>
        </is>
      </c>
      <c r="I1459" t="inlineStr">
        <is>
          <t>1</t>
        </is>
      </c>
      <c r="J1459" t="inlineStr">
        <is>
          <t>No</t>
        </is>
      </c>
      <c r="K1459" t="inlineStr">
        <is>
          <t>Yes</t>
        </is>
      </c>
      <c r="L1459" t="inlineStr">
        <is>
          <t>0</t>
        </is>
      </c>
      <c r="M1459" t="inlineStr">
        <is>
          <t>Thompson, David R., 1955-</t>
        </is>
      </c>
      <c r="N1459" t="inlineStr">
        <is>
          <t>Oxford ; Boston : Butterworth-Heinemann, c1992.</t>
        </is>
      </c>
      <c r="O1459" t="inlineStr">
        <is>
          <t>1992</t>
        </is>
      </c>
      <c r="Q1459" t="inlineStr">
        <is>
          <t>eng</t>
        </is>
      </c>
      <c r="R1459" t="inlineStr">
        <is>
          <t>enk</t>
        </is>
      </c>
      <c r="T1459" t="inlineStr">
        <is>
          <t xml:space="preserve">WY </t>
        </is>
      </c>
      <c r="U1459" t="n">
        <v>12</v>
      </c>
      <c r="V1459" t="n">
        <v>12</v>
      </c>
      <c r="W1459" t="inlineStr">
        <is>
          <t>1999-10-05</t>
        </is>
      </c>
      <c r="X1459" t="inlineStr">
        <is>
          <t>1999-10-05</t>
        </is>
      </c>
      <c r="Y1459" t="inlineStr">
        <is>
          <t>1992-12-10</t>
        </is>
      </c>
      <c r="Z1459" t="inlineStr">
        <is>
          <t>1992-12-10</t>
        </is>
      </c>
      <c r="AA1459" t="n">
        <v>120</v>
      </c>
      <c r="AB1459" t="n">
        <v>65</v>
      </c>
      <c r="AC1459" t="n">
        <v>125</v>
      </c>
      <c r="AD1459" t="n">
        <v>1</v>
      </c>
      <c r="AE1459" t="n">
        <v>1</v>
      </c>
      <c r="AF1459" t="n">
        <v>2</v>
      </c>
      <c r="AG1459" t="n">
        <v>3</v>
      </c>
      <c r="AH1459" t="n">
        <v>0</v>
      </c>
      <c r="AI1459" t="n">
        <v>0</v>
      </c>
      <c r="AJ1459" t="n">
        <v>0</v>
      </c>
      <c r="AK1459" t="n">
        <v>1</v>
      </c>
      <c r="AL1459" t="n">
        <v>2</v>
      </c>
      <c r="AM1459" t="n">
        <v>3</v>
      </c>
      <c r="AN1459" t="n">
        <v>0</v>
      </c>
      <c r="AO1459" t="n">
        <v>0</v>
      </c>
      <c r="AP1459" t="n">
        <v>0</v>
      </c>
      <c r="AQ1459" t="n">
        <v>0</v>
      </c>
      <c r="AR1459" t="inlineStr">
        <is>
          <t>No</t>
        </is>
      </c>
      <c r="AS1459" t="inlineStr">
        <is>
          <t>Yes</t>
        </is>
      </c>
      <c r="AT1459">
        <f>HYPERLINK("http://catalog.hathitrust.org/Record/002547381","HathiTrust Record")</f>
        <v/>
      </c>
      <c r="AU1459">
        <f>HYPERLINK("https://creighton-primo.hosted.exlibrisgroup.com/primo-explore/search?tab=default_tab&amp;search_scope=EVERYTHING&amp;vid=01CRU&amp;lang=en_US&amp;offset=0&amp;query=any,contains,991001350459702656","Catalog Record")</f>
        <v/>
      </c>
      <c r="AV1459">
        <f>HYPERLINK("http://www.worldcat.org/oclc/25908014","WorldCat Record")</f>
        <v/>
      </c>
      <c r="AW1459" t="inlineStr">
        <is>
          <t>370195836:eng</t>
        </is>
      </c>
      <c r="AX1459" t="inlineStr">
        <is>
          <t>25908014</t>
        </is>
      </c>
      <c r="AY1459" t="inlineStr">
        <is>
          <t>991001350459702656</t>
        </is>
      </c>
      <c r="AZ1459" t="inlineStr">
        <is>
          <t>991001350459702656</t>
        </is>
      </c>
      <c r="BA1459" t="inlineStr">
        <is>
          <t>2269865940002656</t>
        </is>
      </c>
      <c r="BB1459" t="inlineStr">
        <is>
          <t>BOOK</t>
        </is>
      </c>
      <c r="BD1459" t="inlineStr">
        <is>
          <t>9780750603973</t>
        </is>
      </c>
      <c r="BE1459" t="inlineStr">
        <is>
          <t>30001002459354</t>
        </is>
      </c>
      <c r="BF1459" t="inlineStr">
        <is>
          <t>893149112</t>
        </is>
      </c>
    </row>
    <row r="1460">
      <c r="A1460" t="inlineStr">
        <is>
          <t>No</t>
        </is>
      </c>
      <c r="B1460" t="inlineStr">
        <is>
          <t>CUHSL</t>
        </is>
      </c>
      <c r="C1460" t="inlineStr">
        <is>
          <t>SHELVES</t>
        </is>
      </c>
      <c r="D1460" t="inlineStr">
        <is>
          <t>WY 152.5 V331 1999</t>
        </is>
      </c>
      <c r="E1460" t="inlineStr">
        <is>
          <t>0                      WY 0152500V  331         1999</t>
        </is>
      </c>
      <c r="F1460" t="inlineStr">
        <is>
          <t>Vascular nursing / [edited by] Victora A. Fahey.</t>
        </is>
      </c>
      <c r="H1460" t="inlineStr">
        <is>
          <t>No</t>
        </is>
      </c>
      <c r="I1460" t="inlineStr">
        <is>
          <t>1</t>
        </is>
      </c>
      <c r="J1460" t="inlineStr">
        <is>
          <t>No</t>
        </is>
      </c>
      <c r="K1460" t="inlineStr">
        <is>
          <t>Yes</t>
        </is>
      </c>
      <c r="L1460" t="inlineStr">
        <is>
          <t>0</t>
        </is>
      </c>
      <c r="N1460" t="inlineStr">
        <is>
          <t>Philadelphia : Saunders, c1999.</t>
        </is>
      </c>
      <c r="O1460" t="inlineStr">
        <is>
          <t>1999</t>
        </is>
      </c>
      <c r="P1460" t="inlineStr">
        <is>
          <t>3rd ed.</t>
        </is>
      </c>
      <c r="Q1460" t="inlineStr">
        <is>
          <t>eng</t>
        </is>
      </c>
      <c r="R1460" t="inlineStr">
        <is>
          <t>pau</t>
        </is>
      </c>
      <c r="T1460" t="inlineStr">
        <is>
          <t xml:space="preserve">WY </t>
        </is>
      </c>
      <c r="U1460" t="n">
        <v>2</v>
      </c>
      <c r="V1460" t="n">
        <v>2</v>
      </c>
      <c r="W1460" t="inlineStr">
        <is>
          <t>1999-06-23</t>
        </is>
      </c>
      <c r="X1460" t="inlineStr">
        <is>
          <t>1999-06-23</t>
        </is>
      </c>
      <c r="Y1460" t="inlineStr">
        <is>
          <t>1999-06-23</t>
        </is>
      </c>
      <c r="Z1460" t="inlineStr">
        <is>
          <t>1999-06-23</t>
        </is>
      </c>
      <c r="AA1460" t="n">
        <v>335</v>
      </c>
      <c r="AB1460" t="n">
        <v>276</v>
      </c>
      <c r="AC1460" t="n">
        <v>662</v>
      </c>
      <c r="AD1460" t="n">
        <v>3</v>
      </c>
      <c r="AE1460" t="n">
        <v>6</v>
      </c>
      <c r="AF1460" t="n">
        <v>10</v>
      </c>
      <c r="AG1460" t="n">
        <v>20</v>
      </c>
      <c r="AH1460" t="n">
        <v>4</v>
      </c>
      <c r="AI1460" t="n">
        <v>6</v>
      </c>
      <c r="AJ1460" t="n">
        <v>2</v>
      </c>
      <c r="AK1460" t="n">
        <v>4</v>
      </c>
      <c r="AL1460" t="n">
        <v>4</v>
      </c>
      <c r="AM1460" t="n">
        <v>10</v>
      </c>
      <c r="AN1460" t="n">
        <v>1</v>
      </c>
      <c r="AO1460" t="n">
        <v>4</v>
      </c>
      <c r="AP1460" t="n">
        <v>0</v>
      </c>
      <c r="AQ1460" t="n">
        <v>0</v>
      </c>
      <c r="AR1460" t="inlineStr">
        <is>
          <t>No</t>
        </is>
      </c>
      <c r="AS1460" t="inlineStr">
        <is>
          <t>Yes</t>
        </is>
      </c>
      <c r="AT1460">
        <f>HYPERLINK("http://catalog.hathitrust.org/Record/004032664","HathiTrust Record")</f>
        <v/>
      </c>
      <c r="AU1460">
        <f>HYPERLINK("https://creighton-primo.hosted.exlibrisgroup.com/primo-explore/search?tab=default_tab&amp;search_scope=EVERYTHING&amp;vid=01CRU&amp;lang=en_US&amp;offset=0&amp;query=any,contains,991001557609702656","Catalog Record")</f>
        <v/>
      </c>
      <c r="AV1460">
        <f>HYPERLINK("http://www.worldcat.org/oclc/39811615","WorldCat Record")</f>
        <v/>
      </c>
      <c r="AW1460" t="inlineStr">
        <is>
          <t>55040377:eng</t>
        </is>
      </c>
      <c r="AX1460" t="inlineStr">
        <is>
          <t>39811615</t>
        </is>
      </c>
      <c r="AY1460" t="inlineStr">
        <is>
          <t>991001557609702656</t>
        </is>
      </c>
      <c r="AZ1460" t="inlineStr">
        <is>
          <t>991001557609702656</t>
        </is>
      </c>
      <c r="BA1460" t="inlineStr">
        <is>
          <t>2269969130002656</t>
        </is>
      </c>
      <c r="BB1460" t="inlineStr">
        <is>
          <t>BOOK</t>
        </is>
      </c>
      <c r="BD1460" t="inlineStr">
        <is>
          <t>9780721676579</t>
        </is>
      </c>
      <c r="BE1460" t="inlineStr">
        <is>
          <t>30001004074821</t>
        </is>
      </c>
      <c r="BF1460" t="inlineStr">
        <is>
          <t>893552637</t>
        </is>
      </c>
    </row>
    <row r="1461">
      <c r="A1461" t="inlineStr">
        <is>
          <t>No</t>
        </is>
      </c>
      <c r="B1461" t="inlineStr">
        <is>
          <t>CUHSL</t>
        </is>
      </c>
      <c r="C1461" t="inlineStr">
        <is>
          <t>SHELVES</t>
        </is>
      </c>
      <c r="D1461" t="inlineStr">
        <is>
          <t>WY152.5 V331 2004</t>
        </is>
      </c>
      <c r="E1461" t="inlineStr">
        <is>
          <t>0                      WY 0152500V  331         2004</t>
        </is>
      </c>
      <c r="F1461" t="inlineStr">
        <is>
          <t>Vascular nursing / edited by Victora A. Fahey.</t>
        </is>
      </c>
      <c r="H1461" t="inlineStr">
        <is>
          <t>No</t>
        </is>
      </c>
      <c r="I1461" t="inlineStr">
        <is>
          <t>1</t>
        </is>
      </c>
      <c r="J1461" t="inlineStr">
        <is>
          <t>No</t>
        </is>
      </c>
      <c r="K1461" t="inlineStr">
        <is>
          <t>Yes</t>
        </is>
      </c>
      <c r="L1461" t="inlineStr">
        <is>
          <t>0</t>
        </is>
      </c>
      <c r="N1461" t="inlineStr">
        <is>
          <t>St Louis, Mo. : Saunders, c2004.</t>
        </is>
      </c>
      <c r="O1461" t="inlineStr">
        <is>
          <t>2004</t>
        </is>
      </c>
      <c r="P1461" t="inlineStr">
        <is>
          <t>4th ed.</t>
        </is>
      </c>
      <c r="Q1461" t="inlineStr">
        <is>
          <t>eng</t>
        </is>
      </c>
      <c r="R1461" t="inlineStr">
        <is>
          <t>mou</t>
        </is>
      </c>
      <c r="T1461" t="inlineStr">
        <is>
          <t xml:space="preserve">WY </t>
        </is>
      </c>
      <c r="U1461" t="n">
        <v>1</v>
      </c>
      <c r="V1461" t="n">
        <v>1</v>
      </c>
      <c r="W1461" t="inlineStr">
        <is>
          <t>2007-09-04</t>
        </is>
      </c>
      <c r="X1461" t="inlineStr">
        <is>
          <t>2007-09-04</t>
        </is>
      </c>
      <c r="Y1461" t="inlineStr">
        <is>
          <t>2004-03-25</t>
        </is>
      </c>
      <c r="Z1461" t="inlineStr">
        <is>
          <t>2004-03-25</t>
        </is>
      </c>
      <c r="AA1461" t="n">
        <v>396</v>
      </c>
      <c r="AB1461" t="n">
        <v>309</v>
      </c>
      <c r="AC1461" t="n">
        <v>662</v>
      </c>
      <c r="AD1461" t="n">
        <v>3</v>
      </c>
      <c r="AE1461" t="n">
        <v>6</v>
      </c>
      <c r="AF1461" t="n">
        <v>10</v>
      </c>
      <c r="AG1461" t="n">
        <v>20</v>
      </c>
      <c r="AH1461" t="n">
        <v>1</v>
      </c>
      <c r="AI1461" t="n">
        <v>6</v>
      </c>
      <c r="AJ1461" t="n">
        <v>2</v>
      </c>
      <c r="AK1461" t="n">
        <v>4</v>
      </c>
      <c r="AL1461" t="n">
        <v>7</v>
      </c>
      <c r="AM1461" t="n">
        <v>10</v>
      </c>
      <c r="AN1461" t="n">
        <v>2</v>
      </c>
      <c r="AO1461" t="n">
        <v>4</v>
      </c>
      <c r="AP1461" t="n">
        <v>0</v>
      </c>
      <c r="AQ1461" t="n">
        <v>0</v>
      </c>
      <c r="AR1461" t="inlineStr">
        <is>
          <t>No</t>
        </is>
      </c>
      <c r="AS1461" t="inlineStr">
        <is>
          <t>Yes</t>
        </is>
      </c>
      <c r="AT1461">
        <f>HYPERLINK("http://catalog.hathitrust.org/Record/003884414","HathiTrust Record")</f>
        <v/>
      </c>
      <c r="AU1461">
        <f>HYPERLINK("https://creighton-primo.hosted.exlibrisgroup.com/primo-explore/search?tab=default_tab&amp;search_scope=EVERYTHING&amp;vid=01CRU&amp;lang=en_US&amp;offset=0&amp;query=any,contains,991001726819702656","Catalog Record")</f>
        <v/>
      </c>
      <c r="AV1461">
        <f>HYPERLINK("http://www.worldcat.org/oclc/53958693","WorldCat Record")</f>
        <v/>
      </c>
      <c r="AW1461" t="inlineStr">
        <is>
          <t>55040377:eng</t>
        </is>
      </c>
      <c r="AX1461" t="inlineStr">
        <is>
          <t>53958693</t>
        </is>
      </c>
      <c r="AY1461" t="inlineStr">
        <is>
          <t>991001726819702656</t>
        </is>
      </c>
      <c r="AZ1461" t="inlineStr">
        <is>
          <t>991001726819702656</t>
        </is>
      </c>
      <c r="BA1461" t="inlineStr">
        <is>
          <t>2272783790002656</t>
        </is>
      </c>
      <c r="BB1461" t="inlineStr">
        <is>
          <t>BOOK</t>
        </is>
      </c>
      <c r="BD1461" t="inlineStr">
        <is>
          <t>9780721695679</t>
        </is>
      </c>
      <c r="BE1461" t="inlineStr">
        <is>
          <t>30001004509479</t>
        </is>
      </c>
      <c r="BF1461" t="inlineStr">
        <is>
          <t>893162262</t>
        </is>
      </c>
    </row>
    <row r="1462">
      <c r="A1462" t="inlineStr">
        <is>
          <t>No</t>
        </is>
      </c>
      <c r="B1462" t="inlineStr">
        <is>
          <t>CUHSL</t>
        </is>
      </c>
      <c r="C1462" t="inlineStr">
        <is>
          <t>SHELVES</t>
        </is>
      </c>
      <c r="D1462" t="inlineStr">
        <is>
          <t>WY 152.5 Y42c 1986</t>
        </is>
      </c>
      <c r="E1462" t="inlineStr">
        <is>
          <t>0                      WY 0152500Y  42c         1986</t>
        </is>
      </c>
      <c r="F1462" t="inlineStr">
        <is>
          <t>Cardiac critical care nursing / Barbara Homer Yee, Susan Lynn Zorb.</t>
        </is>
      </c>
      <c r="H1462" t="inlineStr">
        <is>
          <t>No</t>
        </is>
      </c>
      <c r="I1462" t="inlineStr">
        <is>
          <t>1</t>
        </is>
      </c>
      <c r="J1462" t="inlineStr">
        <is>
          <t>No</t>
        </is>
      </c>
      <c r="K1462" t="inlineStr">
        <is>
          <t>No</t>
        </is>
      </c>
      <c r="L1462" t="inlineStr">
        <is>
          <t>0</t>
        </is>
      </c>
      <c r="M1462" t="inlineStr">
        <is>
          <t>Yee, Barbara Homer.</t>
        </is>
      </c>
      <c r="N1462" t="inlineStr">
        <is>
          <t>Boston : Little, Brown, c1986.</t>
        </is>
      </c>
      <c r="O1462" t="inlineStr">
        <is>
          <t>1986</t>
        </is>
      </c>
      <c r="Q1462" t="inlineStr">
        <is>
          <t>eng</t>
        </is>
      </c>
      <c r="R1462" t="inlineStr">
        <is>
          <t>xxu</t>
        </is>
      </c>
      <c r="T1462" t="inlineStr">
        <is>
          <t xml:space="preserve">WY </t>
        </is>
      </c>
      <c r="U1462" t="n">
        <v>16</v>
      </c>
      <c r="V1462" t="n">
        <v>16</v>
      </c>
      <c r="W1462" t="inlineStr">
        <is>
          <t>1991-11-29</t>
        </is>
      </c>
      <c r="X1462" t="inlineStr">
        <is>
          <t>1991-11-29</t>
        </is>
      </c>
      <c r="Y1462" t="inlineStr">
        <is>
          <t>1987-12-22</t>
        </is>
      </c>
      <c r="Z1462" t="inlineStr">
        <is>
          <t>1987-12-22</t>
        </is>
      </c>
      <c r="AA1462" t="n">
        <v>200</v>
      </c>
      <c r="AB1462" t="n">
        <v>168</v>
      </c>
      <c r="AC1462" t="n">
        <v>176</v>
      </c>
      <c r="AD1462" t="n">
        <v>1</v>
      </c>
      <c r="AE1462" t="n">
        <v>1</v>
      </c>
      <c r="AF1462" t="n">
        <v>8</v>
      </c>
      <c r="AG1462" t="n">
        <v>8</v>
      </c>
      <c r="AH1462" t="n">
        <v>3</v>
      </c>
      <c r="AI1462" t="n">
        <v>3</v>
      </c>
      <c r="AJ1462" t="n">
        <v>2</v>
      </c>
      <c r="AK1462" t="n">
        <v>2</v>
      </c>
      <c r="AL1462" t="n">
        <v>7</v>
      </c>
      <c r="AM1462" t="n">
        <v>7</v>
      </c>
      <c r="AN1462" t="n">
        <v>0</v>
      </c>
      <c r="AO1462" t="n">
        <v>0</v>
      </c>
      <c r="AP1462" t="n">
        <v>0</v>
      </c>
      <c r="AQ1462" t="n">
        <v>0</v>
      </c>
      <c r="AR1462" t="inlineStr">
        <is>
          <t>No</t>
        </is>
      </c>
      <c r="AS1462" t="inlineStr">
        <is>
          <t>Yes</t>
        </is>
      </c>
      <c r="AT1462">
        <f>HYPERLINK("http://catalog.hathitrust.org/Record/000616699","HathiTrust Record")</f>
        <v/>
      </c>
      <c r="AU1462">
        <f>HYPERLINK("https://creighton-primo.hosted.exlibrisgroup.com/primo-explore/search?tab=default_tab&amp;search_scope=EVERYTHING&amp;vid=01CRU&amp;lang=en_US&amp;offset=0&amp;query=any,contains,991001436319702656","Catalog Record")</f>
        <v/>
      </c>
      <c r="AV1462">
        <f>HYPERLINK("http://www.worldcat.org/oclc/12344218","WorldCat Record")</f>
        <v/>
      </c>
      <c r="AW1462" t="inlineStr">
        <is>
          <t>5292081:eng</t>
        </is>
      </c>
      <c r="AX1462" t="inlineStr">
        <is>
          <t>12344218</t>
        </is>
      </c>
      <c r="AY1462" t="inlineStr">
        <is>
          <t>991001436319702656</t>
        </is>
      </c>
      <c r="AZ1462" t="inlineStr">
        <is>
          <t>991001436319702656</t>
        </is>
      </c>
      <c r="BA1462" t="inlineStr">
        <is>
          <t>2271972420002656</t>
        </is>
      </c>
      <c r="BB1462" t="inlineStr">
        <is>
          <t>BOOK</t>
        </is>
      </c>
      <c r="BD1462" t="inlineStr">
        <is>
          <t>9780316968713</t>
        </is>
      </c>
      <c r="BE1462" t="inlineStr">
        <is>
          <t>30001000529232</t>
        </is>
      </c>
      <c r="BF1462" t="inlineStr">
        <is>
          <t>893638308</t>
        </is>
      </c>
    </row>
    <row r="1463">
      <c r="A1463" t="inlineStr">
        <is>
          <t>No</t>
        </is>
      </c>
      <c r="B1463" t="inlineStr">
        <is>
          <t>CUHSL</t>
        </is>
      </c>
      <c r="C1463" t="inlineStr">
        <is>
          <t>SHELVES</t>
        </is>
      </c>
      <c r="D1463" t="inlineStr">
        <is>
          <t>WY 153 B632p 1981</t>
        </is>
      </c>
      <c r="E1463" t="inlineStr">
        <is>
          <t>0                      WY 0153000B  632p        1981</t>
        </is>
      </c>
      <c r="F1463" t="inlineStr">
        <is>
          <t>Principles of infection and immunity in patient care / C. Caroline Blackwell, D.M. Weir.</t>
        </is>
      </c>
      <c r="H1463" t="inlineStr">
        <is>
          <t>No</t>
        </is>
      </c>
      <c r="I1463" t="inlineStr">
        <is>
          <t>1</t>
        </is>
      </c>
      <c r="J1463" t="inlineStr">
        <is>
          <t>No</t>
        </is>
      </c>
      <c r="K1463" t="inlineStr">
        <is>
          <t>No</t>
        </is>
      </c>
      <c r="L1463" t="inlineStr">
        <is>
          <t>0</t>
        </is>
      </c>
      <c r="M1463" t="inlineStr">
        <is>
          <t>Blackwell, Caroline.</t>
        </is>
      </c>
      <c r="N1463" t="inlineStr">
        <is>
          <t>Edinburgh ; New York : Churchill Livingstone, c1981.</t>
        </is>
      </c>
      <c r="O1463" t="inlineStr">
        <is>
          <t>1981</t>
        </is>
      </c>
      <c r="Q1463" t="inlineStr">
        <is>
          <t>eng</t>
        </is>
      </c>
      <c r="R1463" t="inlineStr">
        <is>
          <t>stk</t>
        </is>
      </c>
      <c r="S1463" t="inlineStr">
        <is>
          <t>Churchill Livingstone nursing text</t>
        </is>
      </c>
      <c r="T1463" t="inlineStr">
        <is>
          <t xml:space="preserve">WY </t>
        </is>
      </c>
      <c r="U1463" t="n">
        <v>1</v>
      </c>
      <c r="V1463" t="n">
        <v>1</v>
      </c>
      <c r="W1463" t="inlineStr">
        <is>
          <t>1993-02-12</t>
        </is>
      </c>
      <c r="X1463" t="inlineStr">
        <is>
          <t>1993-02-12</t>
        </is>
      </c>
      <c r="Y1463" t="inlineStr">
        <is>
          <t>1987-12-22</t>
        </is>
      </c>
      <c r="Z1463" t="inlineStr">
        <is>
          <t>1987-12-22</t>
        </is>
      </c>
      <c r="AA1463" t="n">
        <v>80</v>
      </c>
      <c r="AB1463" t="n">
        <v>23</v>
      </c>
      <c r="AC1463" t="n">
        <v>23</v>
      </c>
      <c r="AD1463" t="n">
        <v>1</v>
      </c>
      <c r="AE1463" t="n">
        <v>1</v>
      </c>
      <c r="AF1463" t="n">
        <v>1</v>
      </c>
      <c r="AG1463" t="n">
        <v>1</v>
      </c>
      <c r="AH1463" t="n">
        <v>0</v>
      </c>
      <c r="AI1463" t="n">
        <v>0</v>
      </c>
      <c r="AJ1463" t="n">
        <v>0</v>
      </c>
      <c r="AK1463" t="n">
        <v>0</v>
      </c>
      <c r="AL1463" t="n">
        <v>1</v>
      </c>
      <c r="AM1463" t="n">
        <v>1</v>
      </c>
      <c r="AN1463" t="n">
        <v>0</v>
      </c>
      <c r="AO1463" t="n">
        <v>0</v>
      </c>
      <c r="AP1463" t="n">
        <v>0</v>
      </c>
      <c r="AQ1463" t="n">
        <v>0</v>
      </c>
      <c r="AR1463" t="inlineStr">
        <is>
          <t>No</t>
        </is>
      </c>
      <c r="AS1463" t="inlineStr">
        <is>
          <t>No</t>
        </is>
      </c>
      <c r="AU1463">
        <f>HYPERLINK("https://creighton-primo.hosted.exlibrisgroup.com/primo-explore/search?tab=default_tab&amp;search_scope=EVERYTHING&amp;vid=01CRU&amp;lang=en_US&amp;offset=0&amp;query=any,contains,991000865989702656","Catalog Record")</f>
        <v/>
      </c>
      <c r="AV1463">
        <f>HYPERLINK("http://www.worldcat.org/oclc/8453456","WorldCat Record")</f>
        <v/>
      </c>
      <c r="AW1463" t="inlineStr">
        <is>
          <t>4413278778:eng</t>
        </is>
      </c>
      <c r="AX1463" t="inlineStr">
        <is>
          <t>8453456</t>
        </is>
      </c>
      <c r="AY1463" t="inlineStr">
        <is>
          <t>991000865989702656</t>
        </is>
      </c>
      <c r="AZ1463" t="inlineStr">
        <is>
          <t>991000865989702656</t>
        </is>
      </c>
      <c r="BA1463" t="inlineStr">
        <is>
          <t>2271435900002656</t>
        </is>
      </c>
      <c r="BB1463" t="inlineStr">
        <is>
          <t>BOOK</t>
        </is>
      </c>
      <c r="BD1463" t="inlineStr">
        <is>
          <t>9780443019067</t>
        </is>
      </c>
      <c r="BE1463" t="inlineStr">
        <is>
          <t>30001000144461</t>
        </is>
      </c>
      <c r="BF1463" t="inlineStr">
        <is>
          <t>893450567</t>
        </is>
      </c>
    </row>
    <row r="1464">
      <c r="A1464" t="inlineStr">
        <is>
          <t>No</t>
        </is>
      </c>
      <c r="B1464" t="inlineStr">
        <is>
          <t>CUHSL</t>
        </is>
      </c>
      <c r="C1464" t="inlineStr">
        <is>
          <t>SHELVES</t>
        </is>
      </c>
      <c r="D1464" t="inlineStr">
        <is>
          <t>WY 153 G862i 1991</t>
        </is>
      </c>
      <c r="E1464" t="inlineStr">
        <is>
          <t>0                      WY 0153000G  862i        1991</t>
        </is>
      </c>
      <c r="F1464" t="inlineStr">
        <is>
          <t>Infectious diseases / Deanna E. Grimes ; original illustrations by George J. Wassilchenko and Donald P. O'Connor ; original photography by Patrick Watson.</t>
        </is>
      </c>
      <c r="H1464" t="inlineStr">
        <is>
          <t>No</t>
        </is>
      </c>
      <c r="I1464" t="inlineStr">
        <is>
          <t>1</t>
        </is>
      </c>
      <c r="J1464" t="inlineStr">
        <is>
          <t>No</t>
        </is>
      </c>
      <c r="K1464" t="inlineStr">
        <is>
          <t>No</t>
        </is>
      </c>
      <c r="L1464" t="inlineStr">
        <is>
          <t>0</t>
        </is>
      </c>
      <c r="M1464" t="inlineStr">
        <is>
          <t>Grimes, Deanna E.</t>
        </is>
      </c>
      <c r="N1464" t="inlineStr">
        <is>
          <t>St. Louis : Mosby-Year Book, c1991.</t>
        </is>
      </c>
      <c r="O1464" t="inlineStr">
        <is>
          <t>1991</t>
        </is>
      </c>
      <c r="Q1464" t="inlineStr">
        <is>
          <t>eng</t>
        </is>
      </c>
      <c r="R1464" t="inlineStr">
        <is>
          <t>xxu</t>
        </is>
      </c>
      <c r="S1464" t="inlineStr">
        <is>
          <t>Mosby's clinical nursing series</t>
        </is>
      </c>
      <c r="T1464" t="inlineStr">
        <is>
          <t xml:space="preserve">WY </t>
        </is>
      </c>
      <c r="U1464" t="n">
        <v>2</v>
      </c>
      <c r="V1464" t="n">
        <v>2</v>
      </c>
      <c r="W1464" t="inlineStr">
        <is>
          <t>1991-09-11</t>
        </is>
      </c>
      <c r="X1464" t="inlineStr">
        <is>
          <t>1991-09-11</t>
        </is>
      </c>
      <c r="Y1464" t="inlineStr">
        <is>
          <t>1991-09-11</t>
        </is>
      </c>
      <c r="Z1464" t="inlineStr">
        <is>
          <t>1991-09-11</t>
        </is>
      </c>
      <c r="AA1464" t="n">
        <v>441</v>
      </c>
      <c r="AB1464" t="n">
        <v>377</v>
      </c>
      <c r="AC1464" t="n">
        <v>394</v>
      </c>
      <c r="AD1464" t="n">
        <v>2</v>
      </c>
      <c r="AE1464" t="n">
        <v>2</v>
      </c>
      <c r="AF1464" t="n">
        <v>12</v>
      </c>
      <c r="AG1464" t="n">
        <v>14</v>
      </c>
      <c r="AH1464" t="n">
        <v>6</v>
      </c>
      <c r="AI1464" t="n">
        <v>7</v>
      </c>
      <c r="AJ1464" t="n">
        <v>2</v>
      </c>
      <c r="AK1464" t="n">
        <v>3</v>
      </c>
      <c r="AL1464" t="n">
        <v>7</v>
      </c>
      <c r="AM1464" t="n">
        <v>7</v>
      </c>
      <c r="AN1464" t="n">
        <v>1</v>
      </c>
      <c r="AO1464" t="n">
        <v>1</v>
      </c>
      <c r="AP1464" t="n">
        <v>0</v>
      </c>
      <c r="AQ1464" t="n">
        <v>0</v>
      </c>
      <c r="AR1464" t="inlineStr">
        <is>
          <t>No</t>
        </is>
      </c>
      <c r="AS1464" t="inlineStr">
        <is>
          <t>Yes</t>
        </is>
      </c>
      <c r="AT1464">
        <f>HYPERLINK("http://catalog.hathitrust.org/Record/002453543","HathiTrust Record")</f>
        <v/>
      </c>
      <c r="AU1464">
        <f>HYPERLINK("https://creighton-primo.hosted.exlibrisgroup.com/primo-explore/search?tab=default_tab&amp;search_scope=EVERYTHING&amp;vid=01CRU&amp;lang=en_US&amp;offset=0&amp;query=any,contains,991001780189702656","Catalog Record")</f>
        <v/>
      </c>
      <c r="AV1464">
        <f>HYPERLINK("http://www.worldcat.org/oclc/23016038","WorldCat Record")</f>
        <v/>
      </c>
      <c r="AW1464" t="inlineStr">
        <is>
          <t>24231417:eng</t>
        </is>
      </c>
      <c r="AX1464" t="inlineStr">
        <is>
          <t>23016038</t>
        </is>
      </c>
      <c r="AY1464" t="inlineStr">
        <is>
          <t>991001780189702656</t>
        </is>
      </c>
      <c r="AZ1464" t="inlineStr">
        <is>
          <t>991001780189702656</t>
        </is>
      </c>
      <c r="BA1464" t="inlineStr">
        <is>
          <t>2261050510002656</t>
        </is>
      </c>
      <c r="BB1464" t="inlineStr">
        <is>
          <t>BOOK</t>
        </is>
      </c>
      <c r="BD1464" t="inlineStr">
        <is>
          <t>9780801623455</t>
        </is>
      </c>
      <c r="BE1464" t="inlineStr">
        <is>
          <t>30001002240309</t>
        </is>
      </c>
      <c r="BF1464" t="inlineStr">
        <is>
          <t>893736951</t>
        </is>
      </c>
    </row>
    <row r="1465">
      <c r="A1465" t="inlineStr">
        <is>
          <t>No</t>
        </is>
      </c>
      <c r="B1465" t="inlineStr">
        <is>
          <t>CUHSL</t>
        </is>
      </c>
      <c r="C1465" t="inlineStr">
        <is>
          <t>SHELVES</t>
        </is>
      </c>
      <c r="D1465" t="inlineStr">
        <is>
          <t>WY 153 G979i 1989</t>
        </is>
      </c>
      <c r="E1465" t="inlineStr">
        <is>
          <t>0                      WY 0153000G  979i        1989</t>
        </is>
      </c>
      <c r="F1465" t="inlineStr">
        <is>
          <t>Infectious diseases in critical care nursing : prevention and precautions / Inge Gurevich.</t>
        </is>
      </c>
      <c r="H1465" t="inlineStr">
        <is>
          <t>No</t>
        </is>
      </c>
      <c r="I1465" t="inlineStr">
        <is>
          <t>1</t>
        </is>
      </c>
      <c r="J1465" t="inlineStr">
        <is>
          <t>No</t>
        </is>
      </c>
      <c r="K1465" t="inlineStr">
        <is>
          <t>No</t>
        </is>
      </c>
      <c r="L1465" t="inlineStr">
        <is>
          <t>0</t>
        </is>
      </c>
      <c r="M1465" t="inlineStr">
        <is>
          <t>Gurevich, Inge.</t>
        </is>
      </c>
      <c r="N1465" t="inlineStr">
        <is>
          <t>Rockville, Md. : Aspen Publishers, c1989.</t>
        </is>
      </c>
      <c r="O1465" t="inlineStr">
        <is>
          <t>1989</t>
        </is>
      </c>
      <c r="Q1465" t="inlineStr">
        <is>
          <t>eng</t>
        </is>
      </c>
      <c r="R1465" t="inlineStr">
        <is>
          <t>xxu</t>
        </is>
      </c>
      <c r="T1465" t="inlineStr">
        <is>
          <t xml:space="preserve">WY </t>
        </is>
      </c>
      <c r="U1465" t="n">
        <v>3</v>
      </c>
      <c r="V1465" t="n">
        <v>3</v>
      </c>
      <c r="W1465" t="inlineStr">
        <is>
          <t>1990-05-11</t>
        </is>
      </c>
      <c r="X1465" t="inlineStr">
        <is>
          <t>1990-05-11</t>
        </is>
      </c>
      <c r="Y1465" t="inlineStr">
        <is>
          <t>1990-01-23</t>
        </is>
      </c>
      <c r="Z1465" t="inlineStr">
        <is>
          <t>1990-01-23</t>
        </is>
      </c>
      <c r="AA1465" t="n">
        <v>182</v>
      </c>
      <c r="AB1465" t="n">
        <v>154</v>
      </c>
      <c r="AC1465" t="n">
        <v>156</v>
      </c>
      <c r="AD1465" t="n">
        <v>1</v>
      </c>
      <c r="AE1465" t="n">
        <v>1</v>
      </c>
      <c r="AF1465" t="n">
        <v>5</v>
      </c>
      <c r="AG1465" t="n">
        <v>5</v>
      </c>
      <c r="AH1465" t="n">
        <v>1</v>
      </c>
      <c r="AI1465" t="n">
        <v>1</v>
      </c>
      <c r="AJ1465" t="n">
        <v>3</v>
      </c>
      <c r="AK1465" t="n">
        <v>3</v>
      </c>
      <c r="AL1465" t="n">
        <v>3</v>
      </c>
      <c r="AM1465" t="n">
        <v>3</v>
      </c>
      <c r="AN1465" t="n">
        <v>0</v>
      </c>
      <c r="AO1465" t="n">
        <v>0</v>
      </c>
      <c r="AP1465" t="n">
        <v>0</v>
      </c>
      <c r="AQ1465" t="n">
        <v>0</v>
      </c>
      <c r="AR1465" t="inlineStr">
        <is>
          <t>No</t>
        </is>
      </c>
      <c r="AS1465" t="inlineStr">
        <is>
          <t>Yes</t>
        </is>
      </c>
      <c r="AT1465">
        <f>HYPERLINK("http://catalog.hathitrust.org/Record/001814660","HathiTrust Record")</f>
        <v/>
      </c>
      <c r="AU1465">
        <f>HYPERLINK("https://creighton-primo.hosted.exlibrisgroup.com/primo-explore/search?tab=default_tab&amp;search_scope=EVERYTHING&amp;vid=01CRU&amp;lang=en_US&amp;offset=0&amp;query=any,contains,991001443539702656","Catalog Record")</f>
        <v/>
      </c>
      <c r="AV1465">
        <f>HYPERLINK("http://www.worldcat.org/oclc/20089650","WorldCat Record")</f>
        <v/>
      </c>
      <c r="AW1465" t="inlineStr">
        <is>
          <t>427440752:eng</t>
        </is>
      </c>
      <c r="AX1465" t="inlineStr">
        <is>
          <t>20089650</t>
        </is>
      </c>
      <c r="AY1465" t="inlineStr">
        <is>
          <t>991001443539702656</t>
        </is>
      </c>
      <c r="AZ1465" t="inlineStr">
        <is>
          <t>991001443539702656</t>
        </is>
      </c>
      <c r="BA1465" t="inlineStr">
        <is>
          <t>2260629960002656</t>
        </is>
      </c>
      <c r="BB1465" t="inlineStr">
        <is>
          <t>BOOK</t>
        </is>
      </c>
      <c r="BD1465" t="inlineStr">
        <is>
          <t>9780834200838</t>
        </is>
      </c>
      <c r="BE1465" t="inlineStr">
        <is>
          <t>30001001880014</t>
        </is>
      </c>
      <c r="BF1465" t="inlineStr">
        <is>
          <t>893162012</t>
        </is>
      </c>
    </row>
    <row r="1466">
      <c r="A1466" t="inlineStr">
        <is>
          <t>No</t>
        </is>
      </c>
      <c r="B1466" t="inlineStr">
        <is>
          <t>CUHSL</t>
        </is>
      </c>
      <c r="C1466" t="inlineStr">
        <is>
          <t>SHELVES</t>
        </is>
      </c>
      <c r="D1466" t="inlineStr">
        <is>
          <t>WY 153 N974 1988</t>
        </is>
      </c>
      <c r="E1466" t="inlineStr">
        <is>
          <t>0                      WY 0153000N  974         1988</t>
        </is>
      </c>
      <c r="F1466" t="inlineStr">
        <is>
          <t>Nursing and the human immunodeficiency virus : a guide for nursing's response to AIDS / American Nurses' Association.</t>
        </is>
      </c>
      <c r="H1466" t="inlineStr">
        <is>
          <t>No</t>
        </is>
      </c>
      <c r="I1466" t="inlineStr">
        <is>
          <t>1</t>
        </is>
      </c>
      <c r="J1466" t="inlineStr">
        <is>
          <t>No</t>
        </is>
      </c>
      <c r="K1466" t="inlineStr">
        <is>
          <t>No</t>
        </is>
      </c>
      <c r="L1466" t="inlineStr">
        <is>
          <t>0</t>
        </is>
      </c>
      <c r="N1466" t="inlineStr">
        <is>
          <t>Kansas City, Mo. : The Association, c1988.</t>
        </is>
      </c>
      <c r="O1466" t="inlineStr">
        <is>
          <t>1988</t>
        </is>
      </c>
      <c r="Q1466" t="inlineStr">
        <is>
          <t>eng</t>
        </is>
      </c>
      <c r="R1466" t="inlineStr">
        <is>
          <t>mou</t>
        </is>
      </c>
      <c r="S1466" t="inlineStr">
        <is>
          <t>American Nurses' Association: "MS-17 4.5M 6/88"</t>
        </is>
      </c>
      <c r="T1466" t="inlineStr">
        <is>
          <t xml:space="preserve">WY </t>
        </is>
      </c>
      <c r="U1466" t="n">
        <v>4</v>
      </c>
      <c r="V1466" t="n">
        <v>4</v>
      </c>
      <c r="W1466" t="inlineStr">
        <is>
          <t>1993-11-08</t>
        </is>
      </c>
      <c r="X1466" t="inlineStr">
        <is>
          <t>1993-11-08</t>
        </is>
      </c>
      <c r="Y1466" t="inlineStr">
        <is>
          <t>1988-09-20</t>
        </is>
      </c>
      <c r="Z1466" t="inlineStr">
        <is>
          <t>1988-09-20</t>
        </is>
      </c>
      <c r="AA1466" t="n">
        <v>132</v>
      </c>
      <c r="AB1466" t="n">
        <v>122</v>
      </c>
      <c r="AC1466" t="n">
        <v>132</v>
      </c>
      <c r="AD1466" t="n">
        <v>3</v>
      </c>
      <c r="AE1466" t="n">
        <v>3</v>
      </c>
      <c r="AF1466" t="n">
        <v>6</v>
      </c>
      <c r="AG1466" t="n">
        <v>6</v>
      </c>
      <c r="AH1466" t="n">
        <v>0</v>
      </c>
      <c r="AI1466" t="n">
        <v>0</v>
      </c>
      <c r="AJ1466" t="n">
        <v>1</v>
      </c>
      <c r="AK1466" t="n">
        <v>1</v>
      </c>
      <c r="AL1466" t="n">
        <v>5</v>
      </c>
      <c r="AM1466" t="n">
        <v>5</v>
      </c>
      <c r="AN1466" t="n">
        <v>1</v>
      </c>
      <c r="AO1466" t="n">
        <v>1</v>
      </c>
      <c r="AP1466" t="n">
        <v>0</v>
      </c>
      <c r="AQ1466" t="n">
        <v>0</v>
      </c>
      <c r="AR1466" t="inlineStr">
        <is>
          <t>No</t>
        </is>
      </c>
      <c r="AS1466" t="inlineStr">
        <is>
          <t>Yes</t>
        </is>
      </c>
      <c r="AT1466">
        <f>HYPERLINK("http://catalog.hathitrust.org/Record/001071208","HathiTrust Record")</f>
        <v/>
      </c>
      <c r="AU1466">
        <f>HYPERLINK("https://creighton-primo.hosted.exlibrisgroup.com/primo-explore/search?tab=default_tab&amp;search_scope=EVERYTHING&amp;vid=01CRU&amp;lang=en_US&amp;offset=0&amp;query=any,contains,991000760399702656","Catalog Record")</f>
        <v/>
      </c>
      <c r="AV1466">
        <f>HYPERLINK("http://www.worldcat.org/oclc/20454896","WorldCat Record")</f>
        <v/>
      </c>
      <c r="AW1466" t="inlineStr">
        <is>
          <t>930538683:eng</t>
        </is>
      </c>
      <c r="AX1466" t="inlineStr">
        <is>
          <t>20454896</t>
        </is>
      </c>
      <c r="AY1466" t="inlineStr">
        <is>
          <t>991000760399702656</t>
        </is>
      </c>
      <c r="AZ1466" t="inlineStr">
        <is>
          <t>991000760399702656</t>
        </is>
      </c>
      <c r="BA1466" t="inlineStr">
        <is>
          <t>2272219170002656</t>
        </is>
      </c>
      <c r="BB1466" t="inlineStr">
        <is>
          <t>BOOK</t>
        </is>
      </c>
      <c r="BE1466" t="inlineStr">
        <is>
          <t>30001001392119</t>
        </is>
      </c>
      <c r="BF1466" t="inlineStr">
        <is>
          <t>893148233</t>
        </is>
      </c>
    </row>
    <row r="1467">
      <c r="A1467" t="inlineStr">
        <is>
          <t>No</t>
        </is>
      </c>
      <c r="B1467" t="inlineStr">
        <is>
          <t>CUHSL</t>
        </is>
      </c>
      <c r="C1467" t="inlineStr">
        <is>
          <t>SHELVES</t>
        </is>
      </c>
      <c r="D1467" t="inlineStr">
        <is>
          <t>WY 153.5 B811h 1999</t>
        </is>
      </c>
      <c r="E1467" t="inlineStr">
        <is>
          <t>0                      WY 0153500B  811h        1999</t>
        </is>
      </c>
      <c r="F1467" t="inlineStr">
        <is>
          <t>HIV/AIDS nursing care plans / Lucy Bradley-Springer.</t>
        </is>
      </c>
      <c r="H1467" t="inlineStr">
        <is>
          <t>No</t>
        </is>
      </c>
      <c r="I1467" t="inlineStr">
        <is>
          <t>1</t>
        </is>
      </c>
      <c r="J1467" t="inlineStr">
        <is>
          <t>No</t>
        </is>
      </c>
      <c r="K1467" t="inlineStr">
        <is>
          <t>No</t>
        </is>
      </c>
      <c r="L1467" t="inlineStr">
        <is>
          <t>0</t>
        </is>
      </c>
      <c r="M1467" t="inlineStr">
        <is>
          <t>Bradley-Springer, Lucy.</t>
        </is>
      </c>
      <c r="N1467" t="inlineStr">
        <is>
          <t>Englewood, Colo. : Skidmore-Roth Pub. Inc., c1999.</t>
        </is>
      </c>
      <c r="O1467" t="inlineStr">
        <is>
          <t>1999</t>
        </is>
      </c>
      <c r="P1467" t="inlineStr">
        <is>
          <t>2nd ed.</t>
        </is>
      </c>
      <c r="Q1467" t="inlineStr">
        <is>
          <t>eng</t>
        </is>
      </c>
      <c r="R1467" t="inlineStr">
        <is>
          <t>cou</t>
        </is>
      </c>
      <c r="T1467" t="inlineStr">
        <is>
          <t xml:space="preserve">WY </t>
        </is>
      </c>
      <c r="U1467" t="n">
        <v>2</v>
      </c>
      <c r="V1467" t="n">
        <v>2</v>
      </c>
      <c r="W1467" t="inlineStr">
        <is>
          <t>2000-04-03</t>
        </is>
      </c>
      <c r="X1467" t="inlineStr">
        <is>
          <t>2000-04-03</t>
        </is>
      </c>
      <c r="Y1467" t="inlineStr">
        <is>
          <t>1999-04-16</t>
        </is>
      </c>
      <c r="Z1467" t="inlineStr">
        <is>
          <t>1999-04-16</t>
        </is>
      </c>
      <c r="AA1467" t="n">
        <v>203</v>
      </c>
      <c r="AB1467" t="n">
        <v>179</v>
      </c>
      <c r="AC1467" t="n">
        <v>277</v>
      </c>
      <c r="AD1467" t="n">
        <v>1</v>
      </c>
      <c r="AE1467" t="n">
        <v>2</v>
      </c>
      <c r="AF1467" t="n">
        <v>3</v>
      </c>
      <c r="AG1467" t="n">
        <v>6</v>
      </c>
      <c r="AH1467" t="n">
        <v>2</v>
      </c>
      <c r="AI1467" t="n">
        <v>3</v>
      </c>
      <c r="AJ1467" t="n">
        <v>1</v>
      </c>
      <c r="AK1467" t="n">
        <v>1</v>
      </c>
      <c r="AL1467" t="n">
        <v>1</v>
      </c>
      <c r="AM1467" t="n">
        <v>3</v>
      </c>
      <c r="AN1467" t="n">
        <v>0</v>
      </c>
      <c r="AO1467" t="n">
        <v>1</v>
      </c>
      <c r="AP1467" t="n">
        <v>0</v>
      </c>
      <c r="AQ1467" t="n">
        <v>0</v>
      </c>
      <c r="AR1467" t="inlineStr">
        <is>
          <t>No</t>
        </is>
      </c>
      <c r="AS1467" t="inlineStr">
        <is>
          <t>Yes</t>
        </is>
      </c>
      <c r="AT1467">
        <f>HYPERLINK("http://catalog.hathitrust.org/Record/004025648","HathiTrust Record")</f>
        <v/>
      </c>
      <c r="AU1467">
        <f>HYPERLINK("https://creighton-primo.hosted.exlibrisgroup.com/primo-explore/search?tab=default_tab&amp;search_scope=EVERYTHING&amp;vid=01CRU&amp;lang=en_US&amp;offset=0&amp;query=any,contains,991001561809702656","Catalog Record")</f>
        <v/>
      </c>
      <c r="AV1467">
        <f>HYPERLINK("http://www.worldcat.org/oclc/42435220","WorldCat Record")</f>
        <v/>
      </c>
      <c r="AW1467" t="inlineStr">
        <is>
          <t>34120092:eng</t>
        </is>
      </c>
      <c r="AX1467" t="inlineStr">
        <is>
          <t>42435220</t>
        </is>
      </c>
      <c r="AY1467" t="inlineStr">
        <is>
          <t>991001561809702656</t>
        </is>
      </c>
      <c r="AZ1467" t="inlineStr">
        <is>
          <t>991001561809702656</t>
        </is>
      </c>
      <c r="BA1467" t="inlineStr">
        <is>
          <t>2271219820002656</t>
        </is>
      </c>
      <c r="BB1467" t="inlineStr">
        <is>
          <t>BOOK</t>
        </is>
      </c>
      <c r="BD1467" t="inlineStr">
        <is>
          <t>9781569300978</t>
        </is>
      </c>
      <c r="BE1467" t="inlineStr">
        <is>
          <t>30001004071819</t>
        </is>
      </c>
      <c r="BF1467" t="inlineStr">
        <is>
          <t>893727767</t>
        </is>
      </c>
    </row>
    <row r="1468">
      <c r="A1468" t="inlineStr">
        <is>
          <t>No</t>
        </is>
      </c>
      <c r="B1468" t="inlineStr">
        <is>
          <t>CUHSL</t>
        </is>
      </c>
      <c r="C1468" t="inlineStr">
        <is>
          <t>SHELVES</t>
        </is>
      </c>
      <c r="D1468" t="inlineStr">
        <is>
          <t>WY 153.5 H675 1999</t>
        </is>
      </c>
      <c r="E1468" t="inlineStr">
        <is>
          <t>0                      WY 0153500H  675         1999</t>
        </is>
      </c>
      <c r="F1468" t="inlineStr">
        <is>
          <t>HIV/AIDS : a guide to primary care management / [edited by] Peter J. Ungvarski, Jacquelyn Haak Flaskerud.</t>
        </is>
      </c>
      <c r="H1468" t="inlineStr">
        <is>
          <t>No</t>
        </is>
      </c>
      <c r="I1468" t="inlineStr">
        <is>
          <t>1</t>
        </is>
      </c>
      <c r="J1468" t="inlineStr">
        <is>
          <t>No</t>
        </is>
      </c>
      <c r="K1468" t="inlineStr">
        <is>
          <t>No</t>
        </is>
      </c>
      <c r="L1468" t="inlineStr">
        <is>
          <t>0</t>
        </is>
      </c>
      <c r="N1468" t="inlineStr">
        <is>
          <t>Philadelphia : W.B. Saunders, c1999.</t>
        </is>
      </c>
      <c r="O1468" t="inlineStr">
        <is>
          <t>1999</t>
        </is>
      </c>
      <c r="P1468" t="inlineStr">
        <is>
          <t>4th ed.</t>
        </is>
      </c>
      <c r="Q1468" t="inlineStr">
        <is>
          <t>eng</t>
        </is>
      </c>
      <c r="R1468" t="inlineStr">
        <is>
          <t>pau</t>
        </is>
      </c>
      <c r="T1468" t="inlineStr">
        <is>
          <t xml:space="preserve">WY </t>
        </is>
      </c>
      <c r="U1468" t="n">
        <v>4</v>
      </c>
      <c r="V1468" t="n">
        <v>4</v>
      </c>
      <c r="W1468" t="inlineStr">
        <is>
          <t>1999-11-01</t>
        </is>
      </c>
      <c r="X1468" t="inlineStr">
        <is>
          <t>1999-11-01</t>
        </is>
      </c>
      <c r="Y1468" t="inlineStr">
        <is>
          <t>1998-11-10</t>
        </is>
      </c>
      <c r="Z1468" t="inlineStr">
        <is>
          <t>1998-11-10</t>
        </is>
      </c>
      <c r="AA1468" t="n">
        <v>491</v>
      </c>
      <c r="AB1468" t="n">
        <v>410</v>
      </c>
      <c r="AC1468" t="n">
        <v>418</v>
      </c>
      <c r="AD1468" t="n">
        <v>1</v>
      </c>
      <c r="AE1468" t="n">
        <v>1</v>
      </c>
      <c r="AF1468" t="n">
        <v>16</v>
      </c>
      <c r="AG1468" t="n">
        <v>16</v>
      </c>
      <c r="AH1468" t="n">
        <v>7</v>
      </c>
      <c r="AI1468" t="n">
        <v>7</v>
      </c>
      <c r="AJ1468" t="n">
        <v>2</v>
      </c>
      <c r="AK1468" t="n">
        <v>2</v>
      </c>
      <c r="AL1468" t="n">
        <v>9</v>
      </c>
      <c r="AM1468" t="n">
        <v>9</v>
      </c>
      <c r="AN1468" t="n">
        <v>0</v>
      </c>
      <c r="AO1468" t="n">
        <v>0</v>
      </c>
      <c r="AP1468" t="n">
        <v>0</v>
      </c>
      <c r="AQ1468" t="n">
        <v>0</v>
      </c>
      <c r="AR1468" t="inlineStr">
        <is>
          <t>No</t>
        </is>
      </c>
      <c r="AS1468" t="inlineStr">
        <is>
          <t>Yes</t>
        </is>
      </c>
      <c r="AT1468">
        <f>HYPERLINK("http://catalog.hathitrust.org/Record/003998814","HathiTrust Record")</f>
        <v/>
      </c>
      <c r="AU1468">
        <f>HYPERLINK("https://creighton-primo.hosted.exlibrisgroup.com/primo-explore/search?tab=default_tab&amp;search_scope=EVERYTHING&amp;vid=01CRU&amp;lang=en_US&amp;offset=0&amp;query=any,contains,991001570749702656","Catalog Record")</f>
        <v/>
      </c>
      <c r="AV1468">
        <f>HYPERLINK("http://www.worldcat.org/oclc/39051025","WorldCat Record")</f>
        <v/>
      </c>
      <c r="AW1468" t="inlineStr">
        <is>
          <t>3943953016:eng</t>
        </is>
      </c>
      <c r="AX1468" t="inlineStr">
        <is>
          <t>39051025</t>
        </is>
      </c>
      <c r="AY1468" t="inlineStr">
        <is>
          <t>991001570749702656</t>
        </is>
      </c>
      <c r="AZ1468" t="inlineStr">
        <is>
          <t>991001570749702656</t>
        </is>
      </c>
      <c r="BA1468" t="inlineStr">
        <is>
          <t>2256577210002656</t>
        </is>
      </c>
      <c r="BB1468" t="inlineStr">
        <is>
          <t>BOOK</t>
        </is>
      </c>
      <c r="BD1468" t="inlineStr">
        <is>
          <t>9780721673226</t>
        </is>
      </c>
      <c r="BE1468" t="inlineStr">
        <is>
          <t>30001004036077</t>
        </is>
      </c>
      <c r="BF1468" t="inlineStr">
        <is>
          <t>893633216</t>
        </is>
      </c>
    </row>
    <row r="1469">
      <c r="A1469" t="inlineStr">
        <is>
          <t>No</t>
        </is>
      </c>
      <c r="B1469" t="inlineStr">
        <is>
          <t>CUHSL</t>
        </is>
      </c>
      <c r="C1469" t="inlineStr">
        <is>
          <t>SHELVES</t>
        </is>
      </c>
      <c r="D1469" t="inlineStr">
        <is>
          <t>WY 153.5 H676 1998</t>
        </is>
      </c>
      <c r="E1469" t="inlineStr">
        <is>
          <t>0                      WY 0153500H  676         1998</t>
        </is>
      </c>
      <c r="F1469" t="inlineStr">
        <is>
          <t>HIV nursing and symptom management / edited by Mary Ropka, Ann Williams.</t>
        </is>
      </c>
      <c r="H1469" t="inlineStr">
        <is>
          <t>No</t>
        </is>
      </c>
      <c r="I1469" t="inlineStr">
        <is>
          <t>1</t>
        </is>
      </c>
      <c r="J1469" t="inlineStr">
        <is>
          <t>No</t>
        </is>
      </c>
      <c r="K1469" t="inlineStr">
        <is>
          <t>No</t>
        </is>
      </c>
      <c r="L1469" t="inlineStr">
        <is>
          <t>0</t>
        </is>
      </c>
      <c r="N1469" t="inlineStr">
        <is>
          <t>Sudbury, Mass. : Jones and Bartlett, c1998.</t>
        </is>
      </c>
      <c r="O1469" t="inlineStr">
        <is>
          <t>1998</t>
        </is>
      </c>
      <c r="Q1469" t="inlineStr">
        <is>
          <t>eng</t>
        </is>
      </c>
      <c r="R1469" t="inlineStr">
        <is>
          <t>mau</t>
        </is>
      </c>
      <c r="S1469" t="inlineStr">
        <is>
          <t>Jones and Bartlett series in oncology</t>
        </is>
      </c>
      <c r="T1469" t="inlineStr">
        <is>
          <t xml:space="preserve">WY </t>
        </is>
      </c>
      <c r="U1469" t="n">
        <v>1</v>
      </c>
      <c r="V1469" t="n">
        <v>1</v>
      </c>
      <c r="W1469" t="inlineStr">
        <is>
          <t>1999-01-07</t>
        </is>
      </c>
      <c r="X1469" t="inlineStr">
        <is>
          <t>1999-01-07</t>
        </is>
      </c>
      <c r="Y1469" t="inlineStr">
        <is>
          <t>1998-12-18</t>
        </is>
      </c>
      <c r="Z1469" t="inlineStr">
        <is>
          <t>1998-12-18</t>
        </is>
      </c>
      <c r="AA1469" t="n">
        <v>331</v>
      </c>
      <c r="AB1469" t="n">
        <v>278</v>
      </c>
      <c r="AC1469" t="n">
        <v>281</v>
      </c>
      <c r="AD1469" t="n">
        <v>1</v>
      </c>
      <c r="AE1469" t="n">
        <v>1</v>
      </c>
      <c r="AF1469" t="n">
        <v>12</v>
      </c>
      <c r="AG1469" t="n">
        <v>12</v>
      </c>
      <c r="AH1469" t="n">
        <v>4</v>
      </c>
      <c r="AI1469" t="n">
        <v>4</v>
      </c>
      <c r="AJ1469" t="n">
        <v>4</v>
      </c>
      <c r="AK1469" t="n">
        <v>4</v>
      </c>
      <c r="AL1469" t="n">
        <v>7</v>
      </c>
      <c r="AM1469" t="n">
        <v>7</v>
      </c>
      <c r="AN1469" t="n">
        <v>0</v>
      </c>
      <c r="AO1469" t="n">
        <v>0</v>
      </c>
      <c r="AP1469" t="n">
        <v>0</v>
      </c>
      <c r="AQ1469" t="n">
        <v>0</v>
      </c>
      <c r="AR1469" t="inlineStr">
        <is>
          <t>No</t>
        </is>
      </c>
      <c r="AS1469" t="inlineStr">
        <is>
          <t>Yes</t>
        </is>
      </c>
      <c r="AT1469">
        <f>HYPERLINK("http://catalog.hathitrust.org/Record/003977754","HathiTrust Record")</f>
        <v/>
      </c>
      <c r="AU1469">
        <f>HYPERLINK("https://creighton-primo.hosted.exlibrisgroup.com/primo-explore/search?tab=default_tab&amp;search_scope=EVERYTHING&amp;vid=01CRU&amp;lang=en_US&amp;offset=0&amp;query=any,contains,991001557259702656","Catalog Record")</f>
        <v/>
      </c>
      <c r="AV1469">
        <f>HYPERLINK("http://www.worldcat.org/oclc/38528412","WorldCat Record")</f>
        <v/>
      </c>
      <c r="AW1469" t="inlineStr">
        <is>
          <t>364725072:eng</t>
        </is>
      </c>
      <c r="AX1469" t="inlineStr">
        <is>
          <t>38528412</t>
        </is>
      </c>
      <c r="AY1469" t="inlineStr">
        <is>
          <t>991001557259702656</t>
        </is>
      </c>
      <c r="AZ1469" t="inlineStr">
        <is>
          <t>991001557259702656</t>
        </is>
      </c>
      <c r="BA1469" t="inlineStr">
        <is>
          <t>2266528430002656</t>
        </is>
      </c>
      <c r="BB1469" t="inlineStr">
        <is>
          <t>BOOK</t>
        </is>
      </c>
      <c r="BD1469" t="inlineStr">
        <is>
          <t>9780763705442</t>
        </is>
      </c>
      <c r="BE1469" t="inlineStr">
        <is>
          <t>30001004037687</t>
        </is>
      </c>
      <c r="BF1469" t="inlineStr">
        <is>
          <t>893268639</t>
        </is>
      </c>
    </row>
    <row r="1470">
      <c r="A1470" t="inlineStr">
        <is>
          <t>No</t>
        </is>
      </c>
      <c r="B1470" t="inlineStr">
        <is>
          <t>CUHSL</t>
        </is>
      </c>
      <c r="C1470" t="inlineStr">
        <is>
          <t>SHELVES</t>
        </is>
      </c>
      <c r="D1470" t="inlineStr">
        <is>
          <t>WY153.5 K61h 2001</t>
        </is>
      </c>
      <c r="E1470" t="inlineStr">
        <is>
          <t>0                      WY 0153500K  61h         2001</t>
        </is>
      </c>
      <c r="F1470" t="inlineStr">
        <is>
          <t>Handbook of HIV/AIDS nursing / Carl A. Kirton ; Dorothy Talotta ; Kenneth Zwolski.</t>
        </is>
      </c>
      <c r="H1470" t="inlineStr">
        <is>
          <t>No</t>
        </is>
      </c>
      <c r="I1470" t="inlineStr">
        <is>
          <t>1</t>
        </is>
      </c>
      <c r="J1470" t="inlineStr">
        <is>
          <t>No</t>
        </is>
      </c>
      <c r="K1470" t="inlineStr">
        <is>
          <t>No</t>
        </is>
      </c>
      <c r="L1470" t="inlineStr">
        <is>
          <t>0</t>
        </is>
      </c>
      <c r="M1470" t="inlineStr">
        <is>
          <t>Kirton, Carl A.</t>
        </is>
      </c>
      <c r="N1470" t="inlineStr">
        <is>
          <t>St. Louis : Mosby, 2001.</t>
        </is>
      </c>
      <c r="O1470" t="inlineStr">
        <is>
          <t>2001</t>
        </is>
      </c>
      <c r="Q1470" t="inlineStr">
        <is>
          <t>eng</t>
        </is>
      </c>
      <c r="R1470" t="inlineStr">
        <is>
          <t>mou</t>
        </is>
      </c>
      <c r="T1470" t="inlineStr">
        <is>
          <t xml:space="preserve">WY </t>
        </is>
      </c>
      <c r="U1470" t="n">
        <v>0</v>
      </c>
      <c r="V1470" t="n">
        <v>0</v>
      </c>
      <c r="W1470" t="inlineStr">
        <is>
          <t>2003-05-27</t>
        </is>
      </c>
      <c r="X1470" t="inlineStr">
        <is>
          <t>2003-05-27</t>
        </is>
      </c>
      <c r="Y1470" t="inlineStr">
        <is>
          <t>2002-06-27</t>
        </is>
      </c>
      <c r="Z1470" t="inlineStr">
        <is>
          <t>2002-06-27</t>
        </is>
      </c>
      <c r="AA1470" t="n">
        <v>338</v>
      </c>
      <c r="AB1470" t="n">
        <v>248</v>
      </c>
      <c r="AC1470" t="n">
        <v>257</v>
      </c>
      <c r="AD1470" t="n">
        <v>1</v>
      </c>
      <c r="AE1470" t="n">
        <v>1</v>
      </c>
      <c r="AF1470" t="n">
        <v>10</v>
      </c>
      <c r="AG1470" t="n">
        <v>10</v>
      </c>
      <c r="AH1470" t="n">
        <v>2</v>
      </c>
      <c r="AI1470" t="n">
        <v>2</v>
      </c>
      <c r="AJ1470" t="n">
        <v>3</v>
      </c>
      <c r="AK1470" t="n">
        <v>3</v>
      </c>
      <c r="AL1470" t="n">
        <v>7</v>
      </c>
      <c r="AM1470" t="n">
        <v>7</v>
      </c>
      <c r="AN1470" t="n">
        <v>0</v>
      </c>
      <c r="AO1470" t="n">
        <v>0</v>
      </c>
      <c r="AP1470" t="n">
        <v>0</v>
      </c>
      <c r="AQ1470" t="n">
        <v>0</v>
      </c>
      <c r="AR1470" t="inlineStr">
        <is>
          <t>No</t>
        </is>
      </c>
      <c r="AS1470" t="inlineStr">
        <is>
          <t>Yes</t>
        </is>
      </c>
      <c r="AT1470">
        <f>HYPERLINK("http://catalog.hathitrust.org/Record/008744954","HathiTrust Record")</f>
        <v/>
      </c>
      <c r="AU1470">
        <f>HYPERLINK("https://creighton-primo.hosted.exlibrisgroup.com/primo-explore/search?tab=default_tab&amp;search_scope=EVERYTHING&amp;vid=01CRU&amp;lang=en_US&amp;offset=0&amp;query=any,contains,991000318839702656","Catalog Record")</f>
        <v/>
      </c>
      <c r="AV1470">
        <f>HYPERLINK("http://www.worldcat.org/oclc/45595802","WorldCat Record")</f>
        <v/>
      </c>
      <c r="AW1470" t="inlineStr">
        <is>
          <t>25339617:eng</t>
        </is>
      </c>
      <c r="AX1470" t="inlineStr">
        <is>
          <t>45595802</t>
        </is>
      </c>
      <c r="AY1470" t="inlineStr">
        <is>
          <t>991000318839702656</t>
        </is>
      </c>
      <c r="AZ1470" t="inlineStr">
        <is>
          <t>991000318839702656</t>
        </is>
      </c>
      <c r="BA1470" t="inlineStr">
        <is>
          <t>2272339900002656</t>
        </is>
      </c>
      <c r="BB1470" t="inlineStr">
        <is>
          <t>BOOK</t>
        </is>
      </c>
      <c r="BD1470" t="inlineStr">
        <is>
          <t>9780323003360</t>
        </is>
      </c>
      <c r="BE1470" t="inlineStr">
        <is>
          <t>30001004239705</t>
        </is>
      </c>
      <c r="BF1470" t="inlineStr">
        <is>
          <t>893732756</t>
        </is>
      </c>
    </row>
    <row r="1471">
      <c r="A1471" t="inlineStr">
        <is>
          <t>No</t>
        </is>
      </c>
      <c r="B1471" t="inlineStr">
        <is>
          <t>CUHSL</t>
        </is>
      </c>
      <c r="C1471" t="inlineStr">
        <is>
          <t>SHELVES</t>
        </is>
      </c>
      <c r="D1471" t="inlineStr">
        <is>
          <t>WY 153.5 P467 2000</t>
        </is>
      </c>
      <c r="E1471" t="inlineStr">
        <is>
          <t>0                      WY 0153500P  467         2000</t>
        </is>
      </c>
      <c r="F1471" t="inlineStr">
        <is>
          <t>The person with HIV/AIDS : nursing perspectives / Jerry D. Durham, Felissa R. Lashley, editors.</t>
        </is>
      </c>
      <c r="H1471" t="inlineStr">
        <is>
          <t>No</t>
        </is>
      </c>
      <c r="I1471" t="inlineStr">
        <is>
          <t>1</t>
        </is>
      </c>
      <c r="J1471" t="inlineStr">
        <is>
          <t>No</t>
        </is>
      </c>
      <c r="K1471" t="inlineStr">
        <is>
          <t>Yes</t>
        </is>
      </c>
      <c r="L1471" t="inlineStr">
        <is>
          <t>0</t>
        </is>
      </c>
      <c r="N1471" t="inlineStr">
        <is>
          <t>New York : Springer Pub. Co., c2000.</t>
        </is>
      </c>
      <c r="O1471" t="inlineStr">
        <is>
          <t>2000</t>
        </is>
      </c>
      <c r="P1471" t="inlineStr">
        <is>
          <t>3rd ed.</t>
        </is>
      </c>
      <c r="Q1471" t="inlineStr">
        <is>
          <t>eng</t>
        </is>
      </c>
      <c r="R1471" t="inlineStr">
        <is>
          <t>nyu</t>
        </is>
      </c>
      <c r="T1471" t="inlineStr">
        <is>
          <t xml:space="preserve">WY </t>
        </is>
      </c>
      <c r="U1471" t="n">
        <v>4</v>
      </c>
      <c r="V1471" t="n">
        <v>4</v>
      </c>
      <c r="W1471" t="inlineStr">
        <is>
          <t>2000-04-03</t>
        </is>
      </c>
      <c r="X1471" t="inlineStr">
        <is>
          <t>2000-04-03</t>
        </is>
      </c>
      <c r="Y1471" t="inlineStr">
        <is>
          <t>2000-02-01</t>
        </is>
      </c>
      <c r="Z1471" t="inlineStr">
        <is>
          <t>2000-02-01</t>
        </is>
      </c>
      <c r="AA1471" t="n">
        <v>442</v>
      </c>
      <c r="AB1471" t="n">
        <v>388</v>
      </c>
      <c r="AC1471" t="n">
        <v>941</v>
      </c>
      <c r="AD1471" t="n">
        <v>1</v>
      </c>
      <c r="AE1471" t="n">
        <v>6</v>
      </c>
      <c r="AF1471" t="n">
        <v>19</v>
      </c>
      <c r="AG1471" t="n">
        <v>36</v>
      </c>
      <c r="AH1471" t="n">
        <v>9</v>
      </c>
      <c r="AI1471" t="n">
        <v>17</v>
      </c>
      <c r="AJ1471" t="n">
        <v>4</v>
      </c>
      <c r="AK1471" t="n">
        <v>7</v>
      </c>
      <c r="AL1471" t="n">
        <v>10</v>
      </c>
      <c r="AM1471" t="n">
        <v>13</v>
      </c>
      <c r="AN1471" t="n">
        <v>0</v>
      </c>
      <c r="AO1471" t="n">
        <v>5</v>
      </c>
      <c r="AP1471" t="n">
        <v>0</v>
      </c>
      <c r="AQ1471" t="n">
        <v>1</v>
      </c>
      <c r="AR1471" t="inlineStr">
        <is>
          <t>No</t>
        </is>
      </c>
      <c r="AS1471" t="inlineStr">
        <is>
          <t>Yes</t>
        </is>
      </c>
      <c r="AT1471">
        <f>HYPERLINK("http://catalog.hathitrust.org/Record/004078453","HathiTrust Record")</f>
        <v/>
      </c>
      <c r="AU1471">
        <f>HYPERLINK("https://creighton-primo.hosted.exlibrisgroup.com/primo-explore/search?tab=default_tab&amp;search_scope=EVERYTHING&amp;vid=01CRU&amp;lang=en_US&amp;offset=0&amp;query=any,contains,991001440009702656","Catalog Record")</f>
        <v/>
      </c>
      <c r="AV1471">
        <f>HYPERLINK("http://www.worldcat.org/oclc/41482506","WorldCat Record")</f>
        <v/>
      </c>
      <c r="AW1471" t="inlineStr">
        <is>
          <t>864734337:eng</t>
        </is>
      </c>
      <c r="AX1471" t="inlineStr">
        <is>
          <t>41482506</t>
        </is>
      </c>
      <c r="AY1471" t="inlineStr">
        <is>
          <t>991001440009702656</t>
        </is>
      </c>
      <c r="AZ1471" t="inlineStr">
        <is>
          <t>991001440009702656</t>
        </is>
      </c>
      <c r="BA1471" t="inlineStr">
        <is>
          <t>2263418870002656</t>
        </is>
      </c>
      <c r="BB1471" t="inlineStr">
        <is>
          <t>BOOK</t>
        </is>
      </c>
      <c r="BD1471" t="inlineStr">
        <is>
          <t>9780826112934</t>
        </is>
      </c>
      <c r="BE1471" t="inlineStr">
        <is>
          <t>30001003880483</t>
        </is>
      </c>
      <c r="BF1471" t="inlineStr">
        <is>
          <t>893161992</t>
        </is>
      </c>
    </row>
    <row r="1472">
      <c r="A1472" t="inlineStr">
        <is>
          <t>No</t>
        </is>
      </c>
      <c r="B1472" t="inlineStr">
        <is>
          <t>CUHSL</t>
        </is>
      </c>
      <c r="C1472" t="inlineStr">
        <is>
          <t>SHELVES</t>
        </is>
      </c>
      <c r="D1472" t="inlineStr">
        <is>
          <t>WY154 A171 2000</t>
        </is>
      </c>
      <c r="E1472" t="inlineStr">
        <is>
          <t>0                      WY 0154000A  171         2000</t>
        </is>
      </c>
      <c r="F1472" t="inlineStr">
        <is>
          <t>Accident and emergency : theory into practice / edited by Brian Dolan, Lynda Holt.</t>
        </is>
      </c>
      <c r="H1472" t="inlineStr">
        <is>
          <t>No</t>
        </is>
      </c>
      <c r="I1472" t="inlineStr">
        <is>
          <t>1</t>
        </is>
      </c>
      <c r="J1472" t="inlineStr">
        <is>
          <t>No</t>
        </is>
      </c>
      <c r="K1472" t="inlineStr">
        <is>
          <t>No</t>
        </is>
      </c>
      <c r="L1472" t="inlineStr">
        <is>
          <t>0</t>
        </is>
      </c>
      <c r="N1472" t="inlineStr">
        <is>
          <t>Edinburgh ; New York : Baillière Tindall, 2000.</t>
        </is>
      </c>
      <c r="O1472" t="inlineStr">
        <is>
          <t>2000</t>
        </is>
      </c>
      <c r="Q1472" t="inlineStr">
        <is>
          <t>eng</t>
        </is>
      </c>
      <c r="R1472" t="inlineStr">
        <is>
          <t>stk</t>
        </is>
      </c>
      <c r="T1472" t="inlineStr">
        <is>
          <t xml:space="preserve">WY </t>
        </is>
      </c>
      <c r="U1472" t="n">
        <v>2</v>
      </c>
      <c r="V1472" t="n">
        <v>2</v>
      </c>
      <c r="W1472" t="inlineStr">
        <is>
          <t>2003-05-27</t>
        </is>
      </c>
      <c r="X1472" t="inlineStr">
        <is>
          <t>2003-05-27</t>
        </is>
      </c>
      <c r="Y1472" t="inlineStr">
        <is>
          <t>2002-06-26</t>
        </is>
      </c>
      <c r="Z1472" t="inlineStr">
        <is>
          <t>2002-06-26</t>
        </is>
      </c>
      <c r="AA1472" t="n">
        <v>152</v>
      </c>
      <c r="AB1472" t="n">
        <v>68</v>
      </c>
      <c r="AC1472" t="n">
        <v>126</v>
      </c>
      <c r="AD1472" t="n">
        <v>1</v>
      </c>
      <c r="AE1472" t="n">
        <v>1</v>
      </c>
      <c r="AF1472" t="n">
        <v>1</v>
      </c>
      <c r="AG1472" t="n">
        <v>3</v>
      </c>
      <c r="AH1472" t="n">
        <v>0</v>
      </c>
      <c r="AI1472" t="n">
        <v>0</v>
      </c>
      <c r="AJ1472" t="n">
        <v>0</v>
      </c>
      <c r="AK1472" t="n">
        <v>1</v>
      </c>
      <c r="AL1472" t="n">
        <v>1</v>
      </c>
      <c r="AM1472" t="n">
        <v>2</v>
      </c>
      <c r="AN1472" t="n">
        <v>0</v>
      </c>
      <c r="AO1472" t="n">
        <v>0</v>
      </c>
      <c r="AP1472" t="n">
        <v>0</v>
      </c>
      <c r="AQ1472" t="n">
        <v>0</v>
      </c>
      <c r="AR1472" t="inlineStr">
        <is>
          <t>No</t>
        </is>
      </c>
      <c r="AS1472" t="inlineStr">
        <is>
          <t>No</t>
        </is>
      </c>
      <c r="AU1472">
        <f>HYPERLINK("https://creighton-primo.hosted.exlibrisgroup.com/primo-explore/search?tab=default_tab&amp;search_scope=EVERYTHING&amp;vid=01CRU&amp;lang=en_US&amp;offset=0&amp;query=any,contains,991000318529702656","Catalog Record")</f>
        <v/>
      </c>
      <c r="AV1472">
        <f>HYPERLINK("http://www.worldcat.org/oclc/45244070","WorldCat Record")</f>
        <v/>
      </c>
      <c r="AW1472" t="inlineStr">
        <is>
          <t>837082982:eng</t>
        </is>
      </c>
      <c r="AX1472" t="inlineStr">
        <is>
          <t>45244070</t>
        </is>
      </c>
      <c r="AY1472" t="inlineStr">
        <is>
          <t>991000318529702656</t>
        </is>
      </c>
      <c r="AZ1472" t="inlineStr">
        <is>
          <t>991000318529702656</t>
        </is>
      </c>
      <c r="BA1472" t="inlineStr">
        <is>
          <t>2266561230002656</t>
        </is>
      </c>
      <c r="BB1472" t="inlineStr">
        <is>
          <t>BOOK</t>
        </is>
      </c>
      <c r="BD1472" t="inlineStr">
        <is>
          <t>9780702022395</t>
        </is>
      </c>
      <c r="BE1472" t="inlineStr">
        <is>
          <t>30001004442309</t>
        </is>
      </c>
      <c r="BF1472" t="inlineStr">
        <is>
          <t>893264115</t>
        </is>
      </c>
    </row>
    <row r="1473">
      <c r="A1473" t="inlineStr">
        <is>
          <t>No</t>
        </is>
      </c>
      <c r="B1473" t="inlineStr">
        <is>
          <t>CUHSL</t>
        </is>
      </c>
      <c r="C1473" t="inlineStr">
        <is>
          <t>SHELVES</t>
        </is>
      </c>
      <c r="D1473" t="inlineStr">
        <is>
          <t>WY 154 A244 1989</t>
        </is>
      </c>
      <c r="E1473" t="inlineStr">
        <is>
          <t>0                      WY 0154000A  244         1989</t>
        </is>
      </c>
      <c r="F1473" t="inlineStr">
        <is>
          <t>Advanced technology in critical care nursing / edited by John M. Clochesy.</t>
        </is>
      </c>
      <c r="H1473" t="inlineStr">
        <is>
          <t>No</t>
        </is>
      </c>
      <c r="I1473" t="inlineStr">
        <is>
          <t>1</t>
        </is>
      </c>
      <c r="J1473" t="inlineStr">
        <is>
          <t>No</t>
        </is>
      </c>
      <c r="K1473" t="inlineStr">
        <is>
          <t>No</t>
        </is>
      </c>
      <c r="L1473" t="inlineStr">
        <is>
          <t>0</t>
        </is>
      </c>
      <c r="N1473" t="inlineStr">
        <is>
          <t>Rockville, Md. : Aspen Publishers, c1989.</t>
        </is>
      </c>
      <c r="O1473" t="inlineStr">
        <is>
          <t>1989</t>
        </is>
      </c>
      <c r="Q1473" t="inlineStr">
        <is>
          <t>eng</t>
        </is>
      </c>
      <c r="R1473" t="inlineStr">
        <is>
          <t>xxu</t>
        </is>
      </c>
      <c r="S1473" t="inlineStr">
        <is>
          <t>Aspen series in critical care nursing</t>
        </is>
      </c>
      <c r="T1473" t="inlineStr">
        <is>
          <t xml:space="preserve">WY </t>
        </is>
      </c>
      <c r="U1473" t="n">
        <v>3</v>
      </c>
      <c r="V1473" t="n">
        <v>3</v>
      </c>
      <c r="W1473" t="inlineStr">
        <is>
          <t>1989-06-19</t>
        </is>
      </c>
      <c r="X1473" t="inlineStr">
        <is>
          <t>1989-06-19</t>
        </is>
      </c>
      <c r="Y1473" t="inlineStr">
        <is>
          <t>1989-06-15</t>
        </is>
      </c>
      <c r="Z1473" t="inlineStr">
        <is>
          <t>1989-06-15</t>
        </is>
      </c>
      <c r="AA1473" t="n">
        <v>133</v>
      </c>
      <c r="AB1473" t="n">
        <v>117</v>
      </c>
      <c r="AC1473" t="n">
        <v>119</v>
      </c>
      <c r="AD1473" t="n">
        <v>1</v>
      </c>
      <c r="AE1473" t="n">
        <v>1</v>
      </c>
      <c r="AF1473" t="n">
        <v>5</v>
      </c>
      <c r="AG1473" t="n">
        <v>5</v>
      </c>
      <c r="AH1473" t="n">
        <v>1</v>
      </c>
      <c r="AI1473" t="n">
        <v>1</v>
      </c>
      <c r="AJ1473" t="n">
        <v>1</v>
      </c>
      <c r="AK1473" t="n">
        <v>1</v>
      </c>
      <c r="AL1473" t="n">
        <v>3</v>
      </c>
      <c r="AM1473" t="n">
        <v>3</v>
      </c>
      <c r="AN1473" t="n">
        <v>0</v>
      </c>
      <c r="AO1473" t="n">
        <v>0</v>
      </c>
      <c r="AP1473" t="n">
        <v>0</v>
      </c>
      <c r="AQ1473" t="n">
        <v>0</v>
      </c>
      <c r="AR1473" t="inlineStr">
        <is>
          <t>No</t>
        </is>
      </c>
      <c r="AS1473" t="inlineStr">
        <is>
          <t>Yes</t>
        </is>
      </c>
      <c r="AT1473">
        <f>HYPERLINK("http://catalog.hathitrust.org/Record/001087086","HathiTrust Record")</f>
        <v/>
      </c>
      <c r="AU1473">
        <f>HYPERLINK("https://creighton-primo.hosted.exlibrisgroup.com/primo-explore/search?tab=default_tab&amp;search_scope=EVERYTHING&amp;vid=01CRU&amp;lang=en_US&amp;offset=0&amp;query=any,contains,991001252249702656","Catalog Record")</f>
        <v/>
      </c>
      <c r="AV1473">
        <f>HYPERLINK("http://www.worldcat.org/oclc/18442197","WorldCat Record")</f>
        <v/>
      </c>
      <c r="AW1473" t="inlineStr">
        <is>
          <t>17990799:eng</t>
        </is>
      </c>
      <c r="AX1473" t="inlineStr">
        <is>
          <t>18442197</t>
        </is>
      </c>
      <c r="AY1473" t="inlineStr">
        <is>
          <t>991001252249702656</t>
        </is>
      </c>
      <c r="AZ1473" t="inlineStr">
        <is>
          <t>991001252249702656</t>
        </is>
      </c>
      <c r="BA1473" t="inlineStr">
        <is>
          <t>2259459940002656</t>
        </is>
      </c>
      <c r="BB1473" t="inlineStr">
        <is>
          <t>BOOK</t>
        </is>
      </c>
      <c r="BD1473" t="inlineStr">
        <is>
          <t>9780834200234</t>
        </is>
      </c>
      <c r="BE1473" t="inlineStr">
        <is>
          <t>30001001679275</t>
        </is>
      </c>
      <c r="BF1473" t="inlineStr">
        <is>
          <t>893816239</t>
        </is>
      </c>
    </row>
    <row r="1474">
      <c r="A1474" t="inlineStr">
        <is>
          <t>No</t>
        </is>
      </c>
      <c r="B1474" t="inlineStr">
        <is>
          <t>CUHSL</t>
        </is>
      </c>
      <c r="C1474" t="inlineStr">
        <is>
          <t>SHELVES</t>
        </is>
      </c>
      <c r="D1474" t="inlineStr">
        <is>
          <t>WY154 B469c 1999</t>
        </is>
      </c>
      <c r="E1474" t="inlineStr">
        <is>
          <t>0                      WY 0154000B  469c        1999</t>
        </is>
      </c>
      <c r="F1474" t="inlineStr">
        <is>
          <t>Clinical wisdom and interventions in critical care : a thinking-in-action approach / Patricia Benner, Patricia Hooper-Kyriakidis, Daphne Stannard.</t>
        </is>
      </c>
      <c r="H1474" t="inlineStr">
        <is>
          <t>No</t>
        </is>
      </c>
      <c r="I1474" t="inlineStr">
        <is>
          <t>1</t>
        </is>
      </c>
      <c r="J1474" t="inlineStr">
        <is>
          <t>No</t>
        </is>
      </c>
      <c r="K1474" t="inlineStr">
        <is>
          <t>No</t>
        </is>
      </c>
      <c r="L1474" t="inlineStr">
        <is>
          <t>0</t>
        </is>
      </c>
      <c r="M1474" t="inlineStr">
        <is>
          <t>Benner, Patricia E.</t>
        </is>
      </c>
      <c r="N1474" t="inlineStr">
        <is>
          <t>Philadelphia : Saunders, c1999.</t>
        </is>
      </c>
      <c r="O1474" t="inlineStr">
        <is>
          <t>1999</t>
        </is>
      </c>
      <c r="Q1474" t="inlineStr">
        <is>
          <t>eng</t>
        </is>
      </c>
      <c r="R1474" t="inlineStr">
        <is>
          <t>pau</t>
        </is>
      </c>
      <c r="T1474" t="inlineStr">
        <is>
          <t xml:space="preserve">WY </t>
        </is>
      </c>
      <c r="U1474" t="n">
        <v>2</v>
      </c>
      <c r="V1474" t="n">
        <v>2</v>
      </c>
      <c r="W1474" t="inlineStr">
        <is>
          <t>2010-05-19</t>
        </is>
      </c>
      <c r="X1474" t="inlineStr">
        <is>
          <t>2010-05-19</t>
        </is>
      </c>
      <c r="Y1474" t="inlineStr">
        <is>
          <t>2002-06-28</t>
        </is>
      </c>
      <c r="Z1474" t="inlineStr">
        <is>
          <t>2002-06-28</t>
        </is>
      </c>
      <c r="AA1474" t="n">
        <v>508</v>
      </c>
      <c r="AB1474" t="n">
        <v>381</v>
      </c>
      <c r="AC1474" t="n">
        <v>389</v>
      </c>
      <c r="AD1474" t="n">
        <v>5</v>
      </c>
      <c r="AE1474" t="n">
        <v>5</v>
      </c>
      <c r="AF1474" t="n">
        <v>17</v>
      </c>
      <c r="AG1474" t="n">
        <v>17</v>
      </c>
      <c r="AH1474" t="n">
        <v>7</v>
      </c>
      <c r="AI1474" t="n">
        <v>7</v>
      </c>
      <c r="AJ1474" t="n">
        <v>1</v>
      </c>
      <c r="AK1474" t="n">
        <v>1</v>
      </c>
      <c r="AL1474" t="n">
        <v>7</v>
      </c>
      <c r="AM1474" t="n">
        <v>7</v>
      </c>
      <c r="AN1474" t="n">
        <v>4</v>
      </c>
      <c r="AO1474" t="n">
        <v>4</v>
      </c>
      <c r="AP1474" t="n">
        <v>0</v>
      </c>
      <c r="AQ1474" t="n">
        <v>0</v>
      </c>
      <c r="AR1474" t="inlineStr">
        <is>
          <t>No</t>
        </is>
      </c>
      <c r="AS1474" t="inlineStr">
        <is>
          <t>Yes</t>
        </is>
      </c>
      <c r="AT1474">
        <f>HYPERLINK("http://catalog.hathitrust.org/Record/004011234","HathiTrust Record")</f>
        <v/>
      </c>
      <c r="AU1474">
        <f>HYPERLINK("https://creighton-primo.hosted.exlibrisgroup.com/primo-explore/search?tab=default_tab&amp;search_scope=EVERYTHING&amp;vid=01CRU&amp;lang=en_US&amp;offset=0&amp;query=any,contains,991000319879702656","Catalog Record")</f>
        <v/>
      </c>
      <c r="AV1474">
        <f>HYPERLINK("http://www.worldcat.org/oclc/38486275","WorldCat Record")</f>
        <v/>
      </c>
      <c r="AW1474" t="inlineStr">
        <is>
          <t>3901380798:eng</t>
        </is>
      </c>
      <c r="AX1474" t="inlineStr">
        <is>
          <t>38486275</t>
        </is>
      </c>
      <c r="AY1474" t="inlineStr">
        <is>
          <t>991000319879702656</t>
        </is>
      </c>
      <c r="AZ1474" t="inlineStr">
        <is>
          <t>991000319879702656</t>
        </is>
      </c>
      <c r="BA1474" t="inlineStr">
        <is>
          <t>2271814500002656</t>
        </is>
      </c>
      <c r="BB1474" t="inlineStr">
        <is>
          <t>BOOK</t>
        </is>
      </c>
      <c r="BD1474" t="inlineStr">
        <is>
          <t>9780721675114</t>
        </is>
      </c>
      <c r="BE1474" t="inlineStr">
        <is>
          <t>30001004442374</t>
        </is>
      </c>
      <c r="BF1474" t="inlineStr">
        <is>
          <t>893553416</t>
        </is>
      </c>
    </row>
    <row r="1475">
      <c r="A1475" t="inlineStr">
        <is>
          <t>No</t>
        </is>
      </c>
      <c r="B1475" t="inlineStr">
        <is>
          <t>CUHSL</t>
        </is>
      </c>
      <c r="C1475" t="inlineStr">
        <is>
          <t>SHELVES</t>
        </is>
      </c>
      <c r="D1475" t="inlineStr">
        <is>
          <t>WY 154 B969c 1982</t>
        </is>
      </c>
      <c r="E1475" t="inlineStr">
        <is>
          <t>0                      WY 0154000B  969c        1982</t>
        </is>
      </c>
      <c r="F1475" t="inlineStr">
        <is>
          <t>Critical care / Lenette Owens Burrell, Zeb L. Burrell, Jr.</t>
        </is>
      </c>
      <c r="H1475" t="inlineStr">
        <is>
          <t>No</t>
        </is>
      </c>
      <c r="I1475" t="inlineStr">
        <is>
          <t>1</t>
        </is>
      </c>
      <c r="J1475" t="inlineStr">
        <is>
          <t>No</t>
        </is>
      </c>
      <c r="K1475" t="inlineStr">
        <is>
          <t>Yes</t>
        </is>
      </c>
      <c r="L1475" t="inlineStr">
        <is>
          <t>0</t>
        </is>
      </c>
      <c r="M1475" t="inlineStr">
        <is>
          <t>Burrell, Lenette Owens.</t>
        </is>
      </c>
      <c r="N1475" t="inlineStr">
        <is>
          <t>St. Louis : Mosby, c1982.</t>
        </is>
      </c>
      <c r="O1475" t="inlineStr">
        <is>
          <t>1982</t>
        </is>
      </c>
      <c r="P1475" t="inlineStr">
        <is>
          <t>4th ed.</t>
        </is>
      </c>
      <c r="Q1475" t="inlineStr">
        <is>
          <t>eng</t>
        </is>
      </c>
      <c r="R1475" t="inlineStr">
        <is>
          <t>xxu</t>
        </is>
      </c>
      <c r="T1475" t="inlineStr">
        <is>
          <t xml:space="preserve">WY </t>
        </is>
      </c>
      <c r="U1475" t="n">
        <v>12</v>
      </c>
      <c r="V1475" t="n">
        <v>12</v>
      </c>
      <c r="W1475" t="inlineStr">
        <is>
          <t>1990-04-03</t>
        </is>
      </c>
      <c r="X1475" t="inlineStr">
        <is>
          <t>1990-04-03</t>
        </is>
      </c>
      <c r="Y1475" t="inlineStr">
        <is>
          <t>1987-10-23</t>
        </is>
      </c>
      <c r="Z1475" t="inlineStr">
        <is>
          <t>1987-10-23</t>
        </is>
      </c>
      <c r="AA1475" t="n">
        <v>38</v>
      </c>
      <c r="AB1475" t="n">
        <v>37</v>
      </c>
      <c r="AC1475" t="n">
        <v>288</v>
      </c>
      <c r="AD1475" t="n">
        <v>1</v>
      </c>
      <c r="AE1475" t="n">
        <v>2</v>
      </c>
      <c r="AF1475" t="n">
        <v>0</v>
      </c>
      <c r="AG1475" t="n">
        <v>8</v>
      </c>
      <c r="AH1475" t="n">
        <v>0</v>
      </c>
      <c r="AI1475" t="n">
        <v>3</v>
      </c>
      <c r="AJ1475" t="n">
        <v>0</v>
      </c>
      <c r="AK1475" t="n">
        <v>1</v>
      </c>
      <c r="AL1475" t="n">
        <v>0</v>
      </c>
      <c r="AM1475" t="n">
        <v>3</v>
      </c>
      <c r="AN1475" t="n">
        <v>0</v>
      </c>
      <c r="AO1475" t="n">
        <v>1</v>
      </c>
      <c r="AP1475" t="n">
        <v>0</v>
      </c>
      <c r="AQ1475" t="n">
        <v>0</v>
      </c>
      <c r="AR1475" t="inlineStr">
        <is>
          <t>No</t>
        </is>
      </c>
      <c r="AS1475" t="inlineStr">
        <is>
          <t>No</t>
        </is>
      </c>
      <c r="AU1475">
        <f>HYPERLINK("https://creighton-primo.hosted.exlibrisgroup.com/primo-explore/search?tab=default_tab&amp;search_scope=EVERYTHING&amp;vid=01CRU&amp;lang=en_US&amp;offset=0&amp;query=any,contains,991000734009702656","Catalog Record")</f>
        <v/>
      </c>
      <c r="AV1475">
        <f>HYPERLINK("http://www.worldcat.org/oclc/7740151","WorldCat Record")</f>
        <v/>
      </c>
      <c r="AW1475" t="inlineStr">
        <is>
          <t>3373080468:eng</t>
        </is>
      </c>
      <c r="AX1475" t="inlineStr">
        <is>
          <t>7740151</t>
        </is>
      </c>
      <c r="AY1475" t="inlineStr">
        <is>
          <t>991000734009702656</t>
        </is>
      </c>
      <c r="AZ1475" t="inlineStr">
        <is>
          <t>991000734009702656</t>
        </is>
      </c>
      <c r="BA1475" t="inlineStr">
        <is>
          <t>2264201520002656</t>
        </is>
      </c>
      <c r="BB1475" t="inlineStr">
        <is>
          <t>BOOK</t>
        </is>
      </c>
      <c r="BD1475" t="inlineStr">
        <is>
          <t>9780801609060</t>
        </is>
      </c>
      <c r="BE1475" t="inlineStr">
        <is>
          <t>30001000041014</t>
        </is>
      </c>
      <c r="BF1475" t="inlineStr">
        <is>
          <t>893648010</t>
        </is>
      </c>
    </row>
    <row r="1476">
      <c r="A1476" t="inlineStr">
        <is>
          <t>No</t>
        </is>
      </c>
      <c r="B1476" t="inlineStr">
        <is>
          <t>CUHSL</t>
        </is>
      </c>
      <c r="C1476" t="inlineStr">
        <is>
          <t>SHELVES</t>
        </is>
      </c>
      <c r="D1476" t="inlineStr">
        <is>
          <t>WY 154 C732d 2005</t>
        </is>
      </c>
      <c r="E1476" t="inlineStr">
        <is>
          <t>0                      WY 0154000C  732d        2005</t>
        </is>
      </c>
      <c r="F1476" t="inlineStr">
        <is>
          <t>Delmar's critical care nursing care plans / Sheree Comer.</t>
        </is>
      </c>
      <c r="H1476" t="inlineStr">
        <is>
          <t>No</t>
        </is>
      </c>
      <c r="I1476" t="inlineStr">
        <is>
          <t>1</t>
        </is>
      </c>
      <c r="J1476" t="inlineStr">
        <is>
          <t>No</t>
        </is>
      </c>
      <c r="K1476" t="inlineStr">
        <is>
          <t>No</t>
        </is>
      </c>
      <c r="L1476" t="inlineStr">
        <is>
          <t>0</t>
        </is>
      </c>
      <c r="M1476" t="inlineStr">
        <is>
          <t>Comer, Sheree.</t>
        </is>
      </c>
      <c r="N1476" t="inlineStr">
        <is>
          <t>Clifton Park, NY : Thomson/Delmar Learning, c2005.</t>
        </is>
      </c>
      <c r="O1476" t="inlineStr">
        <is>
          <t>2005</t>
        </is>
      </c>
      <c r="P1476" t="inlineStr">
        <is>
          <t>2nd ed.</t>
        </is>
      </c>
      <c r="Q1476" t="inlineStr">
        <is>
          <t>eng</t>
        </is>
      </c>
      <c r="R1476" t="inlineStr">
        <is>
          <t>nyu</t>
        </is>
      </c>
      <c r="T1476" t="inlineStr">
        <is>
          <t xml:space="preserve">WY </t>
        </is>
      </c>
      <c r="U1476" t="n">
        <v>1</v>
      </c>
      <c r="V1476" t="n">
        <v>1</v>
      </c>
      <c r="W1476" t="inlineStr">
        <is>
          <t>2010-08-31</t>
        </is>
      </c>
      <c r="X1476" t="inlineStr">
        <is>
          <t>2010-08-31</t>
        </is>
      </c>
      <c r="Y1476" t="inlineStr">
        <is>
          <t>2006-09-22</t>
        </is>
      </c>
      <c r="Z1476" t="inlineStr">
        <is>
          <t>2006-09-22</t>
        </is>
      </c>
      <c r="AA1476" t="n">
        <v>295</v>
      </c>
      <c r="AB1476" t="n">
        <v>232</v>
      </c>
      <c r="AC1476" t="n">
        <v>236</v>
      </c>
      <c r="AD1476" t="n">
        <v>2</v>
      </c>
      <c r="AE1476" t="n">
        <v>2</v>
      </c>
      <c r="AF1476" t="n">
        <v>12</v>
      </c>
      <c r="AG1476" t="n">
        <v>12</v>
      </c>
      <c r="AH1476" t="n">
        <v>5</v>
      </c>
      <c r="AI1476" t="n">
        <v>5</v>
      </c>
      <c r="AJ1476" t="n">
        <v>1</v>
      </c>
      <c r="AK1476" t="n">
        <v>1</v>
      </c>
      <c r="AL1476" t="n">
        <v>7</v>
      </c>
      <c r="AM1476" t="n">
        <v>7</v>
      </c>
      <c r="AN1476" t="n">
        <v>1</v>
      </c>
      <c r="AO1476" t="n">
        <v>1</v>
      </c>
      <c r="AP1476" t="n">
        <v>0</v>
      </c>
      <c r="AQ1476" t="n">
        <v>0</v>
      </c>
      <c r="AR1476" t="inlineStr">
        <is>
          <t>No</t>
        </is>
      </c>
      <c r="AS1476" t="inlineStr">
        <is>
          <t>No</t>
        </is>
      </c>
      <c r="AU1476">
        <f>HYPERLINK("https://creighton-primo.hosted.exlibrisgroup.com/primo-explore/search?tab=default_tab&amp;search_scope=EVERYTHING&amp;vid=01CRU&amp;lang=en_US&amp;offset=0&amp;query=any,contains,991000543839702656","Catalog Record")</f>
        <v/>
      </c>
      <c r="AV1476">
        <f>HYPERLINK("http://www.worldcat.org/oclc/52128240","WorldCat Record")</f>
        <v/>
      </c>
      <c r="AW1476" t="inlineStr">
        <is>
          <t>3901315190:eng</t>
        </is>
      </c>
      <c r="AX1476" t="inlineStr">
        <is>
          <t>52128240</t>
        </is>
      </c>
      <c r="AY1476" t="inlineStr">
        <is>
          <t>991000543839702656</t>
        </is>
      </c>
      <c r="AZ1476" t="inlineStr">
        <is>
          <t>991000543839702656</t>
        </is>
      </c>
      <c r="BA1476" t="inlineStr">
        <is>
          <t>2266454920002656</t>
        </is>
      </c>
      <c r="BB1476" t="inlineStr">
        <is>
          <t>BOOK</t>
        </is>
      </c>
      <c r="BD1476" t="inlineStr">
        <is>
          <t>9780766859951</t>
        </is>
      </c>
      <c r="BE1476" t="inlineStr">
        <is>
          <t>30001005120300</t>
        </is>
      </c>
      <c r="BF1476" t="inlineStr">
        <is>
          <t>893116156</t>
        </is>
      </c>
    </row>
    <row r="1477">
      <c r="A1477" t="inlineStr">
        <is>
          <t>No</t>
        </is>
      </c>
      <c r="B1477" t="inlineStr">
        <is>
          <t>CUHSL</t>
        </is>
      </c>
      <c r="C1477" t="inlineStr">
        <is>
          <t>SHELVES</t>
        </is>
      </c>
      <c r="D1477" t="inlineStr">
        <is>
          <t>WY 154 C744 1981</t>
        </is>
      </c>
      <c r="E1477" t="inlineStr">
        <is>
          <t>0                      WY 0154000C  744         1981</t>
        </is>
      </c>
      <c r="F1477" t="inlineStr">
        <is>
          <t>Concepts common to acute illness : identification and management / edited by Laura K. Hart, Jean L. Reese, Margery O. Fearing.</t>
        </is>
      </c>
      <c r="H1477" t="inlineStr">
        <is>
          <t>No</t>
        </is>
      </c>
      <c r="I1477" t="inlineStr">
        <is>
          <t>1</t>
        </is>
      </c>
      <c r="J1477" t="inlineStr">
        <is>
          <t>No</t>
        </is>
      </c>
      <c r="K1477" t="inlineStr">
        <is>
          <t>No</t>
        </is>
      </c>
      <c r="L1477" t="inlineStr">
        <is>
          <t>0</t>
        </is>
      </c>
      <c r="N1477" t="inlineStr">
        <is>
          <t>St. Louis : Mosby, c1981.</t>
        </is>
      </c>
      <c r="O1477" t="inlineStr">
        <is>
          <t>1981</t>
        </is>
      </c>
      <c r="Q1477" t="inlineStr">
        <is>
          <t>eng</t>
        </is>
      </c>
      <c r="R1477" t="inlineStr">
        <is>
          <t>xxu</t>
        </is>
      </c>
      <c r="T1477" t="inlineStr">
        <is>
          <t xml:space="preserve">WY </t>
        </is>
      </c>
      <c r="U1477" t="n">
        <v>3</v>
      </c>
      <c r="V1477" t="n">
        <v>3</v>
      </c>
      <c r="W1477" t="inlineStr">
        <is>
          <t>1992-02-15</t>
        </is>
      </c>
      <c r="X1477" t="inlineStr">
        <is>
          <t>1992-02-15</t>
        </is>
      </c>
      <c r="Y1477" t="inlineStr">
        <is>
          <t>1987-12-22</t>
        </is>
      </c>
      <c r="Z1477" t="inlineStr">
        <is>
          <t>1987-12-22</t>
        </is>
      </c>
      <c r="AA1477" t="n">
        <v>151</v>
      </c>
      <c r="AB1477" t="n">
        <v>122</v>
      </c>
      <c r="AC1477" t="n">
        <v>122</v>
      </c>
      <c r="AD1477" t="n">
        <v>3</v>
      </c>
      <c r="AE1477" t="n">
        <v>3</v>
      </c>
      <c r="AF1477" t="n">
        <v>5</v>
      </c>
      <c r="AG1477" t="n">
        <v>5</v>
      </c>
      <c r="AH1477" t="n">
        <v>1</v>
      </c>
      <c r="AI1477" t="n">
        <v>1</v>
      </c>
      <c r="AJ1477" t="n">
        <v>1</v>
      </c>
      <c r="AK1477" t="n">
        <v>1</v>
      </c>
      <c r="AL1477" t="n">
        <v>2</v>
      </c>
      <c r="AM1477" t="n">
        <v>2</v>
      </c>
      <c r="AN1477" t="n">
        <v>1</v>
      </c>
      <c r="AO1477" t="n">
        <v>1</v>
      </c>
      <c r="AP1477" t="n">
        <v>0</v>
      </c>
      <c r="AQ1477" t="n">
        <v>0</v>
      </c>
      <c r="AR1477" t="inlineStr">
        <is>
          <t>No</t>
        </is>
      </c>
      <c r="AS1477" t="inlineStr">
        <is>
          <t>No</t>
        </is>
      </c>
      <c r="AU1477">
        <f>HYPERLINK("https://creighton-primo.hosted.exlibrisgroup.com/primo-explore/search?tab=default_tab&amp;search_scope=EVERYTHING&amp;vid=01CRU&amp;lang=en_US&amp;offset=0&amp;query=any,contains,991000866039702656","Catalog Record")</f>
        <v/>
      </c>
      <c r="AV1477">
        <f>HYPERLINK("http://www.worldcat.org/oclc/7197110","WorldCat Record")</f>
        <v/>
      </c>
      <c r="AW1477" t="inlineStr">
        <is>
          <t>894395909:eng</t>
        </is>
      </c>
      <c r="AX1477" t="inlineStr">
        <is>
          <t>7197110</t>
        </is>
      </c>
      <c r="AY1477" t="inlineStr">
        <is>
          <t>991000866039702656</t>
        </is>
      </c>
      <c r="AZ1477" t="inlineStr">
        <is>
          <t>991000866039702656</t>
        </is>
      </c>
      <c r="BA1477" t="inlineStr">
        <is>
          <t>2272006350002656</t>
        </is>
      </c>
      <c r="BB1477" t="inlineStr">
        <is>
          <t>BOOK</t>
        </is>
      </c>
      <c r="BD1477" t="inlineStr">
        <is>
          <t>9780801621178</t>
        </is>
      </c>
      <c r="BE1477" t="inlineStr">
        <is>
          <t>30001000144503</t>
        </is>
      </c>
      <c r="BF1477" t="inlineStr">
        <is>
          <t>893148503</t>
        </is>
      </c>
    </row>
    <row r="1478">
      <c r="A1478" t="inlineStr">
        <is>
          <t>No</t>
        </is>
      </c>
      <c r="B1478" t="inlineStr">
        <is>
          <t>CUHSL</t>
        </is>
      </c>
      <c r="C1478" t="inlineStr">
        <is>
          <t>SHELVES</t>
        </is>
      </c>
      <c r="D1478" t="inlineStr">
        <is>
          <t>WY154 C9325 1999</t>
        </is>
      </c>
      <c r="E1478" t="inlineStr">
        <is>
          <t>0                      WY 0154000C  9325        1999</t>
        </is>
      </c>
      <c r="F1478" t="inlineStr">
        <is>
          <t>Critical care nursing / Linda Bucher, Sheila Melander.</t>
        </is>
      </c>
      <c r="H1478" t="inlineStr">
        <is>
          <t>No</t>
        </is>
      </c>
      <c r="I1478" t="inlineStr">
        <is>
          <t>1</t>
        </is>
      </c>
      <c r="J1478" t="inlineStr">
        <is>
          <t>No</t>
        </is>
      </c>
      <c r="K1478" t="inlineStr">
        <is>
          <t>No</t>
        </is>
      </c>
      <c r="L1478" t="inlineStr">
        <is>
          <t>0</t>
        </is>
      </c>
      <c r="M1478" t="inlineStr">
        <is>
          <t>Bucher, Linda.</t>
        </is>
      </c>
      <c r="N1478" t="inlineStr">
        <is>
          <t>Philadelphia : Saunders, c1999.</t>
        </is>
      </c>
      <c r="O1478" t="inlineStr">
        <is>
          <t>1999</t>
        </is>
      </c>
      <c r="P1478" t="inlineStr">
        <is>
          <t>1st ed.</t>
        </is>
      </c>
      <c r="Q1478" t="inlineStr">
        <is>
          <t>eng</t>
        </is>
      </c>
      <c r="R1478" t="inlineStr">
        <is>
          <t>pau</t>
        </is>
      </c>
      <c r="T1478" t="inlineStr">
        <is>
          <t xml:space="preserve">WY </t>
        </is>
      </c>
      <c r="U1478" t="n">
        <v>2</v>
      </c>
      <c r="V1478" t="n">
        <v>2</v>
      </c>
      <c r="W1478" t="inlineStr">
        <is>
          <t>2003-10-26</t>
        </is>
      </c>
      <c r="X1478" t="inlineStr">
        <is>
          <t>2003-10-26</t>
        </is>
      </c>
      <c r="Y1478" t="inlineStr">
        <is>
          <t>2002-06-26</t>
        </is>
      </c>
      <c r="Z1478" t="inlineStr">
        <is>
          <t>2002-06-26</t>
        </is>
      </c>
      <c r="AA1478" t="n">
        <v>301</v>
      </c>
      <c r="AB1478" t="n">
        <v>227</v>
      </c>
      <c r="AC1478" t="n">
        <v>233</v>
      </c>
      <c r="AD1478" t="n">
        <v>1</v>
      </c>
      <c r="AE1478" t="n">
        <v>1</v>
      </c>
      <c r="AF1478" t="n">
        <v>9</v>
      </c>
      <c r="AG1478" t="n">
        <v>9</v>
      </c>
      <c r="AH1478" t="n">
        <v>4</v>
      </c>
      <c r="AI1478" t="n">
        <v>4</v>
      </c>
      <c r="AJ1478" t="n">
        <v>0</v>
      </c>
      <c r="AK1478" t="n">
        <v>0</v>
      </c>
      <c r="AL1478" t="n">
        <v>6</v>
      </c>
      <c r="AM1478" t="n">
        <v>6</v>
      </c>
      <c r="AN1478" t="n">
        <v>0</v>
      </c>
      <c r="AO1478" t="n">
        <v>0</v>
      </c>
      <c r="AP1478" t="n">
        <v>0</v>
      </c>
      <c r="AQ1478" t="n">
        <v>0</v>
      </c>
      <c r="AR1478" t="inlineStr">
        <is>
          <t>No</t>
        </is>
      </c>
      <c r="AS1478" t="inlineStr">
        <is>
          <t>No</t>
        </is>
      </c>
      <c r="AU1478">
        <f>HYPERLINK("https://creighton-primo.hosted.exlibrisgroup.com/primo-explore/search?tab=default_tab&amp;search_scope=EVERYTHING&amp;vid=01CRU&amp;lang=en_US&amp;offset=0&amp;query=any,contains,991000318249702656","Catalog Record")</f>
        <v/>
      </c>
      <c r="AV1478">
        <f>HYPERLINK("http://www.worldcat.org/oclc/38937445","WorldCat Record")</f>
        <v/>
      </c>
      <c r="AW1478" t="inlineStr">
        <is>
          <t>10906262:eng</t>
        </is>
      </c>
      <c r="AX1478" t="inlineStr">
        <is>
          <t>38937445</t>
        </is>
      </c>
      <c r="AY1478" t="inlineStr">
        <is>
          <t>991000318249702656</t>
        </is>
      </c>
      <c r="AZ1478" t="inlineStr">
        <is>
          <t>991000318249702656</t>
        </is>
      </c>
      <c r="BA1478" t="inlineStr">
        <is>
          <t>2268628460002656</t>
        </is>
      </c>
      <c r="BB1478" t="inlineStr">
        <is>
          <t>BOOK</t>
        </is>
      </c>
      <c r="BD1478" t="inlineStr">
        <is>
          <t>9780721669175</t>
        </is>
      </c>
      <c r="BE1478" t="inlineStr">
        <is>
          <t>30001004442465</t>
        </is>
      </c>
      <c r="BF1478" t="inlineStr">
        <is>
          <t>893447189</t>
        </is>
      </c>
    </row>
    <row r="1479">
      <c r="A1479" t="inlineStr">
        <is>
          <t>No</t>
        </is>
      </c>
      <c r="B1479" t="inlineStr">
        <is>
          <t>CUHSL</t>
        </is>
      </c>
      <c r="C1479" t="inlineStr">
        <is>
          <t>SHELVES</t>
        </is>
      </c>
      <c r="D1479" t="inlineStr">
        <is>
          <t>WY 154 C9328 1990</t>
        </is>
      </c>
      <c r="E1479" t="inlineStr">
        <is>
          <t>0                      WY 0154000C  9328        1990</t>
        </is>
      </c>
      <c r="F1479" t="inlineStr">
        <is>
          <t>Critical care nursing : a holistic approach / [edited by] Carolyn M. Hudak, Barbara M. Gallo, Julie J. Benz ; 50 contributors.</t>
        </is>
      </c>
      <c r="H1479" t="inlineStr">
        <is>
          <t>No</t>
        </is>
      </c>
      <c r="I1479" t="inlineStr">
        <is>
          <t>1</t>
        </is>
      </c>
      <c r="J1479" t="inlineStr">
        <is>
          <t>No</t>
        </is>
      </c>
      <c r="K1479" t="inlineStr">
        <is>
          <t>Yes</t>
        </is>
      </c>
      <c r="L1479" t="inlineStr">
        <is>
          <t>0</t>
        </is>
      </c>
      <c r="N1479" t="inlineStr">
        <is>
          <t>Philadelphia : Lippincott, c1990.</t>
        </is>
      </c>
      <c r="O1479" t="inlineStr">
        <is>
          <t>1990</t>
        </is>
      </c>
      <c r="P1479" t="inlineStr">
        <is>
          <t>5th ed.</t>
        </is>
      </c>
      <c r="Q1479" t="inlineStr">
        <is>
          <t>eng</t>
        </is>
      </c>
      <c r="R1479" t="inlineStr">
        <is>
          <t>xxu</t>
        </is>
      </c>
      <c r="T1479" t="inlineStr">
        <is>
          <t xml:space="preserve">WY </t>
        </is>
      </c>
      <c r="U1479" t="n">
        <v>31</v>
      </c>
      <c r="V1479" t="n">
        <v>31</v>
      </c>
      <c r="W1479" t="inlineStr">
        <is>
          <t>2002-03-21</t>
        </is>
      </c>
      <c r="X1479" t="inlineStr">
        <is>
          <t>2002-03-21</t>
        </is>
      </c>
      <c r="Y1479" t="inlineStr">
        <is>
          <t>1990-05-03</t>
        </is>
      </c>
      <c r="Z1479" t="inlineStr">
        <is>
          <t>1990-05-03</t>
        </is>
      </c>
      <c r="AA1479" t="n">
        <v>303</v>
      </c>
      <c r="AB1479" t="n">
        <v>241</v>
      </c>
      <c r="AC1479" t="n">
        <v>1170</v>
      </c>
      <c r="AD1479" t="n">
        <v>2</v>
      </c>
      <c r="AE1479" t="n">
        <v>8</v>
      </c>
      <c r="AF1479" t="n">
        <v>4</v>
      </c>
      <c r="AG1479" t="n">
        <v>34</v>
      </c>
      <c r="AH1479" t="n">
        <v>2</v>
      </c>
      <c r="AI1479" t="n">
        <v>13</v>
      </c>
      <c r="AJ1479" t="n">
        <v>0</v>
      </c>
      <c r="AK1479" t="n">
        <v>8</v>
      </c>
      <c r="AL1479" t="n">
        <v>4</v>
      </c>
      <c r="AM1479" t="n">
        <v>16</v>
      </c>
      <c r="AN1479" t="n">
        <v>0</v>
      </c>
      <c r="AO1479" t="n">
        <v>5</v>
      </c>
      <c r="AP1479" t="n">
        <v>0</v>
      </c>
      <c r="AQ1479" t="n">
        <v>0</v>
      </c>
      <c r="AR1479" t="inlineStr">
        <is>
          <t>No</t>
        </is>
      </c>
      <c r="AS1479" t="inlineStr">
        <is>
          <t>Yes</t>
        </is>
      </c>
      <c r="AT1479">
        <f>HYPERLINK("http://catalog.hathitrust.org/Record/001945286","HathiTrust Record")</f>
        <v/>
      </c>
      <c r="AU1479">
        <f>HYPERLINK("https://creighton-primo.hosted.exlibrisgroup.com/primo-explore/search?tab=default_tab&amp;search_scope=EVERYTHING&amp;vid=01CRU&amp;lang=en_US&amp;offset=0&amp;query=any,contains,991001371199702656","Catalog Record")</f>
        <v/>
      </c>
      <c r="AV1479">
        <f>HYPERLINK("http://www.worldcat.org/oclc/20015431","WorldCat Record")</f>
        <v/>
      </c>
      <c r="AW1479" t="inlineStr">
        <is>
          <t>68537377:eng</t>
        </is>
      </c>
      <c r="AX1479" t="inlineStr">
        <is>
          <t>20015431</t>
        </is>
      </c>
      <c r="AY1479" t="inlineStr">
        <is>
          <t>991001371199702656</t>
        </is>
      </c>
      <c r="AZ1479" t="inlineStr">
        <is>
          <t>991001371199702656</t>
        </is>
      </c>
      <c r="BA1479" t="inlineStr">
        <is>
          <t>2259713420002656</t>
        </is>
      </c>
      <c r="BB1479" t="inlineStr">
        <is>
          <t>BOOK</t>
        </is>
      </c>
      <c r="BD1479" t="inlineStr">
        <is>
          <t>9780397547432</t>
        </is>
      </c>
      <c r="BE1479" t="inlineStr">
        <is>
          <t>30001001797853</t>
        </is>
      </c>
      <c r="BF1479" t="inlineStr">
        <is>
          <t>893369336</t>
        </is>
      </c>
    </row>
    <row r="1480">
      <c r="A1480" t="inlineStr">
        <is>
          <t>No</t>
        </is>
      </c>
      <c r="B1480" t="inlineStr">
        <is>
          <t>CUHSL</t>
        </is>
      </c>
      <c r="C1480" t="inlineStr">
        <is>
          <t>SHELVES</t>
        </is>
      </c>
      <c r="D1480" t="inlineStr">
        <is>
          <t>WY 154 C9328 1998</t>
        </is>
      </c>
      <c r="E1480" t="inlineStr">
        <is>
          <t>0                      WY 0154000C  9328        1998</t>
        </is>
      </c>
      <c r="F1480" t="inlineStr">
        <is>
          <t>Critical care nursing : a holistic approach / [edited by] Carolyn M. Hudak, Barbara M. Gallo, Patricia Gonce Morton.</t>
        </is>
      </c>
      <c r="H1480" t="inlineStr">
        <is>
          <t>No</t>
        </is>
      </c>
      <c r="I1480" t="inlineStr">
        <is>
          <t>1</t>
        </is>
      </c>
      <c r="J1480" t="inlineStr">
        <is>
          <t>No</t>
        </is>
      </c>
      <c r="K1480" t="inlineStr">
        <is>
          <t>Yes</t>
        </is>
      </c>
      <c r="L1480" t="inlineStr">
        <is>
          <t>0</t>
        </is>
      </c>
      <c r="N1480" t="inlineStr">
        <is>
          <t>Philadelphia : Lippincott, c1998.</t>
        </is>
      </c>
      <c r="O1480" t="inlineStr">
        <is>
          <t>1998</t>
        </is>
      </c>
      <c r="P1480" t="inlineStr">
        <is>
          <t>7th ed.</t>
        </is>
      </c>
      <c r="Q1480" t="inlineStr">
        <is>
          <t>eng</t>
        </is>
      </c>
      <c r="R1480" t="inlineStr">
        <is>
          <t>pau</t>
        </is>
      </c>
      <c r="T1480" t="inlineStr">
        <is>
          <t xml:space="preserve">WY </t>
        </is>
      </c>
      <c r="U1480" t="n">
        <v>12</v>
      </c>
      <c r="V1480" t="n">
        <v>12</v>
      </c>
      <c r="W1480" t="inlineStr">
        <is>
          <t>1999-12-08</t>
        </is>
      </c>
      <c r="X1480" t="inlineStr">
        <is>
          <t>1999-12-08</t>
        </is>
      </c>
      <c r="Y1480" t="inlineStr">
        <is>
          <t>1998-01-16</t>
        </is>
      </c>
      <c r="Z1480" t="inlineStr">
        <is>
          <t>1998-01-16</t>
        </is>
      </c>
      <c r="AA1480" t="n">
        <v>285</v>
      </c>
      <c r="AB1480" t="n">
        <v>226</v>
      </c>
      <c r="AC1480" t="n">
        <v>1170</v>
      </c>
      <c r="AD1480" t="n">
        <v>1</v>
      </c>
      <c r="AE1480" t="n">
        <v>8</v>
      </c>
      <c r="AF1480" t="n">
        <v>2</v>
      </c>
      <c r="AG1480" t="n">
        <v>34</v>
      </c>
      <c r="AH1480" t="n">
        <v>0</v>
      </c>
      <c r="AI1480" t="n">
        <v>13</v>
      </c>
      <c r="AJ1480" t="n">
        <v>0</v>
      </c>
      <c r="AK1480" t="n">
        <v>8</v>
      </c>
      <c r="AL1480" t="n">
        <v>2</v>
      </c>
      <c r="AM1480" t="n">
        <v>16</v>
      </c>
      <c r="AN1480" t="n">
        <v>0</v>
      </c>
      <c r="AO1480" t="n">
        <v>5</v>
      </c>
      <c r="AP1480" t="n">
        <v>0</v>
      </c>
      <c r="AQ1480" t="n">
        <v>0</v>
      </c>
      <c r="AR1480" t="inlineStr">
        <is>
          <t>No</t>
        </is>
      </c>
      <c r="AS1480" t="inlineStr">
        <is>
          <t>Yes</t>
        </is>
      </c>
      <c r="AT1480">
        <f>HYPERLINK("http://catalog.hathitrust.org/Record/003239778","HathiTrust Record")</f>
        <v/>
      </c>
      <c r="AU1480">
        <f>HYPERLINK("https://creighton-primo.hosted.exlibrisgroup.com/primo-explore/search?tab=default_tab&amp;search_scope=EVERYTHING&amp;vid=01CRU&amp;lang=en_US&amp;offset=0&amp;query=any,contains,991001226659702656","Catalog Record")</f>
        <v/>
      </c>
      <c r="AV1480">
        <f>HYPERLINK("http://www.worldcat.org/oclc/36961388","WorldCat Record")</f>
        <v/>
      </c>
      <c r="AW1480" t="inlineStr">
        <is>
          <t>68537377:eng</t>
        </is>
      </c>
      <c r="AX1480" t="inlineStr">
        <is>
          <t>36961388</t>
        </is>
      </c>
      <c r="AY1480" t="inlineStr">
        <is>
          <t>991001226659702656</t>
        </is>
      </c>
      <c r="AZ1480" t="inlineStr">
        <is>
          <t>991001226659702656</t>
        </is>
      </c>
      <c r="BA1480" t="inlineStr">
        <is>
          <t>2259195280002656</t>
        </is>
      </c>
      <c r="BB1480" t="inlineStr">
        <is>
          <t>BOOK</t>
        </is>
      </c>
      <c r="BD1480" t="inlineStr">
        <is>
          <t>9780781791953</t>
        </is>
      </c>
      <c r="BE1480" t="inlineStr">
        <is>
          <t>30001003669555</t>
        </is>
      </c>
      <c r="BF1480" t="inlineStr">
        <is>
          <t>893736336</t>
        </is>
      </c>
    </row>
    <row r="1481">
      <c r="A1481" t="inlineStr">
        <is>
          <t>No</t>
        </is>
      </c>
      <c r="B1481" t="inlineStr">
        <is>
          <t>CUHSL</t>
        </is>
      </c>
      <c r="C1481" t="inlineStr">
        <is>
          <t>SHELVES</t>
        </is>
      </c>
      <c r="D1481" t="inlineStr">
        <is>
          <t>WY154 C9328 2005</t>
        </is>
      </c>
      <c r="E1481" t="inlineStr">
        <is>
          <t>0                      WY 0154000C  9328        2005</t>
        </is>
      </c>
      <c r="F1481" t="inlineStr">
        <is>
          <t>Critical care nursing : a holistic approach / [edited by] Patricia Gonce Morton .. ... [et al.].</t>
        </is>
      </c>
      <c r="H1481" t="inlineStr">
        <is>
          <t>No</t>
        </is>
      </c>
      <c r="I1481" t="inlineStr">
        <is>
          <t>1</t>
        </is>
      </c>
      <c r="J1481" t="inlineStr">
        <is>
          <t>No</t>
        </is>
      </c>
      <c r="K1481" t="inlineStr">
        <is>
          <t>Yes</t>
        </is>
      </c>
      <c r="L1481" t="inlineStr">
        <is>
          <t>0</t>
        </is>
      </c>
      <c r="N1481" t="inlineStr">
        <is>
          <t>Philadelphia, PA : Lippincott Williams &amp; Wilkins, c2005.</t>
        </is>
      </c>
      <c r="O1481" t="inlineStr">
        <is>
          <t>2005</t>
        </is>
      </c>
      <c r="P1481" t="inlineStr">
        <is>
          <t>8th ed.</t>
        </is>
      </c>
      <c r="Q1481" t="inlineStr">
        <is>
          <t>eng</t>
        </is>
      </c>
      <c r="R1481" t="inlineStr">
        <is>
          <t>pau</t>
        </is>
      </c>
      <c r="T1481" t="inlineStr">
        <is>
          <t xml:space="preserve">WY </t>
        </is>
      </c>
      <c r="U1481" t="n">
        <v>0</v>
      </c>
      <c r="V1481" t="n">
        <v>0</v>
      </c>
      <c r="W1481" t="inlineStr">
        <is>
          <t>2005-03-21</t>
        </is>
      </c>
      <c r="X1481" t="inlineStr">
        <is>
          <t>2005-03-21</t>
        </is>
      </c>
      <c r="Y1481" t="inlineStr">
        <is>
          <t>2005-03-18</t>
        </is>
      </c>
      <c r="Z1481" t="inlineStr">
        <is>
          <t>2005-03-18</t>
        </is>
      </c>
      <c r="AA1481" t="n">
        <v>416</v>
      </c>
      <c r="AB1481" t="n">
        <v>298</v>
      </c>
      <c r="AC1481" t="n">
        <v>1170</v>
      </c>
      <c r="AD1481" t="n">
        <v>2</v>
      </c>
      <c r="AE1481" t="n">
        <v>8</v>
      </c>
      <c r="AF1481" t="n">
        <v>9</v>
      </c>
      <c r="AG1481" t="n">
        <v>34</v>
      </c>
      <c r="AH1481" t="n">
        <v>2</v>
      </c>
      <c r="AI1481" t="n">
        <v>13</v>
      </c>
      <c r="AJ1481" t="n">
        <v>3</v>
      </c>
      <c r="AK1481" t="n">
        <v>8</v>
      </c>
      <c r="AL1481" t="n">
        <v>5</v>
      </c>
      <c r="AM1481" t="n">
        <v>16</v>
      </c>
      <c r="AN1481" t="n">
        <v>1</v>
      </c>
      <c r="AO1481" t="n">
        <v>5</v>
      </c>
      <c r="AP1481" t="n">
        <v>0</v>
      </c>
      <c r="AQ1481" t="n">
        <v>0</v>
      </c>
      <c r="AR1481" t="inlineStr">
        <is>
          <t>No</t>
        </is>
      </c>
      <c r="AS1481" t="inlineStr">
        <is>
          <t>No</t>
        </is>
      </c>
      <c r="AU1481">
        <f>HYPERLINK("https://creighton-primo.hosted.exlibrisgroup.com/primo-explore/search?tab=default_tab&amp;search_scope=EVERYTHING&amp;vid=01CRU&amp;lang=en_US&amp;offset=0&amp;query=any,contains,991000433259702656","Catalog Record")</f>
        <v/>
      </c>
      <c r="AV1481">
        <f>HYPERLINK("http://www.worldcat.org/oclc/56192795","WorldCat Record")</f>
        <v/>
      </c>
      <c r="AW1481" t="inlineStr">
        <is>
          <t>68537377:eng</t>
        </is>
      </c>
      <c r="AX1481" t="inlineStr">
        <is>
          <t>56192795</t>
        </is>
      </c>
      <c r="AY1481" t="inlineStr">
        <is>
          <t>991000433259702656</t>
        </is>
      </c>
      <c r="AZ1481" t="inlineStr">
        <is>
          <t>991000433259702656</t>
        </is>
      </c>
      <c r="BA1481" t="inlineStr">
        <is>
          <t>2264647690002656</t>
        </is>
      </c>
      <c r="BB1481" t="inlineStr">
        <is>
          <t>BOOK</t>
        </is>
      </c>
      <c r="BD1481" t="inlineStr">
        <is>
          <t>9780781727594</t>
        </is>
      </c>
      <c r="BE1481" t="inlineStr">
        <is>
          <t>30001004928638</t>
        </is>
      </c>
      <c r="BF1481" t="inlineStr">
        <is>
          <t>893461482</t>
        </is>
      </c>
    </row>
    <row r="1482">
      <c r="A1482" t="inlineStr">
        <is>
          <t>No</t>
        </is>
      </c>
      <c r="B1482" t="inlineStr">
        <is>
          <t>CUHSL</t>
        </is>
      </c>
      <c r="C1482" t="inlineStr">
        <is>
          <t>SHELVES</t>
        </is>
      </c>
      <c r="D1482" t="inlineStr">
        <is>
          <t>WY 154 C93296 1998</t>
        </is>
      </c>
      <c r="E1482" t="inlineStr">
        <is>
          <t>0                      WY 0154000C  93296       1998</t>
        </is>
      </c>
      <c r="F1482" t="inlineStr">
        <is>
          <t>Critical care nursing : diagnosis and management / Linda D. Urden ... [et al.].</t>
        </is>
      </c>
      <c r="H1482" t="inlineStr">
        <is>
          <t>No</t>
        </is>
      </c>
      <c r="I1482" t="inlineStr">
        <is>
          <t>1</t>
        </is>
      </c>
      <c r="J1482" t="inlineStr">
        <is>
          <t>No</t>
        </is>
      </c>
      <c r="K1482" t="inlineStr">
        <is>
          <t>No</t>
        </is>
      </c>
      <c r="L1482" t="inlineStr">
        <is>
          <t>0</t>
        </is>
      </c>
      <c r="N1482" t="inlineStr">
        <is>
          <t>St. Louis : Mosby, c1998.</t>
        </is>
      </c>
      <c r="O1482" t="inlineStr">
        <is>
          <t>1998</t>
        </is>
      </c>
      <c r="P1482" t="inlineStr">
        <is>
          <t>3rd ed.</t>
        </is>
      </c>
      <c r="Q1482" t="inlineStr">
        <is>
          <t>eng</t>
        </is>
      </c>
      <c r="R1482" t="inlineStr">
        <is>
          <t>mou</t>
        </is>
      </c>
      <c r="T1482" t="inlineStr">
        <is>
          <t xml:space="preserve">WY </t>
        </is>
      </c>
      <c r="U1482" t="n">
        <v>13</v>
      </c>
      <c r="V1482" t="n">
        <v>13</v>
      </c>
      <c r="W1482" t="inlineStr">
        <is>
          <t>2003-03-24</t>
        </is>
      </c>
      <c r="X1482" t="inlineStr">
        <is>
          <t>2003-03-24</t>
        </is>
      </c>
      <c r="Y1482" t="inlineStr">
        <is>
          <t>1998-01-23</t>
        </is>
      </c>
      <c r="Z1482" t="inlineStr">
        <is>
          <t>1998-01-23</t>
        </is>
      </c>
      <c r="AA1482" t="n">
        <v>314</v>
      </c>
      <c r="AB1482" t="n">
        <v>230</v>
      </c>
      <c r="AC1482" t="n">
        <v>696</v>
      </c>
      <c r="AD1482" t="n">
        <v>2</v>
      </c>
      <c r="AE1482" t="n">
        <v>5</v>
      </c>
      <c r="AF1482" t="n">
        <v>7</v>
      </c>
      <c r="AG1482" t="n">
        <v>22</v>
      </c>
      <c r="AH1482" t="n">
        <v>3</v>
      </c>
      <c r="AI1482" t="n">
        <v>6</v>
      </c>
      <c r="AJ1482" t="n">
        <v>0</v>
      </c>
      <c r="AK1482" t="n">
        <v>5</v>
      </c>
      <c r="AL1482" t="n">
        <v>3</v>
      </c>
      <c r="AM1482" t="n">
        <v>9</v>
      </c>
      <c r="AN1482" t="n">
        <v>1</v>
      </c>
      <c r="AO1482" t="n">
        <v>4</v>
      </c>
      <c r="AP1482" t="n">
        <v>0</v>
      </c>
      <c r="AQ1482" t="n">
        <v>0</v>
      </c>
      <c r="AR1482" t="inlineStr">
        <is>
          <t>No</t>
        </is>
      </c>
      <c r="AS1482" t="inlineStr">
        <is>
          <t>No</t>
        </is>
      </c>
      <c r="AU1482">
        <f>HYPERLINK("https://creighton-primo.hosted.exlibrisgroup.com/primo-explore/search?tab=default_tab&amp;search_scope=EVERYTHING&amp;vid=01CRU&amp;lang=en_US&amp;offset=0&amp;query=any,contains,991001295179702656","Catalog Record")</f>
        <v/>
      </c>
      <c r="AV1482">
        <f>HYPERLINK("http://www.worldcat.org/oclc/37442721","WorldCat Record")</f>
        <v/>
      </c>
      <c r="AW1482" t="inlineStr">
        <is>
          <t>4922094573:eng</t>
        </is>
      </c>
      <c r="AX1482" t="inlineStr">
        <is>
          <t>37442721</t>
        </is>
      </c>
      <c r="AY1482" t="inlineStr">
        <is>
          <t>991001295179702656</t>
        </is>
      </c>
      <c r="AZ1482" t="inlineStr">
        <is>
          <t>991001295179702656</t>
        </is>
      </c>
      <c r="BA1482" t="inlineStr">
        <is>
          <t>2262015760002656</t>
        </is>
      </c>
      <c r="BB1482" t="inlineStr">
        <is>
          <t>BOOK</t>
        </is>
      </c>
      <c r="BD1482" t="inlineStr">
        <is>
          <t>9780815136927</t>
        </is>
      </c>
      <c r="BE1482" t="inlineStr">
        <is>
          <t>30001003741529</t>
        </is>
      </c>
      <c r="BF1482" t="inlineStr">
        <is>
          <t>893460437</t>
        </is>
      </c>
    </row>
    <row r="1483">
      <c r="A1483" t="inlineStr">
        <is>
          <t>No</t>
        </is>
      </c>
      <c r="B1483" t="inlineStr">
        <is>
          <t>CUHSL</t>
        </is>
      </c>
      <c r="C1483" t="inlineStr">
        <is>
          <t>SHELVES</t>
        </is>
      </c>
      <c r="D1483" t="inlineStr">
        <is>
          <t>WY 154 C93296q 1998</t>
        </is>
      </c>
      <c r="E1483" t="inlineStr">
        <is>
          <t>0                      WY 0154000C  93296q      1998</t>
        </is>
      </c>
      <c r="F1483" t="inlineStr">
        <is>
          <t>Quick critical care reference / Susan B. Stillwell.</t>
        </is>
      </c>
      <c r="H1483" t="inlineStr">
        <is>
          <t>No</t>
        </is>
      </c>
      <c r="I1483" t="inlineStr">
        <is>
          <t>1</t>
        </is>
      </c>
      <c r="J1483" t="inlineStr">
        <is>
          <t>No</t>
        </is>
      </c>
      <c r="K1483" t="inlineStr">
        <is>
          <t>Yes</t>
        </is>
      </c>
      <c r="L1483" t="inlineStr">
        <is>
          <t>0</t>
        </is>
      </c>
      <c r="M1483" t="inlineStr">
        <is>
          <t>Stillwell, Susan B.</t>
        </is>
      </c>
      <c r="N1483" t="inlineStr">
        <is>
          <t>St. Louis, Mo. : Mosby, c1998.</t>
        </is>
      </c>
      <c r="O1483" t="inlineStr">
        <is>
          <t>1998</t>
        </is>
      </c>
      <c r="P1483" t="inlineStr">
        <is>
          <t>3rd ed.</t>
        </is>
      </c>
      <c r="Q1483" t="inlineStr">
        <is>
          <t>eng</t>
        </is>
      </c>
      <c r="R1483" t="inlineStr">
        <is>
          <t>mou</t>
        </is>
      </c>
      <c r="T1483" t="inlineStr">
        <is>
          <t xml:space="preserve">WY </t>
        </is>
      </c>
      <c r="U1483" t="n">
        <v>5</v>
      </c>
      <c r="V1483" t="n">
        <v>5</v>
      </c>
      <c r="W1483" t="inlineStr">
        <is>
          <t>2004-08-13</t>
        </is>
      </c>
      <c r="X1483" t="inlineStr">
        <is>
          <t>2004-08-13</t>
        </is>
      </c>
      <c r="Y1483" t="inlineStr">
        <is>
          <t>1998-01-23</t>
        </is>
      </c>
      <c r="Z1483" t="inlineStr">
        <is>
          <t>1998-01-23</t>
        </is>
      </c>
      <c r="AA1483" t="n">
        <v>182</v>
      </c>
      <c r="AB1483" t="n">
        <v>120</v>
      </c>
      <c r="AC1483" t="n">
        <v>237</v>
      </c>
      <c r="AD1483" t="n">
        <v>1</v>
      </c>
      <c r="AE1483" t="n">
        <v>2</v>
      </c>
      <c r="AF1483" t="n">
        <v>3</v>
      </c>
      <c r="AG1483" t="n">
        <v>5</v>
      </c>
      <c r="AH1483" t="n">
        <v>1</v>
      </c>
      <c r="AI1483" t="n">
        <v>2</v>
      </c>
      <c r="AJ1483" t="n">
        <v>0</v>
      </c>
      <c r="AK1483" t="n">
        <v>0</v>
      </c>
      <c r="AL1483" t="n">
        <v>2</v>
      </c>
      <c r="AM1483" t="n">
        <v>2</v>
      </c>
      <c r="AN1483" t="n">
        <v>0</v>
      </c>
      <c r="AO1483" t="n">
        <v>1</v>
      </c>
      <c r="AP1483" t="n">
        <v>0</v>
      </c>
      <c r="AQ1483" t="n">
        <v>0</v>
      </c>
      <c r="AR1483" t="inlineStr">
        <is>
          <t>No</t>
        </is>
      </c>
      <c r="AS1483" t="inlineStr">
        <is>
          <t>No</t>
        </is>
      </c>
      <c r="AU1483">
        <f>HYPERLINK("https://creighton-primo.hosted.exlibrisgroup.com/primo-explore/search?tab=default_tab&amp;search_scope=EVERYTHING&amp;vid=01CRU&amp;lang=en_US&amp;offset=0&amp;query=any,contains,991001294999702656","Catalog Record")</f>
        <v/>
      </c>
      <c r="AV1483">
        <f>HYPERLINK("http://www.worldcat.org/oclc/38155710","WorldCat Record")</f>
        <v/>
      </c>
      <c r="AW1483" t="inlineStr">
        <is>
          <t>3372729350:eng</t>
        </is>
      </c>
      <c r="AX1483" t="inlineStr">
        <is>
          <t>38155710</t>
        </is>
      </c>
      <c r="AY1483" t="inlineStr">
        <is>
          <t>991001294999702656</t>
        </is>
      </c>
      <c r="AZ1483" t="inlineStr">
        <is>
          <t>991001294999702656</t>
        </is>
      </c>
      <c r="BA1483" t="inlineStr">
        <is>
          <t>2264722570002656</t>
        </is>
      </c>
      <c r="BB1483" t="inlineStr">
        <is>
          <t>BOOK</t>
        </is>
      </c>
      <c r="BD1483" t="inlineStr">
        <is>
          <t>9780815136941</t>
        </is>
      </c>
      <c r="BE1483" t="inlineStr">
        <is>
          <t>30001003741503</t>
        </is>
      </c>
      <c r="BF1483" t="inlineStr">
        <is>
          <t>893284656</t>
        </is>
      </c>
    </row>
    <row r="1484">
      <c r="A1484" t="inlineStr">
        <is>
          <t>No</t>
        </is>
      </c>
      <c r="B1484" t="inlineStr">
        <is>
          <t>CUHSL</t>
        </is>
      </c>
      <c r="C1484" t="inlineStr">
        <is>
          <t>SHELVES</t>
        </is>
      </c>
      <c r="D1484" t="inlineStr">
        <is>
          <t>WY 154 C93332 1993</t>
        </is>
      </c>
      <c r="E1484" t="inlineStr">
        <is>
          <t>0                      WY 0154000C  93332       1993</t>
        </is>
      </c>
      <c r="F1484" t="inlineStr">
        <is>
          <t>Critical care nursing / [edited by] John M. Clochesy ... [et al.].</t>
        </is>
      </c>
      <c r="H1484" t="inlineStr">
        <is>
          <t>No</t>
        </is>
      </c>
      <c r="I1484" t="inlineStr">
        <is>
          <t>1</t>
        </is>
      </c>
      <c r="J1484" t="inlineStr">
        <is>
          <t>No</t>
        </is>
      </c>
      <c r="K1484" t="inlineStr">
        <is>
          <t>Yes</t>
        </is>
      </c>
      <c r="L1484" t="inlineStr">
        <is>
          <t>0</t>
        </is>
      </c>
      <c r="N1484" t="inlineStr">
        <is>
          <t>Philadelphia : W.B. Saunders Co., c1993.</t>
        </is>
      </c>
      <c r="O1484" t="inlineStr">
        <is>
          <t>1993</t>
        </is>
      </c>
      <c r="Q1484" t="inlineStr">
        <is>
          <t>eng</t>
        </is>
      </c>
      <c r="R1484" t="inlineStr">
        <is>
          <t>pau</t>
        </is>
      </c>
      <c r="T1484" t="inlineStr">
        <is>
          <t xml:space="preserve">WY </t>
        </is>
      </c>
      <c r="U1484" t="n">
        <v>101</v>
      </c>
      <c r="V1484" t="n">
        <v>101</v>
      </c>
      <c r="W1484" t="inlineStr">
        <is>
          <t>2002-03-21</t>
        </is>
      </c>
      <c r="X1484" t="inlineStr">
        <is>
          <t>2002-03-21</t>
        </is>
      </c>
      <c r="Y1484" t="inlineStr">
        <is>
          <t>1993-01-14</t>
        </is>
      </c>
      <c r="Z1484" t="inlineStr">
        <is>
          <t>1993-01-14</t>
        </is>
      </c>
      <c r="AA1484" t="n">
        <v>318</v>
      </c>
      <c r="AB1484" t="n">
        <v>255</v>
      </c>
      <c r="AC1484" t="n">
        <v>413</v>
      </c>
      <c r="AD1484" t="n">
        <v>1</v>
      </c>
      <c r="AE1484" t="n">
        <v>3</v>
      </c>
      <c r="AF1484" t="n">
        <v>6</v>
      </c>
      <c r="AG1484" t="n">
        <v>10</v>
      </c>
      <c r="AH1484" t="n">
        <v>2</v>
      </c>
      <c r="AI1484" t="n">
        <v>2</v>
      </c>
      <c r="AJ1484" t="n">
        <v>2</v>
      </c>
      <c r="AK1484" t="n">
        <v>4</v>
      </c>
      <c r="AL1484" t="n">
        <v>4</v>
      </c>
      <c r="AM1484" t="n">
        <v>6</v>
      </c>
      <c r="AN1484" t="n">
        <v>0</v>
      </c>
      <c r="AO1484" t="n">
        <v>0</v>
      </c>
      <c r="AP1484" t="n">
        <v>0</v>
      </c>
      <c r="AQ1484" t="n">
        <v>0</v>
      </c>
      <c r="AR1484" t="inlineStr">
        <is>
          <t>No</t>
        </is>
      </c>
      <c r="AS1484" t="inlineStr">
        <is>
          <t>No</t>
        </is>
      </c>
      <c r="AU1484">
        <f>HYPERLINK("https://creighton-primo.hosted.exlibrisgroup.com/primo-explore/search?tab=default_tab&amp;search_scope=EVERYTHING&amp;vid=01CRU&amp;lang=en_US&amp;offset=0&amp;query=any,contains,991001432569702656","Catalog Record")</f>
        <v/>
      </c>
      <c r="AV1484">
        <f>HYPERLINK("http://www.worldcat.org/oclc/25547384","WorldCat Record")</f>
        <v/>
      </c>
      <c r="AW1484" t="inlineStr">
        <is>
          <t>55569614:eng</t>
        </is>
      </c>
      <c r="AX1484" t="inlineStr">
        <is>
          <t>25547384</t>
        </is>
      </c>
      <c r="AY1484" t="inlineStr">
        <is>
          <t>991001432569702656</t>
        </is>
      </c>
      <c r="AZ1484" t="inlineStr">
        <is>
          <t>991001432569702656</t>
        </is>
      </c>
      <c r="BA1484" t="inlineStr">
        <is>
          <t>2261500460002656</t>
        </is>
      </c>
      <c r="BB1484" t="inlineStr">
        <is>
          <t>BOOK</t>
        </is>
      </c>
      <c r="BD1484" t="inlineStr">
        <is>
          <t>9780721628561</t>
        </is>
      </c>
      <c r="BE1484" t="inlineStr">
        <is>
          <t>30001002530022</t>
        </is>
      </c>
      <c r="BF1484" t="inlineStr">
        <is>
          <t>893377243</t>
        </is>
      </c>
    </row>
    <row r="1485">
      <c r="A1485" t="inlineStr">
        <is>
          <t>No</t>
        </is>
      </c>
      <c r="B1485" t="inlineStr">
        <is>
          <t>CUHSL</t>
        </is>
      </c>
      <c r="C1485" t="inlineStr">
        <is>
          <t>SHELVES</t>
        </is>
      </c>
      <c r="D1485" t="inlineStr">
        <is>
          <t>WY 154 C93332 1996</t>
        </is>
      </c>
      <c r="E1485" t="inlineStr">
        <is>
          <t>0                      WY 0154000C  93332       1996</t>
        </is>
      </c>
      <c r="F1485" t="inlineStr">
        <is>
          <t>Critical care nursing / [edited by] John M. Clochesy ... [et al.].</t>
        </is>
      </c>
      <c r="H1485" t="inlineStr">
        <is>
          <t>No</t>
        </is>
      </c>
      <c r="I1485" t="inlineStr">
        <is>
          <t>1</t>
        </is>
      </c>
      <c r="J1485" t="inlineStr">
        <is>
          <t>No</t>
        </is>
      </c>
      <c r="K1485" t="inlineStr">
        <is>
          <t>Yes</t>
        </is>
      </c>
      <c r="L1485" t="inlineStr">
        <is>
          <t>0</t>
        </is>
      </c>
      <c r="N1485" t="inlineStr">
        <is>
          <t>Philadelphia : Saunders, c1996.</t>
        </is>
      </c>
      <c r="O1485" t="inlineStr">
        <is>
          <t>1996</t>
        </is>
      </c>
      <c r="P1485" t="inlineStr">
        <is>
          <t>2nd ed.</t>
        </is>
      </c>
      <c r="Q1485" t="inlineStr">
        <is>
          <t>eng</t>
        </is>
      </c>
      <c r="R1485" t="inlineStr">
        <is>
          <t>pau</t>
        </is>
      </c>
      <c r="T1485" t="inlineStr">
        <is>
          <t xml:space="preserve">WY </t>
        </is>
      </c>
      <c r="U1485" t="n">
        <v>63</v>
      </c>
      <c r="V1485" t="n">
        <v>63</v>
      </c>
      <c r="W1485" t="inlineStr">
        <is>
          <t>2002-02-05</t>
        </is>
      </c>
      <c r="X1485" t="inlineStr">
        <is>
          <t>2002-02-05</t>
        </is>
      </c>
      <c r="Y1485" t="inlineStr">
        <is>
          <t>1996-09-10</t>
        </is>
      </c>
      <c r="Z1485" t="inlineStr">
        <is>
          <t>1996-09-10</t>
        </is>
      </c>
      <c r="AA1485" t="n">
        <v>335</v>
      </c>
      <c r="AB1485" t="n">
        <v>261</v>
      </c>
      <c r="AC1485" t="n">
        <v>413</v>
      </c>
      <c r="AD1485" t="n">
        <v>3</v>
      </c>
      <c r="AE1485" t="n">
        <v>3</v>
      </c>
      <c r="AF1485" t="n">
        <v>8</v>
      </c>
      <c r="AG1485" t="n">
        <v>10</v>
      </c>
      <c r="AH1485" t="n">
        <v>2</v>
      </c>
      <c r="AI1485" t="n">
        <v>2</v>
      </c>
      <c r="AJ1485" t="n">
        <v>2</v>
      </c>
      <c r="AK1485" t="n">
        <v>4</v>
      </c>
      <c r="AL1485" t="n">
        <v>5</v>
      </c>
      <c r="AM1485" t="n">
        <v>6</v>
      </c>
      <c r="AN1485" t="n">
        <v>0</v>
      </c>
      <c r="AO1485" t="n">
        <v>0</v>
      </c>
      <c r="AP1485" t="n">
        <v>0</v>
      </c>
      <c r="AQ1485" t="n">
        <v>0</v>
      </c>
      <c r="AR1485" t="inlineStr">
        <is>
          <t>No</t>
        </is>
      </c>
      <c r="AS1485" t="inlineStr">
        <is>
          <t>Yes</t>
        </is>
      </c>
      <c r="AT1485">
        <f>HYPERLINK("http://catalog.hathitrust.org/Record/004564460","HathiTrust Record")</f>
        <v/>
      </c>
      <c r="AU1485">
        <f>HYPERLINK("https://creighton-primo.hosted.exlibrisgroup.com/primo-explore/search?tab=default_tab&amp;search_scope=EVERYTHING&amp;vid=01CRU&amp;lang=en_US&amp;offset=0&amp;query=any,contains,991001806859702656","Catalog Record")</f>
        <v/>
      </c>
      <c r="AV1485">
        <f>HYPERLINK("http://www.worldcat.org/oclc/33246751","WorldCat Record")</f>
        <v/>
      </c>
      <c r="AW1485" t="inlineStr">
        <is>
          <t>55569614:eng</t>
        </is>
      </c>
      <c r="AX1485" t="inlineStr">
        <is>
          <t>33246751</t>
        </is>
      </c>
      <c r="AY1485" t="inlineStr">
        <is>
          <t>991001806859702656</t>
        </is>
      </c>
      <c r="AZ1485" t="inlineStr">
        <is>
          <t>991001806859702656</t>
        </is>
      </c>
      <c r="BA1485" t="inlineStr">
        <is>
          <t>2259425060002656</t>
        </is>
      </c>
      <c r="BB1485" t="inlineStr">
        <is>
          <t>BOOK</t>
        </is>
      </c>
      <c r="BD1485" t="inlineStr">
        <is>
          <t>9780721656748</t>
        </is>
      </c>
      <c r="BE1485" t="inlineStr">
        <is>
          <t>30001003441641</t>
        </is>
      </c>
      <c r="BF1485" t="inlineStr">
        <is>
          <t>893728029</t>
        </is>
      </c>
    </row>
    <row r="1486">
      <c r="A1486" t="inlineStr">
        <is>
          <t>No</t>
        </is>
      </c>
      <c r="B1486" t="inlineStr">
        <is>
          <t>CUHSL</t>
        </is>
      </c>
      <c r="C1486" t="inlineStr">
        <is>
          <t>SHELVES</t>
        </is>
      </c>
      <c r="D1486" t="inlineStr">
        <is>
          <t>WY 154 C9335 1987</t>
        </is>
      </c>
      <c r="E1486" t="inlineStr">
        <is>
          <t>0                      WY 0154000C  9335        1987</t>
        </is>
      </c>
      <c r="F1486" t="inlineStr">
        <is>
          <t>Critical care procedures and protocols : a nursing process approach / [edited by] Carol Batten Persons ; with 16 contributors.</t>
        </is>
      </c>
      <c r="H1486" t="inlineStr">
        <is>
          <t>No</t>
        </is>
      </c>
      <c r="I1486" t="inlineStr">
        <is>
          <t>1</t>
        </is>
      </c>
      <c r="J1486" t="inlineStr">
        <is>
          <t>No</t>
        </is>
      </c>
      <c r="K1486" t="inlineStr">
        <is>
          <t>No</t>
        </is>
      </c>
      <c r="L1486" t="inlineStr">
        <is>
          <t>0</t>
        </is>
      </c>
      <c r="N1486" t="inlineStr">
        <is>
          <t>Philadelphia : Lippincott, c1987.</t>
        </is>
      </c>
      <c r="O1486" t="inlineStr">
        <is>
          <t>1987</t>
        </is>
      </c>
      <c r="Q1486" t="inlineStr">
        <is>
          <t>eng</t>
        </is>
      </c>
      <c r="R1486" t="inlineStr">
        <is>
          <t>xxu</t>
        </is>
      </c>
      <c r="T1486" t="inlineStr">
        <is>
          <t xml:space="preserve">WY </t>
        </is>
      </c>
      <c r="U1486" t="n">
        <v>11</v>
      </c>
      <c r="V1486" t="n">
        <v>11</v>
      </c>
      <c r="W1486" t="inlineStr">
        <is>
          <t>2004-08-13</t>
        </is>
      </c>
      <c r="X1486" t="inlineStr">
        <is>
          <t>2004-08-13</t>
        </is>
      </c>
      <c r="Y1486" t="inlineStr">
        <is>
          <t>1989-08-15</t>
        </is>
      </c>
      <c r="Z1486" t="inlineStr">
        <is>
          <t>1989-08-15</t>
        </is>
      </c>
      <c r="AA1486" t="n">
        <v>202</v>
      </c>
      <c r="AB1486" t="n">
        <v>165</v>
      </c>
      <c r="AC1486" t="n">
        <v>171</v>
      </c>
      <c r="AD1486" t="n">
        <v>2</v>
      </c>
      <c r="AE1486" t="n">
        <v>2</v>
      </c>
      <c r="AF1486" t="n">
        <v>6</v>
      </c>
      <c r="AG1486" t="n">
        <v>6</v>
      </c>
      <c r="AH1486" t="n">
        <v>3</v>
      </c>
      <c r="AI1486" t="n">
        <v>3</v>
      </c>
      <c r="AJ1486" t="n">
        <v>1</v>
      </c>
      <c r="AK1486" t="n">
        <v>1</v>
      </c>
      <c r="AL1486" t="n">
        <v>3</v>
      </c>
      <c r="AM1486" t="n">
        <v>3</v>
      </c>
      <c r="AN1486" t="n">
        <v>0</v>
      </c>
      <c r="AO1486" t="n">
        <v>0</v>
      </c>
      <c r="AP1486" t="n">
        <v>0</v>
      </c>
      <c r="AQ1486" t="n">
        <v>0</v>
      </c>
      <c r="AR1486" t="inlineStr">
        <is>
          <t>No</t>
        </is>
      </c>
      <c r="AS1486" t="inlineStr">
        <is>
          <t>Yes</t>
        </is>
      </c>
      <c r="AT1486">
        <f>HYPERLINK("http://catalog.hathitrust.org/Record/000594469","HathiTrust Record")</f>
        <v/>
      </c>
      <c r="AU1486">
        <f>HYPERLINK("https://creighton-primo.hosted.exlibrisgroup.com/primo-explore/search?tab=default_tab&amp;search_scope=EVERYTHING&amp;vid=01CRU&amp;lang=en_US&amp;offset=0&amp;query=any,contains,991001313409702656","Catalog Record")</f>
        <v/>
      </c>
      <c r="AV1486">
        <f>HYPERLINK("http://www.worldcat.org/oclc/12969826","WorldCat Record")</f>
        <v/>
      </c>
      <c r="AW1486" t="inlineStr">
        <is>
          <t>5565499:eng</t>
        </is>
      </c>
      <c r="AX1486" t="inlineStr">
        <is>
          <t>12969826</t>
        </is>
      </c>
      <c r="AY1486" t="inlineStr">
        <is>
          <t>991001313409702656</t>
        </is>
      </c>
      <c r="AZ1486" t="inlineStr">
        <is>
          <t>991001313409702656</t>
        </is>
      </c>
      <c r="BA1486" t="inlineStr">
        <is>
          <t>2270507810002656</t>
        </is>
      </c>
      <c r="BB1486" t="inlineStr">
        <is>
          <t>BOOK</t>
        </is>
      </c>
      <c r="BD1486" t="inlineStr">
        <is>
          <t>9780397545650</t>
        </is>
      </c>
      <c r="BE1486" t="inlineStr">
        <is>
          <t>30001001751744</t>
        </is>
      </c>
      <c r="BF1486" t="inlineStr">
        <is>
          <t>893740988</t>
        </is>
      </c>
    </row>
    <row r="1487">
      <c r="A1487" t="inlineStr">
        <is>
          <t>No</t>
        </is>
      </c>
      <c r="B1487" t="inlineStr">
        <is>
          <t>CUHSL</t>
        </is>
      </c>
      <c r="C1487" t="inlineStr">
        <is>
          <t>SHELVES</t>
        </is>
      </c>
      <c r="D1487" t="inlineStr">
        <is>
          <t>WY154 C979m 2000</t>
        </is>
      </c>
      <c r="E1487" t="inlineStr">
        <is>
          <t>0                      WY 0154000C  979m        2000</t>
        </is>
      </c>
      <c r="F1487" t="inlineStr">
        <is>
          <t>Managing death in the ICU : the transition from cure to comfort / edited by J. Randall Curtis, Gordon D. Rubenfeld.</t>
        </is>
      </c>
      <c r="H1487" t="inlineStr">
        <is>
          <t>No</t>
        </is>
      </c>
      <c r="I1487" t="inlineStr">
        <is>
          <t>1</t>
        </is>
      </c>
      <c r="J1487" t="inlineStr">
        <is>
          <t>No</t>
        </is>
      </c>
      <c r="K1487" t="inlineStr">
        <is>
          <t>No</t>
        </is>
      </c>
      <c r="L1487" t="inlineStr">
        <is>
          <t>1</t>
        </is>
      </c>
      <c r="N1487" t="inlineStr">
        <is>
          <t>Oxford ; New York : Oxford University Press, 2001.</t>
        </is>
      </c>
      <c r="O1487" t="inlineStr">
        <is>
          <t>2001</t>
        </is>
      </c>
      <c r="Q1487" t="inlineStr">
        <is>
          <t>eng</t>
        </is>
      </c>
      <c r="R1487" t="inlineStr">
        <is>
          <t>enk</t>
        </is>
      </c>
      <c r="T1487" t="inlineStr">
        <is>
          <t xml:space="preserve">WY </t>
        </is>
      </c>
      <c r="U1487" t="n">
        <v>2</v>
      </c>
      <c r="V1487" t="n">
        <v>2</v>
      </c>
      <c r="W1487" t="inlineStr">
        <is>
          <t>2003-05-27</t>
        </is>
      </c>
      <c r="X1487" t="inlineStr">
        <is>
          <t>2003-05-27</t>
        </is>
      </c>
      <c r="Y1487" t="inlineStr">
        <is>
          <t>2002-07-02</t>
        </is>
      </c>
      <c r="Z1487" t="inlineStr">
        <is>
          <t>2002-07-02</t>
        </is>
      </c>
      <c r="AA1487" t="n">
        <v>300</v>
      </c>
      <c r="AB1487" t="n">
        <v>237</v>
      </c>
      <c r="AC1487" t="n">
        <v>1125</v>
      </c>
      <c r="AD1487" t="n">
        <v>2</v>
      </c>
      <c r="AE1487" t="n">
        <v>15</v>
      </c>
      <c r="AF1487" t="n">
        <v>9</v>
      </c>
      <c r="AG1487" t="n">
        <v>48</v>
      </c>
      <c r="AH1487" t="n">
        <v>2</v>
      </c>
      <c r="AI1487" t="n">
        <v>14</v>
      </c>
      <c r="AJ1487" t="n">
        <v>3</v>
      </c>
      <c r="AK1487" t="n">
        <v>12</v>
      </c>
      <c r="AL1487" t="n">
        <v>5</v>
      </c>
      <c r="AM1487" t="n">
        <v>15</v>
      </c>
      <c r="AN1487" t="n">
        <v>0</v>
      </c>
      <c r="AO1487" t="n">
        <v>12</v>
      </c>
      <c r="AP1487" t="n">
        <v>0</v>
      </c>
      <c r="AQ1487" t="n">
        <v>2</v>
      </c>
      <c r="AR1487" t="inlineStr">
        <is>
          <t>No</t>
        </is>
      </c>
      <c r="AS1487" t="inlineStr">
        <is>
          <t>Yes</t>
        </is>
      </c>
      <c r="AT1487">
        <f>HYPERLINK("http://catalog.hathitrust.org/Record/003541253","HathiTrust Record")</f>
        <v/>
      </c>
      <c r="AU1487">
        <f>HYPERLINK("https://creighton-primo.hosted.exlibrisgroup.com/primo-explore/search?tab=default_tab&amp;search_scope=EVERYTHING&amp;vid=01CRU&amp;lang=en_US&amp;offset=0&amp;query=any,contains,991000320809702656","Catalog Record")</f>
        <v/>
      </c>
      <c r="AV1487">
        <f>HYPERLINK("http://www.worldcat.org/oclc/46395078","WorldCat Record")</f>
        <v/>
      </c>
      <c r="AW1487" t="inlineStr">
        <is>
          <t>866295081:eng</t>
        </is>
      </c>
      <c r="AX1487" t="inlineStr">
        <is>
          <t>46395078</t>
        </is>
      </c>
      <c r="AY1487" t="inlineStr">
        <is>
          <t>991000320809702656</t>
        </is>
      </c>
      <c r="AZ1487" t="inlineStr">
        <is>
          <t>991000320809702656</t>
        </is>
      </c>
      <c r="BA1487" t="inlineStr">
        <is>
          <t>2269445090002656</t>
        </is>
      </c>
      <c r="BB1487" t="inlineStr">
        <is>
          <t>BOOK</t>
        </is>
      </c>
      <c r="BD1487" t="inlineStr">
        <is>
          <t>9780195128819</t>
        </is>
      </c>
      <c r="BE1487" t="inlineStr">
        <is>
          <t>30001004442523</t>
        </is>
      </c>
      <c r="BF1487" t="inlineStr">
        <is>
          <t>893732760</t>
        </is>
      </c>
    </row>
    <row r="1488">
      <c r="A1488" t="inlineStr">
        <is>
          <t>No</t>
        </is>
      </c>
      <c r="B1488" t="inlineStr">
        <is>
          <t>CUHSL</t>
        </is>
      </c>
      <c r="C1488" t="inlineStr">
        <is>
          <t>SHELVES</t>
        </is>
      </c>
      <c r="D1488" t="inlineStr">
        <is>
          <t>WY 154 D294 1990</t>
        </is>
      </c>
      <c r="E1488" t="inlineStr">
        <is>
          <t>0                      WY 0154000D  294         1990</t>
        </is>
      </c>
      <c r="F1488" t="inlineStr">
        <is>
          <t>Decision making in critical care nursing / [edited by] Susan M. Williams.</t>
        </is>
      </c>
      <c r="H1488" t="inlineStr">
        <is>
          <t>No</t>
        </is>
      </c>
      <c r="I1488" t="inlineStr">
        <is>
          <t>1</t>
        </is>
      </c>
      <c r="J1488" t="inlineStr">
        <is>
          <t>No</t>
        </is>
      </c>
      <c r="K1488" t="inlineStr">
        <is>
          <t>No</t>
        </is>
      </c>
      <c r="L1488" t="inlineStr">
        <is>
          <t>0</t>
        </is>
      </c>
      <c r="N1488" t="inlineStr">
        <is>
          <t>Toronto ; Philadelphia : B.C. Decker ; St. Louis, Mo. : Sales and distribution, Mosby, c1990.</t>
        </is>
      </c>
      <c r="O1488" t="inlineStr">
        <is>
          <t>1990</t>
        </is>
      </c>
      <c r="Q1488" t="inlineStr">
        <is>
          <t>eng</t>
        </is>
      </c>
      <c r="R1488" t="inlineStr">
        <is>
          <t>onc</t>
        </is>
      </c>
      <c r="S1488" t="inlineStr">
        <is>
          <t>Decision making in clinical nursing series</t>
        </is>
      </c>
      <c r="T1488" t="inlineStr">
        <is>
          <t xml:space="preserve">WY </t>
        </is>
      </c>
      <c r="U1488" t="n">
        <v>7</v>
      </c>
      <c r="V1488" t="n">
        <v>7</v>
      </c>
      <c r="W1488" t="inlineStr">
        <is>
          <t>1993-09-01</t>
        </is>
      </c>
      <c r="X1488" t="inlineStr">
        <is>
          <t>1993-09-01</t>
        </is>
      </c>
      <c r="Y1488" t="inlineStr">
        <is>
          <t>1990-06-29</t>
        </is>
      </c>
      <c r="Z1488" t="inlineStr">
        <is>
          <t>1990-06-29</t>
        </is>
      </c>
      <c r="AA1488" t="n">
        <v>192</v>
      </c>
      <c r="AB1488" t="n">
        <v>152</v>
      </c>
      <c r="AC1488" t="n">
        <v>160</v>
      </c>
      <c r="AD1488" t="n">
        <v>1</v>
      </c>
      <c r="AE1488" t="n">
        <v>1</v>
      </c>
      <c r="AF1488" t="n">
        <v>4</v>
      </c>
      <c r="AG1488" t="n">
        <v>4</v>
      </c>
      <c r="AH1488" t="n">
        <v>3</v>
      </c>
      <c r="AI1488" t="n">
        <v>3</v>
      </c>
      <c r="AJ1488" t="n">
        <v>0</v>
      </c>
      <c r="AK1488" t="n">
        <v>0</v>
      </c>
      <c r="AL1488" t="n">
        <v>3</v>
      </c>
      <c r="AM1488" t="n">
        <v>3</v>
      </c>
      <c r="AN1488" t="n">
        <v>0</v>
      </c>
      <c r="AO1488" t="n">
        <v>0</v>
      </c>
      <c r="AP1488" t="n">
        <v>0</v>
      </c>
      <c r="AQ1488" t="n">
        <v>0</v>
      </c>
      <c r="AR1488" t="inlineStr">
        <is>
          <t>No</t>
        </is>
      </c>
      <c r="AS1488" t="inlineStr">
        <is>
          <t>Yes</t>
        </is>
      </c>
      <c r="AT1488">
        <f>HYPERLINK("http://catalog.hathitrust.org/Record/001951925","HathiTrust Record")</f>
        <v/>
      </c>
      <c r="AU1488">
        <f>HYPERLINK("https://creighton-primo.hosted.exlibrisgroup.com/primo-explore/search?tab=default_tab&amp;search_scope=EVERYTHING&amp;vid=01CRU&amp;lang=en_US&amp;offset=0&amp;query=any,contains,991001450929702656","Catalog Record")</f>
        <v/>
      </c>
      <c r="AV1488">
        <f>HYPERLINK("http://www.worldcat.org/oclc/22815321","WorldCat Record")</f>
        <v/>
      </c>
      <c r="AW1488" t="inlineStr">
        <is>
          <t>52009396:eng</t>
        </is>
      </c>
      <c r="AX1488" t="inlineStr">
        <is>
          <t>22815321</t>
        </is>
      </c>
      <c r="AY1488" t="inlineStr">
        <is>
          <t>991001450929702656</t>
        </is>
      </c>
      <c r="AZ1488" t="inlineStr">
        <is>
          <t>991001450929702656</t>
        </is>
      </c>
      <c r="BA1488" t="inlineStr">
        <is>
          <t>2270433670002656</t>
        </is>
      </c>
      <c r="BB1488" t="inlineStr">
        <is>
          <t>BOOK</t>
        </is>
      </c>
      <c r="BD1488" t="inlineStr">
        <is>
          <t>9781556641183</t>
        </is>
      </c>
      <c r="BE1488" t="inlineStr">
        <is>
          <t>30001001882929</t>
        </is>
      </c>
      <c r="BF1488" t="inlineStr">
        <is>
          <t>893374596</t>
        </is>
      </c>
    </row>
    <row r="1489">
      <c r="A1489" t="inlineStr">
        <is>
          <t>No</t>
        </is>
      </c>
      <c r="B1489" t="inlineStr">
        <is>
          <t>CUHSL</t>
        </is>
      </c>
      <c r="C1489" t="inlineStr">
        <is>
          <t>SHELVES</t>
        </is>
      </c>
      <c r="D1489" t="inlineStr">
        <is>
          <t>WY 154 D569 1989</t>
        </is>
      </c>
      <c r="E1489" t="inlineStr">
        <is>
          <t>0                      WY 0154000D  569         1989</t>
        </is>
      </c>
      <c r="F1489" t="inlineStr">
        <is>
          <t>Difficult diagnoses in critical care nursing / [edited by] Marilyn Sawyer Sommers.</t>
        </is>
      </c>
      <c r="H1489" t="inlineStr">
        <is>
          <t>No</t>
        </is>
      </c>
      <c r="I1489" t="inlineStr">
        <is>
          <t>1</t>
        </is>
      </c>
      <c r="J1489" t="inlineStr">
        <is>
          <t>No</t>
        </is>
      </c>
      <c r="K1489" t="inlineStr">
        <is>
          <t>No</t>
        </is>
      </c>
      <c r="L1489" t="inlineStr">
        <is>
          <t>0</t>
        </is>
      </c>
      <c r="N1489" t="inlineStr">
        <is>
          <t>Rockville, Md. : Aspen Publishers, c1989.</t>
        </is>
      </c>
      <c r="O1489" t="inlineStr">
        <is>
          <t>1989</t>
        </is>
      </c>
      <c r="Q1489" t="inlineStr">
        <is>
          <t>eng</t>
        </is>
      </c>
      <c r="R1489" t="inlineStr">
        <is>
          <t>xxu</t>
        </is>
      </c>
      <c r="S1489" t="inlineStr">
        <is>
          <t>Aspen series in critical care nursing</t>
        </is>
      </c>
      <c r="T1489" t="inlineStr">
        <is>
          <t xml:space="preserve">WY </t>
        </is>
      </c>
      <c r="U1489" t="n">
        <v>6</v>
      </c>
      <c r="V1489" t="n">
        <v>6</v>
      </c>
      <c r="W1489" t="inlineStr">
        <is>
          <t>1990-06-01</t>
        </is>
      </c>
      <c r="X1489" t="inlineStr">
        <is>
          <t>1990-06-01</t>
        </is>
      </c>
      <c r="Y1489" t="inlineStr">
        <is>
          <t>1989-06-15</t>
        </is>
      </c>
      <c r="Z1489" t="inlineStr">
        <is>
          <t>1989-06-15</t>
        </is>
      </c>
      <c r="AA1489" t="n">
        <v>142</v>
      </c>
      <c r="AB1489" t="n">
        <v>118</v>
      </c>
      <c r="AC1489" t="n">
        <v>124</v>
      </c>
      <c r="AD1489" t="n">
        <v>1</v>
      </c>
      <c r="AE1489" t="n">
        <v>1</v>
      </c>
      <c r="AF1489" t="n">
        <v>5</v>
      </c>
      <c r="AG1489" t="n">
        <v>5</v>
      </c>
      <c r="AH1489" t="n">
        <v>2</v>
      </c>
      <c r="AI1489" t="n">
        <v>2</v>
      </c>
      <c r="AJ1489" t="n">
        <v>2</v>
      </c>
      <c r="AK1489" t="n">
        <v>2</v>
      </c>
      <c r="AL1489" t="n">
        <v>2</v>
      </c>
      <c r="AM1489" t="n">
        <v>2</v>
      </c>
      <c r="AN1489" t="n">
        <v>0</v>
      </c>
      <c r="AO1489" t="n">
        <v>0</v>
      </c>
      <c r="AP1489" t="n">
        <v>0</v>
      </c>
      <c r="AQ1489" t="n">
        <v>0</v>
      </c>
      <c r="AR1489" t="inlineStr">
        <is>
          <t>No</t>
        </is>
      </c>
      <c r="AS1489" t="inlineStr">
        <is>
          <t>Yes</t>
        </is>
      </c>
      <c r="AT1489">
        <f>HYPERLINK("http://catalog.hathitrust.org/Record/001086783","HathiTrust Record")</f>
        <v/>
      </c>
      <c r="AU1489">
        <f>HYPERLINK("https://creighton-primo.hosted.exlibrisgroup.com/primo-explore/search?tab=default_tab&amp;search_scope=EVERYTHING&amp;vid=01CRU&amp;lang=en_US&amp;offset=0&amp;query=any,contains,991001308139702656","Catalog Record")</f>
        <v/>
      </c>
      <c r="AV1489">
        <f>HYPERLINK("http://www.worldcat.org/oclc/18379094","WorldCat Record")</f>
        <v/>
      </c>
      <c r="AW1489" t="inlineStr">
        <is>
          <t>17735268:eng</t>
        </is>
      </c>
      <c r="AX1489" t="inlineStr">
        <is>
          <t>18379094</t>
        </is>
      </c>
      <c r="AY1489" t="inlineStr">
        <is>
          <t>991001308139702656</t>
        </is>
      </c>
      <c r="AZ1489" t="inlineStr">
        <is>
          <t>991001308139702656</t>
        </is>
      </c>
      <c r="BA1489" t="inlineStr">
        <is>
          <t>2258715330002656</t>
        </is>
      </c>
      <c r="BB1489" t="inlineStr">
        <is>
          <t>BOOK</t>
        </is>
      </c>
      <c r="BD1489" t="inlineStr">
        <is>
          <t>9780834200104</t>
        </is>
      </c>
      <c r="BE1489" t="inlineStr">
        <is>
          <t>30001001750027</t>
        </is>
      </c>
      <c r="BF1489" t="inlineStr">
        <is>
          <t>893649085</t>
        </is>
      </c>
    </row>
    <row r="1490">
      <c r="A1490" t="inlineStr">
        <is>
          <t>No</t>
        </is>
      </c>
      <c r="B1490" t="inlineStr">
        <is>
          <t>CUHSL</t>
        </is>
      </c>
      <c r="C1490" t="inlineStr">
        <is>
          <t>SHELVES</t>
        </is>
      </c>
      <c r="D1490" t="inlineStr">
        <is>
          <t>WY 154 E52075s 1995</t>
        </is>
      </c>
      <c r="E1490" t="inlineStr">
        <is>
          <t>0                      WY 0154000E  52075s      1995</t>
        </is>
      </c>
      <c r="F1490" t="inlineStr">
        <is>
          <t>Standards of emergency nursing practice / Emergency Nurses Association.</t>
        </is>
      </c>
      <c r="H1490" t="inlineStr">
        <is>
          <t>No</t>
        </is>
      </c>
      <c r="I1490" t="inlineStr">
        <is>
          <t>1</t>
        </is>
      </c>
      <c r="J1490" t="inlineStr">
        <is>
          <t>No</t>
        </is>
      </c>
      <c r="K1490" t="inlineStr">
        <is>
          <t>Yes</t>
        </is>
      </c>
      <c r="L1490" t="inlineStr">
        <is>
          <t>0</t>
        </is>
      </c>
      <c r="M1490" t="inlineStr">
        <is>
          <t>Emergency Nurses Association.</t>
        </is>
      </c>
      <c r="N1490" t="inlineStr">
        <is>
          <t>St. Louis, Mo. : Mosby, c1995.</t>
        </is>
      </c>
      <c r="O1490" t="inlineStr">
        <is>
          <t>1995</t>
        </is>
      </c>
      <c r="P1490" t="inlineStr">
        <is>
          <t>3rd ed.</t>
        </is>
      </c>
      <c r="Q1490" t="inlineStr">
        <is>
          <t>eng</t>
        </is>
      </c>
      <c r="R1490" t="inlineStr">
        <is>
          <t>mou</t>
        </is>
      </c>
      <c r="T1490" t="inlineStr">
        <is>
          <t xml:space="preserve">WY </t>
        </is>
      </c>
      <c r="U1490" t="n">
        <v>3</v>
      </c>
      <c r="V1490" t="n">
        <v>3</v>
      </c>
      <c r="W1490" t="inlineStr">
        <is>
          <t>2006-01-13</t>
        </is>
      </c>
      <c r="X1490" t="inlineStr">
        <is>
          <t>2006-01-13</t>
        </is>
      </c>
      <c r="Y1490" t="inlineStr">
        <is>
          <t>1996-04-18</t>
        </is>
      </c>
      <c r="Z1490" t="inlineStr">
        <is>
          <t>1996-04-18</t>
        </is>
      </c>
      <c r="AA1490" t="n">
        <v>253</v>
      </c>
      <c r="AB1490" t="n">
        <v>219</v>
      </c>
      <c r="AC1490" t="n">
        <v>404</v>
      </c>
      <c r="AD1490" t="n">
        <v>1</v>
      </c>
      <c r="AE1490" t="n">
        <v>2</v>
      </c>
      <c r="AF1490" t="n">
        <v>9</v>
      </c>
      <c r="AG1490" t="n">
        <v>14</v>
      </c>
      <c r="AH1490" t="n">
        <v>3</v>
      </c>
      <c r="AI1490" t="n">
        <v>4</v>
      </c>
      <c r="AJ1490" t="n">
        <v>2</v>
      </c>
      <c r="AK1490" t="n">
        <v>5</v>
      </c>
      <c r="AL1490" t="n">
        <v>4</v>
      </c>
      <c r="AM1490" t="n">
        <v>7</v>
      </c>
      <c r="AN1490" t="n">
        <v>0</v>
      </c>
      <c r="AO1490" t="n">
        <v>0</v>
      </c>
      <c r="AP1490" t="n">
        <v>0</v>
      </c>
      <c r="AQ1490" t="n">
        <v>0</v>
      </c>
      <c r="AR1490" t="inlineStr">
        <is>
          <t>No</t>
        </is>
      </c>
      <c r="AS1490" t="inlineStr">
        <is>
          <t>Yes</t>
        </is>
      </c>
      <c r="AT1490">
        <f>HYPERLINK("http://catalog.hathitrust.org/Record/002873325","HathiTrust Record")</f>
        <v/>
      </c>
      <c r="AU1490">
        <f>HYPERLINK("https://creighton-primo.hosted.exlibrisgroup.com/primo-explore/search?tab=default_tab&amp;search_scope=EVERYTHING&amp;vid=01CRU&amp;lang=en_US&amp;offset=0&amp;query=any,contains,991001506199702656","Catalog Record")</f>
        <v/>
      </c>
      <c r="AV1490">
        <f>HYPERLINK("http://www.worldcat.org/oclc/30069824","WorldCat Record")</f>
        <v/>
      </c>
      <c r="AW1490" t="inlineStr">
        <is>
          <t>24254638:eng</t>
        </is>
      </c>
      <c r="AX1490" t="inlineStr">
        <is>
          <t>30069824</t>
        </is>
      </c>
      <c r="AY1490" t="inlineStr">
        <is>
          <t>991001506199702656</t>
        </is>
      </c>
      <c r="AZ1490" t="inlineStr">
        <is>
          <t>991001506199702656</t>
        </is>
      </c>
      <c r="BA1490" t="inlineStr">
        <is>
          <t>2255760590002656</t>
        </is>
      </c>
      <c r="BB1490" t="inlineStr">
        <is>
          <t>BOOK</t>
        </is>
      </c>
      <c r="BD1490" t="inlineStr">
        <is>
          <t>9780815130482</t>
        </is>
      </c>
      <c r="BE1490" t="inlineStr">
        <is>
          <t>30001003264464</t>
        </is>
      </c>
      <c r="BF1490" t="inlineStr">
        <is>
          <t>893643651</t>
        </is>
      </c>
    </row>
    <row r="1491">
      <c r="A1491" t="inlineStr">
        <is>
          <t>No</t>
        </is>
      </c>
      <c r="B1491" t="inlineStr">
        <is>
          <t>CUHSL</t>
        </is>
      </c>
      <c r="C1491" t="inlineStr">
        <is>
          <t>SHELVES</t>
        </is>
      </c>
      <c r="D1491" t="inlineStr">
        <is>
          <t>WY 154 E52302 1990</t>
        </is>
      </c>
      <c r="E1491" t="inlineStr">
        <is>
          <t>0                      WY 0154000E  52302       1990</t>
        </is>
      </c>
      <c r="F1491" t="inlineStr">
        <is>
          <t>Emergency nursing : a physiologic and clinical perspective / [edited by] Stephanie Kitt, June Kaiser.</t>
        </is>
      </c>
      <c r="H1491" t="inlineStr">
        <is>
          <t>No</t>
        </is>
      </c>
      <c r="I1491" t="inlineStr">
        <is>
          <t>1</t>
        </is>
      </c>
      <c r="J1491" t="inlineStr">
        <is>
          <t>No</t>
        </is>
      </c>
      <c r="K1491" t="inlineStr">
        <is>
          <t>No</t>
        </is>
      </c>
      <c r="L1491" t="inlineStr">
        <is>
          <t>0</t>
        </is>
      </c>
      <c r="N1491" t="inlineStr">
        <is>
          <t>Philadelphia : Saunders, c1990.</t>
        </is>
      </c>
      <c r="O1491" t="inlineStr">
        <is>
          <t>1990</t>
        </is>
      </c>
      <c r="Q1491" t="inlineStr">
        <is>
          <t>eng</t>
        </is>
      </c>
      <c r="R1491" t="inlineStr">
        <is>
          <t>xxu</t>
        </is>
      </c>
      <c r="T1491" t="inlineStr">
        <is>
          <t xml:space="preserve">WY </t>
        </is>
      </c>
      <c r="U1491" t="n">
        <v>9</v>
      </c>
      <c r="V1491" t="n">
        <v>9</v>
      </c>
      <c r="W1491" t="inlineStr">
        <is>
          <t>1999-11-14</t>
        </is>
      </c>
      <c r="X1491" t="inlineStr">
        <is>
          <t>1999-11-14</t>
        </is>
      </c>
      <c r="Y1491" t="inlineStr">
        <is>
          <t>1990-01-17</t>
        </is>
      </c>
      <c r="Z1491" t="inlineStr">
        <is>
          <t>1990-01-17</t>
        </is>
      </c>
      <c r="AA1491" t="n">
        <v>264</v>
      </c>
      <c r="AB1491" t="n">
        <v>204</v>
      </c>
      <c r="AC1491" t="n">
        <v>328</v>
      </c>
      <c r="AD1491" t="n">
        <v>2</v>
      </c>
      <c r="AE1491" t="n">
        <v>3</v>
      </c>
      <c r="AF1491" t="n">
        <v>6</v>
      </c>
      <c r="AG1491" t="n">
        <v>12</v>
      </c>
      <c r="AH1491" t="n">
        <v>2</v>
      </c>
      <c r="AI1491" t="n">
        <v>4</v>
      </c>
      <c r="AJ1491" t="n">
        <v>2</v>
      </c>
      <c r="AK1491" t="n">
        <v>3</v>
      </c>
      <c r="AL1491" t="n">
        <v>3</v>
      </c>
      <c r="AM1491" t="n">
        <v>6</v>
      </c>
      <c r="AN1491" t="n">
        <v>0</v>
      </c>
      <c r="AO1491" t="n">
        <v>1</v>
      </c>
      <c r="AP1491" t="n">
        <v>0</v>
      </c>
      <c r="AQ1491" t="n">
        <v>0</v>
      </c>
      <c r="AR1491" t="inlineStr">
        <is>
          <t>No</t>
        </is>
      </c>
      <c r="AS1491" t="inlineStr">
        <is>
          <t>Yes</t>
        </is>
      </c>
      <c r="AT1491">
        <f>HYPERLINK("http://catalog.hathitrust.org/Record/001817595","HathiTrust Record")</f>
        <v/>
      </c>
      <c r="AU1491">
        <f>HYPERLINK("https://creighton-primo.hosted.exlibrisgroup.com/primo-explore/search?tab=default_tab&amp;search_scope=EVERYTHING&amp;vid=01CRU&amp;lang=en_US&amp;offset=0&amp;query=any,contains,991001385599702656","Catalog Record")</f>
        <v/>
      </c>
      <c r="AV1491">
        <f>HYPERLINK("http://www.worldcat.org/oclc/19740976","WorldCat Record")</f>
        <v/>
      </c>
      <c r="AW1491" t="inlineStr">
        <is>
          <t>793856289:eng</t>
        </is>
      </c>
      <c r="AX1491" t="inlineStr">
        <is>
          <t>19740976</t>
        </is>
      </c>
      <c r="AY1491" t="inlineStr">
        <is>
          <t>991001385599702656</t>
        </is>
      </c>
      <c r="AZ1491" t="inlineStr">
        <is>
          <t>991001385599702656</t>
        </is>
      </c>
      <c r="BA1491" t="inlineStr">
        <is>
          <t>2259300700002656</t>
        </is>
      </c>
      <c r="BB1491" t="inlineStr">
        <is>
          <t>BOOK</t>
        </is>
      </c>
      <c r="BD1491" t="inlineStr">
        <is>
          <t>9780721623740</t>
        </is>
      </c>
      <c r="BE1491" t="inlineStr">
        <is>
          <t>30001001799669</t>
        </is>
      </c>
      <c r="BF1491" t="inlineStr">
        <is>
          <t>893816345</t>
        </is>
      </c>
    </row>
    <row r="1492">
      <c r="A1492" t="inlineStr">
        <is>
          <t>No</t>
        </is>
      </c>
      <c r="B1492" t="inlineStr">
        <is>
          <t>CUHSL</t>
        </is>
      </c>
      <c r="C1492" t="inlineStr">
        <is>
          <t>SHELVES</t>
        </is>
      </c>
      <c r="D1492" t="inlineStr">
        <is>
          <t>WY 154 E5235 1985</t>
        </is>
      </c>
      <c r="E1492" t="inlineStr">
        <is>
          <t>0                      WY 0154000E  5235        1985</t>
        </is>
      </c>
      <c r="F1492" t="inlineStr">
        <is>
          <t>Emergency nursing : principles and practice / [edited by] Susan Budassi Sheehy, Janet Barber.</t>
        </is>
      </c>
      <c r="H1492" t="inlineStr">
        <is>
          <t>No</t>
        </is>
      </c>
      <c r="I1492" t="inlineStr">
        <is>
          <t>1</t>
        </is>
      </c>
      <c r="J1492" t="inlineStr">
        <is>
          <t>No</t>
        </is>
      </c>
      <c r="K1492" t="inlineStr">
        <is>
          <t>Yes</t>
        </is>
      </c>
      <c r="L1492" t="inlineStr">
        <is>
          <t>0</t>
        </is>
      </c>
      <c r="N1492" t="inlineStr">
        <is>
          <t>St. Louis : Mosby, c1985.</t>
        </is>
      </c>
      <c r="O1492" t="inlineStr">
        <is>
          <t>1985</t>
        </is>
      </c>
      <c r="P1492" t="inlineStr">
        <is>
          <t>2nd ed.</t>
        </is>
      </c>
      <c r="Q1492" t="inlineStr">
        <is>
          <t>eng</t>
        </is>
      </c>
      <c r="R1492" t="inlineStr">
        <is>
          <t>xxu</t>
        </is>
      </c>
      <c r="T1492" t="inlineStr">
        <is>
          <t xml:space="preserve">WY </t>
        </is>
      </c>
      <c r="U1492" t="n">
        <v>2</v>
      </c>
      <c r="V1492" t="n">
        <v>2</v>
      </c>
      <c r="W1492" t="inlineStr">
        <is>
          <t>1991-08-19</t>
        </is>
      </c>
      <c r="X1492" t="inlineStr">
        <is>
          <t>1991-08-19</t>
        </is>
      </c>
      <c r="Y1492" t="inlineStr">
        <is>
          <t>1987-12-22</t>
        </is>
      </c>
      <c r="Z1492" t="inlineStr">
        <is>
          <t>1987-12-22</t>
        </is>
      </c>
      <c r="AA1492" t="n">
        <v>239</v>
      </c>
      <c r="AB1492" t="n">
        <v>197</v>
      </c>
      <c r="AC1492" t="n">
        <v>407</v>
      </c>
      <c r="AD1492" t="n">
        <v>1</v>
      </c>
      <c r="AE1492" t="n">
        <v>1</v>
      </c>
      <c r="AF1492" t="n">
        <v>3</v>
      </c>
      <c r="AG1492" t="n">
        <v>7</v>
      </c>
      <c r="AH1492" t="n">
        <v>1</v>
      </c>
      <c r="AI1492" t="n">
        <v>3</v>
      </c>
      <c r="AJ1492" t="n">
        <v>0</v>
      </c>
      <c r="AK1492" t="n">
        <v>1</v>
      </c>
      <c r="AL1492" t="n">
        <v>2</v>
      </c>
      <c r="AM1492" t="n">
        <v>4</v>
      </c>
      <c r="AN1492" t="n">
        <v>0</v>
      </c>
      <c r="AO1492" t="n">
        <v>0</v>
      </c>
      <c r="AP1492" t="n">
        <v>0</v>
      </c>
      <c r="AQ1492" t="n">
        <v>0</v>
      </c>
      <c r="AR1492" t="inlineStr">
        <is>
          <t>No</t>
        </is>
      </c>
      <c r="AS1492" t="inlineStr">
        <is>
          <t>Yes</t>
        </is>
      </c>
      <c r="AT1492">
        <f>HYPERLINK("http://catalog.hathitrust.org/Record/000569983","HathiTrust Record")</f>
        <v/>
      </c>
      <c r="AU1492">
        <f>HYPERLINK("https://creighton-primo.hosted.exlibrisgroup.com/primo-explore/search?tab=default_tab&amp;search_scope=EVERYTHING&amp;vid=01CRU&amp;lang=en_US&amp;offset=0&amp;query=any,contains,991000866349702656","Catalog Record")</f>
        <v/>
      </c>
      <c r="AV1492">
        <f>HYPERLINK("http://www.worldcat.org/oclc/11134231","WorldCat Record")</f>
        <v/>
      </c>
      <c r="AW1492" t="inlineStr">
        <is>
          <t>3900997623:eng</t>
        </is>
      </c>
      <c r="AX1492" t="inlineStr">
        <is>
          <t>11134231</t>
        </is>
      </c>
      <c r="AY1492" t="inlineStr">
        <is>
          <t>991000866349702656</t>
        </is>
      </c>
      <c r="AZ1492" t="inlineStr">
        <is>
          <t>991000866349702656</t>
        </is>
      </c>
      <c r="BA1492" t="inlineStr">
        <is>
          <t>2265256080002656</t>
        </is>
      </c>
      <c r="BB1492" t="inlineStr">
        <is>
          <t>BOOK</t>
        </is>
      </c>
      <c r="BD1492" t="inlineStr">
        <is>
          <t>9780801604553</t>
        </is>
      </c>
      <c r="BE1492" t="inlineStr">
        <is>
          <t>30001000144552</t>
        </is>
      </c>
      <c r="BF1492" t="inlineStr">
        <is>
          <t>893120633</t>
        </is>
      </c>
    </row>
    <row r="1493">
      <c r="A1493" t="inlineStr">
        <is>
          <t>No</t>
        </is>
      </c>
      <c r="B1493" t="inlineStr">
        <is>
          <t>CUHSL</t>
        </is>
      </c>
      <c r="C1493" t="inlineStr">
        <is>
          <t>SHELVES</t>
        </is>
      </c>
      <c r="D1493" t="inlineStr">
        <is>
          <t>WY 154 E786 2000</t>
        </is>
      </c>
      <c r="E1493" t="inlineStr">
        <is>
          <t>0                      WY 0154000E  786         2000</t>
        </is>
      </c>
      <c r="F1493" t="inlineStr">
        <is>
          <t>Priorities in critical care nursing / [edited by] Linda D. Urden, Kathleen M. Stacy.</t>
        </is>
      </c>
      <c r="H1493" t="inlineStr">
        <is>
          <t>No</t>
        </is>
      </c>
      <c r="I1493" t="inlineStr">
        <is>
          <t>1</t>
        </is>
      </c>
      <c r="J1493" t="inlineStr">
        <is>
          <t>No</t>
        </is>
      </c>
      <c r="K1493" t="inlineStr">
        <is>
          <t>Yes</t>
        </is>
      </c>
      <c r="L1493" t="inlineStr">
        <is>
          <t>0</t>
        </is>
      </c>
      <c r="N1493" t="inlineStr">
        <is>
          <t>St. Louis, Mo. : Mosby, c2000.</t>
        </is>
      </c>
      <c r="O1493" t="inlineStr">
        <is>
          <t>2000</t>
        </is>
      </c>
      <c r="P1493" t="inlineStr">
        <is>
          <t>3rd ed.</t>
        </is>
      </c>
      <c r="Q1493" t="inlineStr">
        <is>
          <t>eng</t>
        </is>
      </c>
      <c r="R1493" t="inlineStr">
        <is>
          <t>mou</t>
        </is>
      </c>
      <c r="T1493" t="inlineStr">
        <is>
          <t xml:space="preserve">WY </t>
        </is>
      </c>
      <c r="U1493" t="n">
        <v>7</v>
      </c>
      <c r="V1493" t="n">
        <v>7</v>
      </c>
      <c r="W1493" t="inlineStr">
        <is>
          <t>2003-06-23</t>
        </is>
      </c>
      <c r="X1493" t="inlineStr">
        <is>
          <t>2003-06-23</t>
        </is>
      </c>
      <c r="Y1493" t="inlineStr">
        <is>
          <t>2000-02-01</t>
        </is>
      </c>
      <c r="Z1493" t="inlineStr">
        <is>
          <t>2000-02-01</t>
        </is>
      </c>
      <c r="AA1493" t="n">
        <v>292</v>
      </c>
      <c r="AB1493" t="n">
        <v>227</v>
      </c>
      <c r="AC1493" t="n">
        <v>776</v>
      </c>
      <c r="AD1493" t="n">
        <v>1</v>
      </c>
      <c r="AE1493" t="n">
        <v>4</v>
      </c>
      <c r="AF1493" t="n">
        <v>8</v>
      </c>
      <c r="AG1493" t="n">
        <v>23</v>
      </c>
      <c r="AH1493" t="n">
        <v>4</v>
      </c>
      <c r="AI1493" t="n">
        <v>9</v>
      </c>
      <c r="AJ1493" t="n">
        <v>1</v>
      </c>
      <c r="AK1493" t="n">
        <v>3</v>
      </c>
      <c r="AL1493" t="n">
        <v>4</v>
      </c>
      <c r="AM1493" t="n">
        <v>13</v>
      </c>
      <c r="AN1493" t="n">
        <v>0</v>
      </c>
      <c r="AO1493" t="n">
        <v>2</v>
      </c>
      <c r="AP1493" t="n">
        <v>0</v>
      </c>
      <c r="AQ1493" t="n">
        <v>0</v>
      </c>
      <c r="AR1493" t="inlineStr">
        <is>
          <t>No</t>
        </is>
      </c>
      <c r="AS1493" t="inlineStr">
        <is>
          <t>Yes</t>
        </is>
      </c>
      <c r="AT1493">
        <f>HYPERLINK("http://catalog.hathitrust.org/Record/004077241","HathiTrust Record")</f>
        <v/>
      </c>
      <c r="AU1493">
        <f>HYPERLINK("https://creighton-primo.hosted.exlibrisgroup.com/primo-explore/search?tab=default_tab&amp;search_scope=EVERYTHING&amp;vid=01CRU&amp;lang=en_US&amp;offset=0&amp;query=any,contains,991001799909702656","Catalog Record")</f>
        <v/>
      </c>
      <c r="AV1493">
        <f>HYPERLINK("http://www.worldcat.org/oclc/43118080","WorldCat Record")</f>
        <v/>
      </c>
      <c r="AW1493" t="inlineStr">
        <is>
          <t>350899228:eng</t>
        </is>
      </c>
      <c r="AX1493" t="inlineStr">
        <is>
          <t>43118080</t>
        </is>
      </c>
      <c r="AY1493" t="inlineStr">
        <is>
          <t>991001799909702656</t>
        </is>
      </c>
      <c r="AZ1493" t="inlineStr">
        <is>
          <t>991001799909702656</t>
        </is>
      </c>
      <c r="BA1493" t="inlineStr">
        <is>
          <t>2266382160002656</t>
        </is>
      </c>
      <c r="BB1493" t="inlineStr">
        <is>
          <t>BOOK</t>
        </is>
      </c>
      <c r="BD1493" t="inlineStr">
        <is>
          <t>9780323010009</t>
        </is>
      </c>
      <c r="BE1493" t="inlineStr">
        <is>
          <t>30001003880426</t>
        </is>
      </c>
      <c r="BF1493" t="inlineStr">
        <is>
          <t>893652167</t>
        </is>
      </c>
    </row>
    <row r="1494">
      <c r="A1494" t="inlineStr">
        <is>
          <t>No</t>
        </is>
      </c>
      <c r="B1494" t="inlineStr">
        <is>
          <t>CUHSL</t>
        </is>
      </c>
      <c r="C1494" t="inlineStr">
        <is>
          <t>SHELVES</t>
        </is>
      </c>
      <c r="D1494" t="inlineStr">
        <is>
          <t>WY 154 F612 1983</t>
        </is>
      </c>
      <c r="E1494" t="inlineStr">
        <is>
          <t>0                      WY 0154000F  612         1983</t>
        </is>
      </c>
      <c r="F1494" t="inlineStr">
        <is>
          <t>Quick reference to critical care nursing / Betsy Jones Fletcher ; artwork by Mary S. Jones.</t>
        </is>
      </c>
      <c r="H1494" t="inlineStr">
        <is>
          <t>No</t>
        </is>
      </c>
      <c r="I1494" t="inlineStr">
        <is>
          <t>1</t>
        </is>
      </c>
      <c r="J1494" t="inlineStr">
        <is>
          <t>No</t>
        </is>
      </c>
      <c r="K1494" t="inlineStr">
        <is>
          <t>No</t>
        </is>
      </c>
      <c r="L1494" t="inlineStr">
        <is>
          <t>0</t>
        </is>
      </c>
      <c r="M1494" t="inlineStr">
        <is>
          <t>Fletcher, Betsy Jones.</t>
        </is>
      </c>
      <c r="N1494" t="inlineStr">
        <is>
          <t>Philadelphia : Lippincott, c1983.</t>
        </is>
      </c>
      <c r="O1494" t="inlineStr">
        <is>
          <t>1983</t>
        </is>
      </c>
      <c r="Q1494" t="inlineStr">
        <is>
          <t>eng</t>
        </is>
      </c>
      <c r="R1494" t="inlineStr">
        <is>
          <t>pau</t>
        </is>
      </c>
      <c r="S1494" t="inlineStr">
        <is>
          <t>Lippincott's quick references</t>
        </is>
      </c>
      <c r="T1494" t="inlineStr">
        <is>
          <t xml:space="preserve">WY </t>
        </is>
      </c>
      <c r="U1494" t="n">
        <v>2</v>
      </c>
      <c r="V1494" t="n">
        <v>2</v>
      </c>
      <c r="W1494" t="inlineStr">
        <is>
          <t>1990-08-29</t>
        </is>
      </c>
      <c r="X1494" t="inlineStr">
        <is>
          <t>1990-08-29</t>
        </is>
      </c>
      <c r="Y1494" t="inlineStr">
        <is>
          <t>1987-12-22</t>
        </is>
      </c>
      <c r="Z1494" t="inlineStr">
        <is>
          <t>1987-12-22</t>
        </is>
      </c>
      <c r="AA1494" t="n">
        <v>104</v>
      </c>
      <c r="AB1494" t="n">
        <v>82</v>
      </c>
      <c r="AC1494" t="n">
        <v>84</v>
      </c>
      <c r="AD1494" t="n">
        <v>1</v>
      </c>
      <c r="AE1494" t="n">
        <v>1</v>
      </c>
      <c r="AF1494" t="n">
        <v>1</v>
      </c>
      <c r="AG1494" t="n">
        <v>1</v>
      </c>
      <c r="AH1494" t="n">
        <v>1</v>
      </c>
      <c r="AI1494" t="n">
        <v>1</v>
      </c>
      <c r="AJ1494" t="n">
        <v>0</v>
      </c>
      <c r="AK1494" t="n">
        <v>0</v>
      </c>
      <c r="AL1494" t="n">
        <v>0</v>
      </c>
      <c r="AM1494" t="n">
        <v>0</v>
      </c>
      <c r="AN1494" t="n">
        <v>0</v>
      </c>
      <c r="AO1494" t="n">
        <v>0</v>
      </c>
      <c r="AP1494" t="n">
        <v>0</v>
      </c>
      <c r="AQ1494" t="n">
        <v>0</v>
      </c>
      <c r="AR1494" t="inlineStr">
        <is>
          <t>No</t>
        </is>
      </c>
      <c r="AS1494" t="inlineStr">
        <is>
          <t>Yes</t>
        </is>
      </c>
      <c r="AT1494">
        <f>HYPERLINK("http://catalog.hathitrust.org/Record/000203868","HathiTrust Record")</f>
        <v/>
      </c>
      <c r="AU1494">
        <f>HYPERLINK("https://creighton-primo.hosted.exlibrisgroup.com/primo-explore/search?tab=default_tab&amp;search_scope=EVERYTHING&amp;vid=01CRU&amp;lang=en_US&amp;offset=0&amp;query=any,contains,991000866389702656","Catalog Record")</f>
        <v/>
      </c>
      <c r="AV1494">
        <f>HYPERLINK("http://www.worldcat.org/oclc/8283014","WorldCat Record")</f>
        <v/>
      </c>
      <c r="AW1494" t="inlineStr">
        <is>
          <t>31170407:eng</t>
        </is>
      </c>
      <c r="AX1494" t="inlineStr">
        <is>
          <t>8283014</t>
        </is>
      </c>
      <c r="AY1494" t="inlineStr">
        <is>
          <t>991000866389702656</t>
        </is>
      </c>
      <c r="AZ1494" t="inlineStr">
        <is>
          <t>991000866389702656</t>
        </is>
      </c>
      <c r="BA1494" t="inlineStr">
        <is>
          <t>2268310440002656</t>
        </is>
      </c>
      <c r="BB1494" t="inlineStr">
        <is>
          <t>BOOK</t>
        </is>
      </c>
      <c r="BD1494" t="inlineStr">
        <is>
          <t>9780397543670</t>
        </is>
      </c>
      <c r="BE1494" t="inlineStr">
        <is>
          <t>30001000144560</t>
        </is>
      </c>
      <c r="BF1494" t="inlineStr">
        <is>
          <t>893826122</t>
        </is>
      </c>
    </row>
    <row r="1495">
      <c r="A1495" t="inlineStr">
        <is>
          <t>No</t>
        </is>
      </c>
      <c r="B1495" t="inlineStr">
        <is>
          <t>CUHSL</t>
        </is>
      </c>
      <c r="C1495" t="inlineStr">
        <is>
          <t>SHELVES</t>
        </is>
      </c>
      <c r="D1495" t="inlineStr">
        <is>
          <t>WY154 F715 2006</t>
        </is>
      </c>
      <c r="E1495" t="inlineStr">
        <is>
          <t>0                      WY 0154000F  715         2006</t>
        </is>
      </c>
      <c r="F1495" t="inlineStr">
        <is>
          <t>Forensic nursing / [edited by] Virginia A. Lynch ; with special contributions by Janet Barber Duval.</t>
        </is>
      </c>
      <c r="H1495" t="inlineStr">
        <is>
          <t>No</t>
        </is>
      </c>
      <c r="I1495" t="inlineStr">
        <is>
          <t>1</t>
        </is>
      </c>
      <c r="J1495" t="inlineStr">
        <is>
          <t>No</t>
        </is>
      </c>
      <c r="K1495" t="inlineStr">
        <is>
          <t>No</t>
        </is>
      </c>
      <c r="L1495" t="inlineStr">
        <is>
          <t>0</t>
        </is>
      </c>
      <c r="N1495" t="inlineStr">
        <is>
          <t>St. Louis, MO : Elsevier Mosby, c2006.</t>
        </is>
      </c>
      <c r="O1495" t="inlineStr">
        <is>
          <t>2006</t>
        </is>
      </c>
      <c r="Q1495" t="inlineStr">
        <is>
          <t>eng</t>
        </is>
      </c>
      <c r="R1495" t="inlineStr">
        <is>
          <t>mou</t>
        </is>
      </c>
      <c r="T1495" t="inlineStr">
        <is>
          <t xml:space="preserve">WY </t>
        </is>
      </c>
      <c r="U1495" t="n">
        <v>2</v>
      </c>
      <c r="V1495" t="n">
        <v>2</v>
      </c>
      <c r="W1495" t="inlineStr">
        <is>
          <t>2009-08-24</t>
        </is>
      </c>
      <c r="X1495" t="inlineStr">
        <is>
          <t>2009-08-24</t>
        </is>
      </c>
      <c r="Y1495" t="inlineStr">
        <is>
          <t>2005-10-27</t>
        </is>
      </c>
      <c r="Z1495" t="inlineStr">
        <is>
          <t>2005-10-27</t>
        </is>
      </c>
      <c r="AA1495" t="n">
        <v>271</v>
      </c>
      <c r="AB1495" t="n">
        <v>208</v>
      </c>
      <c r="AC1495" t="n">
        <v>210</v>
      </c>
      <c r="AD1495" t="n">
        <v>3</v>
      </c>
      <c r="AE1495" t="n">
        <v>3</v>
      </c>
      <c r="AF1495" t="n">
        <v>11</v>
      </c>
      <c r="AG1495" t="n">
        <v>11</v>
      </c>
      <c r="AH1495" t="n">
        <v>2</v>
      </c>
      <c r="AI1495" t="n">
        <v>2</v>
      </c>
      <c r="AJ1495" t="n">
        <v>3</v>
      </c>
      <c r="AK1495" t="n">
        <v>3</v>
      </c>
      <c r="AL1495" t="n">
        <v>5</v>
      </c>
      <c r="AM1495" t="n">
        <v>5</v>
      </c>
      <c r="AN1495" t="n">
        <v>2</v>
      </c>
      <c r="AO1495" t="n">
        <v>2</v>
      </c>
      <c r="AP1495" t="n">
        <v>0</v>
      </c>
      <c r="AQ1495" t="n">
        <v>0</v>
      </c>
      <c r="AR1495" t="inlineStr">
        <is>
          <t>No</t>
        </is>
      </c>
      <c r="AS1495" t="inlineStr">
        <is>
          <t>Yes</t>
        </is>
      </c>
      <c r="AT1495">
        <f>HYPERLINK("http://catalog.hathitrust.org/Record/005069751","HathiTrust Record")</f>
        <v/>
      </c>
      <c r="AU1495">
        <f>HYPERLINK("https://creighton-primo.hosted.exlibrisgroup.com/primo-explore/search?tab=default_tab&amp;search_scope=EVERYTHING&amp;vid=01CRU&amp;lang=en_US&amp;offset=0&amp;query=any,contains,991001735859702656","Catalog Record")</f>
        <v/>
      </c>
      <c r="AV1495">
        <f>HYPERLINK("http://www.worldcat.org/oclc/61162595","WorldCat Record")</f>
        <v/>
      </c>
      <c r="AW1495" t="inlineStr">
        <is>
          <t>3859367503:eng</t>
        </is>
      </c>
      <c r="AX1495" t="inlineStr">
        <is>
          <t>61162595</t>
        </is>
      </c>
      <c r="AY1495" t="inlineStr">
        <is>
          <t>991001735859702656</t>
        </is>
      </c>
      <c r="AZ1495" t="inlineStr">
        <is>
          <t>991001735859702656</t>
        </is>
      </c>
      <c r="BA1495" t="inlineStr">
        <is>
          <t>2269294540002656</t>
        </is>
      </c>
      <c r="BB1495" t="inlineStr">
        <is>
          <t>BOOK</t>
        </is>
      </c>
      <c r="BD1495" t="inlineStr">
        <is>
          <t>9780323028264</t>
        </is>
      </c>
      <c r="BE1495" t="inlineStr">
        <is>
          <t>30001004913747</t>
        </is>
      </c>
      <c r="BF1495" t="inlineStr">
        <is>
          <t>893451516</t>
        </is>
      </c>
    </row>
    <row r="1496">
      <c r="A1496" t="inlineStr">
        <is>
          <t>No</t>
        </is>
      </c>
      <c r="B1496" t="inlineStr">
        <is>
          <t>CUHSL</t>
        </is>
      </c>
      <c r="C1496" t="inlineStr">
        <is>
          <t>SHELVES</t>
        </is>
      </c>
      <c r="D1496" t="inlineStr">
        <is>
          <t>WY 154 I615 1986</t>
        </is>
      </c>
      <c r="E1496" t="inlineStr">
        <is>
          <t>0                      WY 0154000I  615         1986</t>
        </is>
      </c>
      <c r="F1496" t="inlineStr">
        <is>
          <t>Intervention in emergency nursing : the first 60 minutes / edited by Sharon Blanz Cahill, Marytherese Balskus.</t>
        </is>
      </c>
      <c r="H1496" t="inlineStr">
        <is>
          <t>No</t>
        </is>
      </c>
      <c r="I1496" t="inlineStr">
        <is>
          <t>1</t>
        </is>
      </c>
      <c r="J1496" t="inlineStr">
        <is>
          <t>No</t>
        </is>
      </c>
      <c r="K1496" t="inlineStr">
        <is>
          <t>No</t>
        </is>
      </c>
      <c r="L1496" t="inlineStr">
        <is>
          <t>0</t>
        </is>
      </c>
      <c r="N1496" t="inlineStr">
        <is>
          <t>Rockville, Md. : Aspen, c1986.</t>
        </is>
      </c>
      <c r="O1496" t="inlineStr">
        <is>
          <t>1986</t>
        </is>
      </c>
      <c r="Q1496" t="inlineStr">
        <is>
          <t>eng</t>
        </is>
      </c>
      <c r="R1496" t="inlineStr">
        <is>
          <t>xxu</t>
        </is>
      </c>
      <c r="T1496" t="inlineStr">
        <is>
          <t xml:space="preserve">WY </t>
        </is>
      </c>
      <c r="U1496" t="n">
        <v>5</v>
      </c>
      <c r="V1496" t="n">
        <v>5</v>
      </c>
      <c r="W1496" t="inlineStr">
        <is>
          <t>1990-10-17</t>
        </is>
      </c>
      <c r="X1496" t="inlineStr">
        <is>
          <t>1990-10-17</t>
        </is>
      </c>
      <c r="Y1496" t="inlineStr">
        <is>
          <t>1987-12-22</t>
        </is>
      </c>
      <c r="Z1496" t="inlineStr">
        <is>
          <t>1987-12-22</t>
        </is>
      </c>
      <c r="AA1496" t="n">
        <v>133</v>
      </c>
      <c r="AB1496" t="n">
        <v>114</v>
      </c>
      <c r="AC1496" t="n">
        <v>116</v>
      </c>
      <c r="AD1496" t="n">
        <v>2</v>
      </c>
      <c r="AE1496" t="n">
        <v>2</v>
      </c>
      <c r="AF1496" t="n">
        <v>2</v>
      </c>
      <c r="AG1496" t="n">
        <v>2</v>
      </c>
      <c r="AH1496" t="n">
        <v>0</v>
      </c>
      <c r="AI1496" t="n">
        <v>0</v>
      </c>
      <c r="AJ1496" t="n">
        <v>1</v>
      </c>
      <c r="AK1496" t="n">
        <v>1</v>
      </c>
      <c r="AL1496" t="n">
        <v>1</v>
      </c>
      <c r="AM1496" t="n">
        <v>1</v>
      </c>
      <c r="AN1496" t="n">
        <v>0</v>
      </c>
      <c r="AO1496" t="n">
        <v>0</v>
      </c>
      <c r="AP1496" t="n">
        <v>0</v>
      </c>
      <c r="AQ1496" t="n">
        <v>0</v>
      </c>
      <c r="AR1496" t="inlineStr">
        <is>
          <t>No</t>
        </is>
      </c>
      <c r="AS1496" t="inlineStr">
        <is>
          <t>Yes</t>
        </is>
      </c>
      <c r="AT1496">
        <f>HYPERLINK("http://catalog.hathitrust.org/Record/000538714","HathiTrust Record")</f>
        <v/>
      </c>
      <c r="AU1496">
        <f>HYPERLINK("https://creighton-primo.hosted.exlibrisgroup.com/primo-explore/search?tab=default_tab&amp;search_scope=EVERYTHING&amp;vid=01CRU&amp;lang=en_US&amp;offset=0&amp;query=any,contains,991000866539702656","Catalog Record")</f>
        <v/>
      </c>
      <c r="AV1496">
        <f>HYPERLINK("http://www.worldcat.org/oclc/13665973","WorldCat Record")</f>
        <v/>
      </c>
      <c r="AW1496" t="inlineStr">
        <is>
          <t>433645515:eng</t>
        </is>
      </c>
      <c r="AX1496" t="inlineStr">
        <is>
          <t>13665973</t>
        </is>
      </c>
      <c r="AY1496" t="inlineStr">
        <is>
          <t>991000866539702656</t>
        </is>
      </c>
      <c r="AZ1496" t="inlineStr">
        <is>
          <t>991000866539702656</t>
        </is>
      </c>
      <c r="BA1496" t="inlineStr">
        <is>
          <t>2271868150002656</t>
        </is>
      </c>
      <c r="BB1496" t="inlineStr">
        <is>
          <t>BOOK</t>
        </is>
      </c>
      <c r="BD1496" t="inlineStr">
        <is>
          <t>9780871893628</t>
        </is>
      </c>
      <c r="BE1496" t="inlineStr">
        <is>
          <t>30001000144701</t>
        </is>
      </c>
      <c r="BF1496" t="inlineStr">
        <is>
          <t>893278377</t>
        </is>
      </c>
    </row>
    <row r="1497">
      <c r="A1497" t="inlineStr">
        <is>
          <t>No</t>
        </is>
      </c>
      <c r="B1497" t="inlineStr">
        <is>
          <t>CUHSL</t>
        </is>
      </c>
      <c r="C1497" t="inlineStr">
        <is>
          <t>SHELVES</t>
        </is>
      </c>
      <c r="D1497" t="inlineStr">
        <is>
          <t>WY 154 I618 2005</t>
        </is>
      </c>
      <c r="E1497" t="inlineStr">
        <is>
          <t>0                      WY 0154000I  618         2005</t>
        </is>
      </c>
      <c r="F1497" t="inlineStr">
        <is>
          <t>Introduction to critical care nursing / [edited by] Mary Lou Sole, Deborah G. Klein, Marthe J. Moseley.</t>
        </is>
      </c>
      <c r="H1497" t="inlineStr">
        <is>
          <t>No</t>
        </is>
      </c>
      <c r="I1497" t="inlineStr">
        <is>
          <t>1</t>
        </is>
      </c>
      <c r="J1497" t="inlineStr">
        <is>
          <t>No</t>
        </is>
      </c>
      <c r="K1497" t="inlineStr">
        <is>
          <t>Yes</t>
        </is>
      </c>
      <c r="L1497" t="inlineStr">
        <is>
          <t>0</t>
        </is>
      </c>
      <c r="N1497" t="inlineStr">
        <is>
          <t>St. Louis, MO : Elsevier Saunders, c2005.</t>
        </is>
      </c>
      <c r="O1497" t="inlineStr">
        <is>
          <t>2005</t>
        </is>
      </c>
      <c r="P1497" t="inlineStr">
        <is>
          <t>4th ed.</t>
        </is>
      </c>
      <c r="Q1497" t="inlineStr">
        <is>
          <t>eng</t>
        </is>
      </c>
      <c r="R1497" t="inlineStr">
        <is>
          <t>mou</t>
        </is>
      </c>
      <c r="T1497" t="inlineStr">
        <is>
          <t xml:space="preserve">WY </t>
        </is>
      </c>
      <c r="U1497" t="n">
        <v>2</v>
      </c>
      <c r="V1497" t="n">
        <v>2</v>
      </c>
      <c r="W1497" t="inlineStr">
        <is>
          <t>2010-09-28</t>
        </is>
      </c>
      <c r="X1497" t="inlineStr">
        <is>
          <t>2010-09-28</t>
        </is>
      </c>
      <c r="Y1497" t="inlineStr">
        <is>
          <t>2005-03-03</t>
        </is>
      </c>
      <c r="Z1497" t="inlineStr">
        <is>
          <t>2005-03-03</t>
        </is>
      </c>
      <c r="AA1497" t="n">
        <v>253</v>
      </c>
      <c r="AB1497" t="n">
        <v>191</v>
      </c>
      <c r="AC1497" t="n">
        <v>595</v>
      </c>
      <c r="AD1497" t="n">
        <v>1</v>
      </c>
      <c r="AE1497" t="n">
        <v>2</v>
      </c>
      <c r="AF1497" t="n">
        <v>6</v>
      </c>
      <c r="AG1497" t="n">
        <v>16</v>
      </c>
      <c r="AH1497" t="n">
        <v>1</v>
      </c>
      <c r="AI1497" t="n">
        <v>6</v>
      </c>
      <c r="AJ1497" t="n">
        <v>2</v>
      </c>
      <c r="AK1497" t="n">
        <v>4</v>
      </c>
      <c r="AL1497" t="n">
        <v>5</v>
      </c>
      <c r="AM1497" t="n">
        <v>8</v>
      </c>
      <c r="AN1497" t="n">
        <v>0</v>
      </c>
      <c r="AO1497" t="n">
        <v>1</v>
      </c>
      <c r="AP1497" t="n">
        <v>0</v>
      </c>
      <c r="AQ1497" t="n">
        <v>0</v>
      </c>
      <c r="AR1497" t="inlineStr">
        <is>
          <t>No</t>
        </is>
      </c>
      <c r="AS1497" t="inlineStr">
        <is>
          <t>Yes</t>
        </is>
      </c>
      <c r="AT1497">
        <f>HYPERLINK("http://catalog.hathitrust.org/Record/004923856","HathiTrust Record")</f>
        <v/>
      </c>
      <c r="AU1497">
        <f>HYPERLINK("https://creighton-primo.hosted.exlibrisgroup.com/primo-explore/search?tab=default_tab&amp;search_scope=EVERYTHING&amp;vid=01CRU&amp;lang=en_US&amp;offset=0&amp;query=any,contains,991001732069702656","Catalog Record")</f>
        <v/>
      </c>
      <c r="AV1497">
        <f>HYPERLINK("http://www.worldcat.org/oclc/56960322","WorldCat Record")</f>
        <v/>
      </c>
      <c r="AW1497" t="inlineStr">
        <is>
          <t>364437641:eng</t>
        </is>
      </c>
      <c r="AX1497" t="inlineStr">
        <is>
          <t>56960322</t>
        </is>
      </c>
      <c r="AY1497" t="inlineStr">
        <is>
          <t>991001732069702656</t>
        </is>
      </c>
      <c r="AZ1497" t="inlineStr">
        <is>
          <t>991001732069702656</t>
        </is>
      </c>
      <c r="BA1497" t="inlineStr">
        <is>
          <t>2264954670002656</t>
        </is>
      </c>
      <c r="BB1497" t="inlineStr">
        <is>
          <t>BOOK</t>
        </is>
      </c>
      <c r="BD1497" t="inlineStr">
        <is>
          <t>9780721605203</t>
        </is>
      </c>
      <c r="BE1497" t="inlineStr">
        <is>
          <t>30001004928265</t>
        </is>
      </c>
      <c r="BF1497" t="inlineStr">
        <is>
          <t>893649402</t>
        </is>
      </c>
    </row>
    <row r="1498">
      <c r="A1498" t="inlineStr">
        <is>
          <t>No</t>
        </is>
      </c>
      <c r="B1498" t="inlineStr">
        <is>
          <t>CUHSL</t>
        </is>
      </c>
      <c r="C1498" t="inlineStr">
        <is>
          <t>SHELVES</t>
        </is>
      </c>
      <c r="D1498" t="inlineStr">
        <is>
          <t>WY 154 K34c 1985</t>
        </is>
      </c>
      <c r="E1498" t="inlineStr">
        <is>
          <t>0                      WY 0154000K  34c         1985</t>
        </is>
      </c>
      <c r="F1498" t="inlineStr">
        <is>
          <t>Critical care nursing : body-mind-spirit / Cornelia Vanderstaay Kenner, Cathie E. Guzzetta, Barbara Montgomery Dossey ; foreword by Frances Storlie.</t>
        </is>
      </c>
      <c r="H1498" t="inlineStr">
        <is>
          <t>No</t>
        </is>
      </c>
      <c r="I1498" t="inlineStr">
        <is>
          <t>1</t>
        </is>
      </c>
      <c r="J1498" t="inlineStr">
        <is>
          <t>No</t>
        </is>
      </c>
      <c r="K1498" t="inlineStr">
        <is>
          <t>No</t>
        </is>
      </c>
      <c r="L1498" t="inlineStr">
        <is>
          <t>0</t>
        </is>
      </c>
      <c r="M1498" t="inlineStr">
        <is>
          <t>Kenner, Cornelia Vanderstaay.</t>
        </is>
      </c>
      <c r="N1498" t="inlineStr">
        <is>
          <t>Boston : Little, Brown, c1985.</t>
        </is>
      </c>
      <c r="O1498" t="inlineStr">
        <is>
          <t>1985</t>
        </is>
      </c>
      <c r="P1498" t="inlineStr">
        <is>
          <t>2nd ed.</t>
        </is>
      </c>
      <c r="Q1498" t="inlineStr">
        <is>
          <t>eng</t>
        </is>
      </c>
      <c r="R1498" t="inlineStr">
        <is>
          <t>mau</t>
        </is>
      </c>
      <c r="T1498" t="inlineStr">
        <is>
          <t xml:space="preserve">WY </t>
        </is>
      </c>
      <c r="U1498" t="n">
        <v>10</v>
      </c>
      <c r="V1498" t="n">
        <v>10</v>
      </c>
      <c r="W1498" t="inlineStr">
        <is>
          <t>1994-10-26</t>
        </is>
      </c>
      <c r="X1498" t="inlineStr">
        <is>
          <t>1994-10-26</t>
        </is>
      </c>
      <c r="Y1498" t="inlineStr">
        <is>
          <t>1991-02-01</t>
        </is>
      </c>
      <c r="Z1498" t="inlineStr">
        <is>
          <t>1991-02-01</t>
        </is>
      </c>
      <c r="AA1498" t="n">
        <v>224</v>
      </c>
      <c r="AB1498" t="n">
        <v>187</v>
      </c>
      <c r="AC1498" t="n">
        <v>368</v>
      </c>
      <c r="AD1498" t="n">
        <v>0</v>
      </c>
      <c r="AE1498" t="n">
        <v>1</v>
      </c>
      <c r="AF1498" t="n">
        <v>6</v>
      </c>
      <c r="AG1498" t="n">
        <v>14</v>
      </c>
      <c r="AH1498" t="n">
        <v>3</v>
      </c>
      <c r="AI1498" t="n">
        <v>5</v>
      </c>
      <c r="AJ1498" t="n">
        <v>0</v>
      </c>
      <c r="AK1498" t="n">
        <v>2</v>
      </c>
      <c r="AL1498" t="n">
        <v>3</v>
      </c>
      <c r="AM1498" t="n">
        <v>8</v>
      </c>
      <c r="AN1498" t="n">
        <v>0</v>
      </c>
      <c r="AO1498" t="n">
        <v>1</v>
      </c>
      <c r="AP1498" t="n">
        <v>0</v>
      </c>
      <c r="AQ1498" t="n">
        <v>0</v>
      </c>
      <c r="AR1498" t="inlineStr">
        <is>
          <t>No</t>
        </is>
      </c>
      <c r="AS1498" t="inlineStr">
        <is>
          <t>No</t>
        </is>
      </c>
      <c r="AU1498">
        <f>HYPERLINK("https://creighton-primo.hosted.exlibrisgroup.com/primo-explore/search?tab=default_tab&amp;search_scope=EVERYTHING&amp;vid=01CRU&amp;lang=en_US&amp;offset=0&amp;query=any,contains,991000817029702656","Catalog Record")</f>
        <v/>
      </c>
      <c r="AV1498">
        <f>HYPERLINK("http://www.worldcat.org/oclc/11622857","WorldCat Record")</f>
        <v/>
      </c>
      <c r="AW1498" t="inlineStr">
        <is>
          <t>375728588:eng</t>
        </is>
      </c>
      <c r="AX1498" t="inlineStr">
        <is>
          <t>11622857</t>
        </is>
      </c>
      <c r="AY1498" t="inlineStr">
        <is>
          <t>991000817029702656</t>
        </is>
      </c>
      <c r="AZ1498" t="inlineStr">
        <is>
          <t>991000817029702656</t>
        </is>
      </c>
      <c r="BA1498" t="inlineStr">
        <is>
          <t>2260838460002656</t>
        </is>
      </c>
      <c r="BB1498" t="inlineStr">
        <is>
          <t>BOOK</t>
        </is>
      </c>
      <c r="BD1498" t="inlineStr">
        <is>
          <t>9780316489119</t>
        </is>
      </c>
      <c r="BE1498" t="inlineStr">
        <is>
          <t>30001002086603</t>
        </is>
      </c>
      <c r="BF1498" t="inlineStr">
        <is>
          <t>893820521</t>
        </is>
      </c>
    </row>
    <row r="1499">
      <c r="A1499" t="inlineStr">
        <is>
          <t>No</t>
        </is>
      </c>
      <c r="B1499" t="inlineStr">
        <is>
          <t>CUHSL</t>
        </is>
      </c>
      <c r="C1499" t="inlineStr">
        <is>
          <t>SHELVES</t>
        </is>
      </c>
      <c r="D1499" t="inlineStr">
        <is>
          <t>WY 154 K46h 1997</t>
        </is>
      </c>
      <c r="E1499" t="inlineStr">
        <is>
          <t>0                      WY 0154000K  46h         1997</t>
        </is>
      </c>
      <c r="F1499" t="inlineStr">
        <is>
          <t>High acuity nursing / Pamela Stinson Kidd, Kathleen Dorman Wagner.</t>
        </is>
      </c>
      <c r="H1499" t="inlineStr">
        <is>
          <t>No</t>
        </is>
      </c>
      <c r="I1499" t="inlineStr">
        <is>
          <t>1</t>
        </is>
      </c>
      <c r="J1499" t="inlineStr">
        <is>
          <t>No</t>
        </is>
      </c>
      <c r="K1499" t="inlineStr">
        <is>
          <t>Yes</t>
        </is>
      </c>
      <c r="L1499" t="inlineStr">
        <is>
          <t>0</t>
        </is>
      </c>
      <c r="M1499" t="inlineStr">
        <is>
          <t>Kidd, Pamela Stinson.</t>
        </is>
      </c>
      <c r="N1499" t="inlineStr">
        <is>
          <t>Stamford, Conn. : Appleton &amp; Lange, c1997.</t>
        </is>
      </c>
      <c r="O1499" t="inlineStr">
        <is>
          <t>1997</t>
        </is>
      </c>
      <c r="P1499" t="inlineStr">
        <is>
          <t>2nd ed.</t>
        </is>
      </c>
      <c r="Q1499" t="inlineStr">
        <is>
          <t>eng</t>
        </is>
      </c>
      <c r="R1499" t="inlineStr">
        <is>
          <t>ctu</t>
        </is>
      </c>
      <c r="T1499" t="inlineStr">
        <is>
          <t xml:space="preserve">WY </t>
        </is>
      </c>
      <c r="U1499" t="n">
        <v>6</v>
      </c>
      <c r="V1499" t="n">
        <v>6</v>
      </c>
      <c r="W1499" t="inlineStr">
        <is>
          <t>2005-06-19</t>
        </is>
      </c>
      <c r="X1499" t="inlineStr">
        <is>
          <t>2005-06-19</t>
        </is>
      </c>
      <c r="Y1499" t="inlineStr">
        <is>
          <t>1997-06-09</t>
        </is>
      </c>
      <c r="Z1499" t="inlineStr">
        <is>
          <t>1997-06-09</t>
        </is>
      </c>
      <c r="AA1499" t="n">
        <v>149</v>
      </c>
      <c r="AB1499" t="n">
        <v>110</v>
      </c>
      <c r="AC1499" t="n">
        <v>516</v>
      </c>
      <c r="AD1499" t="n">
        <v>1</v>
      </c>
      <c r="AE1499" t="n">
        <v>4</v>
      </c>
      <c r="AF1499" t="n">
        <v>4</v>
      </c>
      <c r="AG1499" t="n">
        <v>20</v>
      </c>
      <c r="AH1499" t="n">
        <v>2</v>
      </c>
      <c r="AI1499" t="n">
        <v>8</v>
      </c>
      <c r="AJ1499" t="n">
        <v>1</v>
      </c>
      <c r="AK1499" t="n">
        <v>3</v>
      </c>
      <c r="AL1499" t="n">
        <v>1</v>
      </c>
      <c r="AM1499" t="n">
        <v>10</v>
      </c>
      <c r="AN1499" t="n">
        <v>0</v>
      </c>
      <c r="AO1499" t="n">
        <v>3</v>
      </c>
      <c r="AP1499" t="n">
        <v>0</v>
      </c>
      <c r="AQ1499" t="n">
        <v>0</v>
      </c>
      <c r="AR1499" t="inlineStr">
        <is>
          <t>No</t>
        </is>
      </c>
      <c r="AS1499" t="inlineStr">
        <is>
          <t>Yes</t>
        </is>
      </c>
      <c r="AT1499">
        <f>HYPERLINK("http://catalog.hathitrust.org/Record/003112194","HathiTrust Record")</f>
        <v/>
      </c>
      <c r="AU1499">
        <f>HYPERLINK("https://creighton-primo.hosted.exlibrisgroup.com/primo-explore/search?tab=default_tab&amp;search_scope=EVERYTHING&amp;vid=01CRU&amp;lang=en_US&amp;offset=0&amp;query=any,contains,991001230669702656","Catalog Record")</f>
        <v/>
      </c>
      <c r="AV1499">
        <f>HYPERLINK("http://www.worldcat.org/oclc/34514132","WorldCat Record")</f>
        <v/>
      </c>
      <c r="AW1499" t="inlineStr">
        <is>
          <t>984654:eng</t>
        </is>
      </c>
      <c r="AX1499" t="inlineStr">
        <is>
          <t>34514132</t>
        </is>
      </c>
      <c r="AY1499" t="inlineStr">
        <is>
          <t>991001230669702656</t>
        </is>
      </c>
      <c r="AZ1499" t="inlineStr">
        <is>
          <t>991001230669702656</t>
        </is>
      </c>
      <c r="BA1499" t="inlineStr">
        <is>
          <t>2255931060002656</t>
        </is>
      </c>
      <c r="BB1499" t="inlineStr">
        <is>
          <t>BOOK</t>
        </is>
      </c>
      <c r="BD1499" t="inlineStr">
        <is>
          <t>9780838537435</t>
        </is>
      </c>
      <c r="BE1499" t="inlineStr">
        <is>
          <t>30001003672633</t>
        </is>
      </c>
      <c r="BF1499" t="inlineStr">
        <is>
          <t>893121288</t>
        </is>
      </c>
    </row>
    <row r="1500">
      <c r="A1500" t="inlineStr">
        <is>
          <t>No</t>
        </is>
      </c>
      <c r="B1500" t="inlineStr">
        <is>
          <t>CUHSL</t>
        </is>
      </c>
      <c r="C1500" t="inlineStr">
        <is>
          <t>SHELVES</t>
        </is>
      </c>
      <c r="D1500" t="inlineStr">
        <is>
          <t>WY154 K46h 2006</t>
        </is>
      </c>
      <c r="E1500" t="inlineStr">
        <is>
          <t>0                      WY 0154000K  46h         2006</t>
        </is>
      </c>
      <c r="F1500" t="inlineStr">
        <is>
          <t>High acuity nursing High-acuity nursing / Kathleen Dorman Wagner, Karen L. Johnson, Pamela Stinson Kidd. High acuity nursing High-acuity nursing / Kathleen Dorman Wagner, Karen L. Johnson, Pamela Stinson Kidd.</t>
        </is>
      </c>
      <c r="H1500" t="inlineStr">
        <is>
          <t>No</t>
        </is>
      </c>
      <c r="I1500" t="inlineStr">
        <is>
          <t>1</t>
        </is>
      </c>
      <c r="J1500" t="inlineStr">
        <is>
          <t>No</t>
        </is>
      </c>
      <c r="K1500" t="inlineStr">
        <is>
          <t>Yes</t>
        </is>
      </c>
      <c r="L1500" t="inlineStr">
        <is>
          <t>0</t>
        </is>
      </c>
      <c r="M1500" t="inlineStr">
        <is>
          <t>Wagner, Kathleen Dorman.</t>
        </is>
      </c>
      <c r="N1500" t="inlineStr">
        <is>
          <t>Upper Saddle River, N.J. : Pearson Prentice-Hall, c2006.</t>
        </is>
      </c>
      <c r="O1500" t="inlineStr">
        <is>
          <t>2006</t>
        </is>
      </c>
      <c r="P1500" t="inlineStr">
        <is>
          <t>4th ed.</t>
        </is>
      </c>
      <c r="Q1500" t="inlineStr">
        <is>
          <t>eng</t>
        </is>
      </c>
      <c r="R1500" t="inlineStr">
        <is>
          <t>nju</t>
        </is>
      </c>
      <c r="T1500" t="inlineStr">
        <is>
          <t xml:space="preserve">WY </t>
        </is>
      </c>
      <c r="U1500" t="n">
        <v>10</v>
      </c>
      <c r="V1500" t="n">
        <v>10</v>
      </c>
      <c r="W1500" t="inlineStr">
        <is>
          <t>2010-08-31</t>
        </is>
      </c>
      <c r="X1500" t="inlineStr">
        <is>
          <t>2010-08-31</t>
        </is>
      </c>
      <c r="Y1500" t="inlineStr">
        <is>
          <t>2005-08-31</t>
        </is>
      </c>
      <c r="Z1500" t="inlineStr">
        <is>
          <t>2005-08-31</t>
        </is>
      </c>
      <c r="AA1500" t="n">
        <v>202</v>
      </c>
      <c r="AB1500" t="n">
        <v>139</v>
      </c>
      <c r="AC1500" t="n">
        <v>516</v>
      </c>
      <c r="AD1500" t="n">
        <v>2</v>
      </c>
      <c r="AE1500" t="n">
        <v>4</v>
      </c>
      <c r="AF1500" t="n">
        <v>8</v>
      </c>
      <c r="AG1500" t="n">
        <v>20</v>
      </c>
      <c r="AH1500" t="n">
        <v>3</v>
      </c>
      <c r="AI1500" t="n">
        <v>8</v>
      </c>
      <c r="AJ1500" t="n">
        <v>1</v>
      </c>
      <c r="AK1500" t="n">
        <v>3</v>
      </c>
      <c r="AL1500" t="n">
        <v>4</v>
      </c>
      <c r="AM1500" t="n">
        <v>10</v>
      </c>
      <c r="AN1500" t="n">
        <v>1</v>
      </c>
      <c r="AO1500" t="n">
        <v>3</v>
      </c>
      <c r="AP1500" t="n">
        <v>0</v>
      </c>
      <c r="AQ1500" t="n">
        <v>0</v>
      </c>
      <c r="AR1500" t="inlineStr">
        <is>
          <t>No</t>
        </is>
      </c>
      <c r="AS1500" t="inlineStr">
        <is>
          <t>Yes</t>
        </is>
      </c>
      <c r="AT1500">
        <f>HYPERLINK("http://catalog.hathitrust.org/Record/005072396","HathiTrust Record")</f>
        <v/>
      </c>
      <c r="AU1500">
        <f>HYPERLINK("https://creighton-primo.hosted.exlibrisgroup.com/primo-explore/search?tab=default_tab&amp;search_scope=EVERYTHING&amp;vid=01CRU&amp;lang=en_US&amp;offset=0&amp;query=any,contains,991001735169702656","Catalog Record")</f>
        <v/>
      </c>
      <c r="AV1500">
        <f>HYPERLINK("http://www.worldcat.org/oclc/57422191","WorldCat Record")</f>
        <v/>
      </c>
      <c r="AW1500" t="inlineStr">
        <is>
          <t>984654:eng</t>
        </is>
      </c>
      <c r="AX1500" t="inlineStr">
        <is>
          <t>57422191</t>
        </is>
      </c>
      <c r="AY1500" t="inlineStr">
        <is>
          <t>991001735169702656</t>
        </is>
      </c>
      <c r="AZ1500" t="inlineStr">
        <is>
          <t>991001735169702656</t>
        </is>
      </c>
      <c r="BA1500" t="inlineStr">
        <is>
          <t>2254737520002656</t>
        </is>
      </c>
      <c r="BB1500" t="inlineStr">
        <is>
          <t>BOOK</t>
        </is>
      </c>
      <c r="BD1500" t="inlineStr">
        <is>
          <t>9780131245082</t>
        </is>
      </c>
      <c r="BE1500" t="inlineStr">
        <is>
          <t>30001004910404</t>
        </is>
      </c>
      <c r="BF1500" t="inlineStr">
        <is>
          <t>893149399</t>
        </is>
      </c>
    </row>
    <row r="1501">
      <c r="A1501" t="inlineStr">
        <is>
          <t>No</t>
        </is>
      </c>
      <c r="B1501" t="inlineStr">
        <is>
          <t>CUHSL</t>
        </is>
      </c>
      <c r="C1501" t="inlineStr">
        <is>
          <t>SHELVES</t>
        </is>
      </c>
      <c r="D1501" t="inlineStr">
        <is>
          <t>WY 154 L943p 1984</t>
        </is>
      </c>
      <c r="E1501" t="inlineStr">
        <is>
          <t>0                      WY 0154000L  943p        1984</t>
        </is>
      </c>
      <c r="F1501" t="inlineStr">
        <is>
          <t>Postanesthesia nursing : a comprehensive guide / Mary Ellen Luczun ; [contributors, Alan Van Poznak, Gladys Tyson Jones].</t>
        </is>
      </c>
      <c r="H1501" t="inlineStr">
        <is>
          <t>No</t>
        </is>
      </c>
      <c r="I1501" t="inlineStr">
        <is>
          <t>1</t>
        </is>
      </c>
      <c r="J1501" t="inlineStr">
        <is>
          <t>No</t>
        </is>
      </c>
      <c r="K1501" t="inlineStr">
        <is>
          <t>No</t>
        </is>
      </c>
      <c r="L1501" t="inlineStr">
        <is>
          <t>0</t>
        </is>
      </c>
      <c r="M1501" t="inlineStr">
        <is>
          <t>Luczun, Mary Ellen.</t>
        </is>
      </c>
      <c r="N1501" t="inlineStr">
        <is>
          <t>Rockville, Md. : Aspen Systems Corp., c1984.</t>
        </is>
      </c>
      <c r="O1501" t="inlineStr">
        <is>
          <t>1984</t>
        </is>
      </c>
      <c r="Q1501" t="inlineStr">
        <is>
          <t>eng</t>
        </is>
      </c>
      <c r="R1501" t="inlineStr">
        <is>
          <t>xxu</t>
        </is>
      </c>
      <c r="T1501" t="inlineStr">
        <is>
          <t xml:space="preserve">WY </t>
        </is>
      </c>
      <c r="U1501" t="n">
        <v>7</v>
      </c>
      <c r="V1501" t="n">
        <v>7</v>
      </c>
      <c r="W1501" t="inlineStr">
        <is>
          <t>1990-11-06</t>
        </is>
      </c>
      <c r="X1501" t="inlineStr">
        <is>
          <t>1990-11-06</t>
        </is>
      </c>
      <c r="Y1501" t="inlineStr">
        <is>
          <t>1987-12-22</t>
        </is>
      </c>
      <c r="Z1501" t="inlineStr">
        <is>
          <t>1987-12-22</t>
        </is>
      </c>
      <c r="AA1501" t="n">
        <v>199</v>
      </c>
      <c r="AB1501" t="n">
        <v>183</v>
      </c>
      <c r="AC1501" t="n">
        <v>185</v>
      </c>
      <c r="AD1501" t="n">
        <v>1</v>
      </c>
      <c r="AE1501" t="n">
        <v>1</v>
      </c>
      <c r="AF1501" t="n">
        <v>3</v>
      </c>
      <c r="AG1501" t="n">
        <v>3</v>
      </c>
      <c r="AH1501" t="n">
        <v>0</v>
      </c>
      <c r="AI1501" t="n">
        <v>0</v>
      </c>
      <c r="AJ1501" t="n">
        <v>2</v>
      </c>
      <c r="AK1501" t="n">
        <v>2</v>
      </c>
      <c r="AL1501" t="n">
        <v>2</v>
      </c>
      <c r="AM1501" t="n">
        <v>2</v>
      </c>
      <c r="AN1501" t="n">
        <v>0</v>
      </c>
      <c r="AO1501" t="n">
        <v>0</v>
      </c>
      <c r="AP1501" t="n">
        <v>0</v>
      </c>
      <c r="AQ1501" t="n">
        <v>0</v>
      </c>
      <c r="AR1501" t="inlineStr">
        <is>
          <t>No</t>
        </is>
      </c>
      <c r="AS1501" t="inlineStr">
        <is>
          <t>Yes</t>
        </is>
      </c>
      <c r="AT1501">
        <f>HYPERLINK("http://catalog.hathitrust.org/Record/000287802","HathiTrust Record")</f>
        <v/>
      </c>
      <c r="AU1501">
        <f>HYPERLINK("https://creighton-primo.hosted.exlibrisgroup.com/primo-explore/search?tab=default_tab&amp;search_scope=EVERYTHING&amp;vid=01CRU&amp;lang=en_US&amp;offset=0&amp;query=any,contains,991000866639702656","Catalog Record")</f>
        <v/>
      </c>
      <c r="AV1501">
        <f>HYPERLINK("http://www.worldcat.org/oclc/10484070","WorldCat Record")</f>
        <v/>
      </c>
      <c r="AW1501" t="inlineStr">
        <is>
          <t>430940307:eng</t>
        </is>
      </c>
      <c r="AX1501" t="inlineStr">
        <is>
          <t>10484070</t>
        </is>
      </c>
      <c r="AY1501" t="inlineStr">
        <is>
          <t>991000866639702656</t>
        </is>
      </c>
      <c r="AZ1501" t="inlineStr">
        <is>
          <t>991000866639702656</t>
        </is>
      </c>
      <c r="BA1501" t="inlineStr">
        <is>
          <t>2264361560002656</t>
        </is>
      </c>
      <c r="BB1501" t="inlineStr">
        <is>
          <t>BOOK</t>
        </is>
      </c>
      <c r="BD1501" t="inlineStr">
        <is>
          <t>9780894438561</t>
        </is>
      </c>
      <c r="BE1501" t="inlineStr">
        <is>
          <t>30001000144743</t>
        </is>
      </c>
      <c r="BF1501" t="inlineStr">
        <is>
          <t>893278378</t>
        </is>
      </c>
    </row>
    <row r="1502">
      <c r="A1502" t="inlineStr">
        <is>
          <t>No</t>
        </is>
      </c>
      <c r="B1502" t="inlineStr">
        <is>
          <t>CUHSL</t>
        </is>
      </c>
      <c r="C1502" t="inlineStr">
        <is>
          <t>SHELVES</t>
        </is>
      </c>
      <c r="D1502" t="inlineStr">
        <is>
          <t>WY 154 M294 1991</t>
        </is>
      </c>
      <c r="E1502" t="inlineStr">
        <is>
          <t>0                      WY 0154000M  294         1991</t>
        </is>
      </c>
      <c r="F1502" t="inlineStr">
        <is>
          <t>Manual of critical care : applying nursing diagnoses to adult critical illness / edited by Pamela L. Swearingen, Janet Hicks Keen.</t>
        </is>
      </c>
      <c r="H1502" t="inlineStr">
        <is>
          <t>No</t>
        </is>
      </c>
      <c r="I1502" t="inlineStr">
        <is>
          <t>1</t>
        </is>
      </c>
      <c r="J1502" t="inlineStr">
        <is>
          <t>No</t>
        </is>
      </c>
      <c r="K1502" t="inlineStr">
        <is>
          <t>No</t>
        </is>
      </c>
      <c r="L1502" t="inlineStr">
        <is>
          <t>0</t>
        </is>
      </c>
      <c r="N1502" t="inlineStr">
        <is>
          <t>St. Louis : Mosby Year Book, c1991.</t>
        </is>
      </c>
      <c r="O1502" t="inlineStr">
        <is>
          <t>1991</t>
        </is>
      </c>
      <c r="P1502" t="inlineStr">
        <is>
          <t>2nd ed.</t>
        </is>
      </c>
      <c r="Q1502" t="inlineStr">
        <is>
          <t>eng</t>
        </is>
      </c>
      <c r="R1502" t="inlineStr">
        <is>
          <t>xxu</t>
        </is>
      </c>
      <c r="T1502" t="inlineStr">
        <is>
          <t xml:space="preserve">WY </t>
        </is>
      </c>
      <c r="U1502" t="n">
        <v>16</v>
      </c>
      <c r="V1502" t="n">
        <v>16</v>
      </c>
      <c r="W1502" t="inlineStr">
        <is>
          <t>2001-09-04</t>
        </is>
      </c>
      <c r="X1502" t="inlineStr">
        <is>
          <t>2001-09-04</t>
        </is>
      </c>
      <c r="Y1502" t="inlineStr">
        <is>
          <t>1992-08-06</t>
        </is>
      </c>
      <c r="Z1502" t="inlineStr">
        <is>
          <t>1992-08-06</t>
        </is>
      </c>
      <c r="AA1502" t="n">
        <v>246</v>
      </c>
      <c r="AB1502" t="n">
        <v>208</v>
      </c>
      <c r="AC1502" t="n">
        <v>268</v>
      </c>
      <c r="AD1502" t="n">
        <v>1</v>
      </c>
      <c r="AE1502" t="n">
        <v>2</v>
      </c>
      <c r="AF1502" t="n">
        <v>5</v>
      </c>
      <c r="AG1502" t="n">
        <v>8</v>
      </c>
      <c r="AH1502" t="n">
        <v>3</v>
      </c>
      <c r="AI1502" t="n">
        <v>3</v>
      </c>
      <c r="AJ1502" t="n">
        <v>1</v>
      </c>
      <c r="AK1502" t="n">
        <v>2</v>
      </c>
      <c r="AL1502" t="n">
        <v>3</v>
      </c>
      <c r="AM1502" t="n">
        <v>4</v>
      </c>
      <c r="AN1502" t="n">
        <v>0</v>
      </c>
      <c r="AO1502" t="n">
        <v>1</v>
      </c>
      <c r="AP1502" t="n">
        <v>0</v>
      </c>
      <c r="AQ1502" t="n">
        <v>0</v>
      </c>
      <c r="AR1502" t="inlineStr">
        <is>
          <t>No</t>
        </is>
      </c>
      <c r="AS1502" t="inlineStr">
        <is>
          <t>Yes</t>
        </is>
      </c>
      <c r="AT1502">
        <f>HYPERLINK("http://catalog.hathitrust.org/Record/002455336","HathiTrust Record")</f>
        <v/>
      </c>
      <c r="AU1502">
        <f>HYPERLINK("https://creighton-primo.hosted.exlibrisgroup.com/primo-explore/search?tab=default_tab&amp;search_scope=EVERYTHING&amp;vid=01CRU&amp;lang=en_US&amp;offset=0&amp;query=any,contains,991001305599702656","Catalog Record")</f>
        <v/>
      </c>
      <c r="AV1502">
        <f>HYPERLINK("http://www.worldcat.org/oclc/23016651","WorldCat Record")</f>
        <v/>
      </c>
      <c r="AW1502" t="inlineStr">
        <is>
          <t>836821189:eng</t>
        </is>
      </c>
      <c r="AX1502" t="inlineStr">
        <is>
          <t>23016651</t>
        </is>
      </c>
      <c r="AY1502" t="inlineStr">
        <is>
          <t>991001305599702656</t>
        </is>
      </c>
      <c r="AZ1502" t="inlineStr">
        <is>
          <t>991001305599702656</t>
        </is>
      </c>
      <c r="BA1502" t="inlineStr">
        <is>
          <t>2258429340002656</t>
        </is>
      </c>
      <c r="BB1502" t="inlineStr">
        <is>
          <t>BOOK</t>
        </is>
      </c>
      <c r="BD1502" t="inlineStr">
        <is>
          <t>9780801650840</t>
        </is>
      </c>
      <c r="BE1502" t="inlineStr">
        <is>
          <t>30001002413682</t>
        </is>
      </c>
      <c r="BF1502" t="inlineStr">
        <is>
          <t>893649083</t>
        </is>
      </c>
    </row>
    <row r="1503">
      <c r="A1503" t="inlineStr">
        <is>
          <t>No</t>
        </is>
      </c>
      <c r="B1503" t="inlineStr">
        <is>
          <t>CUHSL</t>
        </is>
      </c>
      <c r="C1503" t="inlineStr">
        <is>
          <t>SHELVES</t>
        </is>
      </c>
      <c r="D1503" t="inlineStr">
        <is>
          <t>WY 154 M2942 1995</t>
        </is>
      </c>
      <c r="E1503" t="inlineStr">
        <is>
          <t>0                      WY 0154000M  2942        1995</t>
        </is>
      </c>
      <c r="F1503" t="inlineStr">
        <is>
          <t>Manual of critical care nursing : nursing interventions and collaborative management / edited by Pamela L. Swearingen, special project editor, Janet Hicks Keen.</t>
        </is>
      </c>
      <c r="H1503" t="inlineStr">
        <is>
          <t>No</t>
        </is>
      </c>
      <c r="I1503" t="inlineStr">
        <is>
          <t>1</t>
        </is>
      </c>
      <c r="J1503" t="inlineStr">
        <is>
          <t>No</t>
        </is>
      </c>
      <c r="K1503" t="inlineStr">
        <is>
          <t>Yes</t>
        </is>
      </c>
      <c r="L1503" t="inlineStr">
        <is>
          <t>0</t>
        </is>
      </c>
      <c r="N1503" t="inlineStr">
        <is>
          <t>St. Louis : Mosby, c1995.</t>
        </is>
      </c>
      <c r="O1503" t="inlineStr">
        <is>
          <t>1995</t>
        </is>
      </c>
      <c r="P1503" t="inlineStr">
        <is>
          <t>3rd ed.</t>
        </is>
      </c>
      <c r="Q1503" t="inlineStr">
        <is>
          <t>eng</t>
        </is>
      </c>
      <c r="R1503" t="inlineStr">
        <is>
          <t>mou</t>
        </is>
      </c>
      <c r="T1503" t="inlineStr">
        <is>
          <t xml:space="preserve">WY </t>
        </is>
      </c>
      <c r="U1503" t="n">
        <v>16</v>
      </c>
      <c r="V1503" t="n">
        <v>16</v>
      </c>
      <c r="W1503" t="inlineStr">
        <is>
          <t>2001-09-04</t>
        </is>
      </c>
      <c r="X1503" t="inlineStr">
        <is>
          <t>2001-09-04</t>
        </is>
      </c>
      <c r="Y1503" t="inlineStr">
        <is>
          <t>1997-01-17</t>
        </is>
      </c>
      <c r="Z1503" t="inlineStr">
        <is>
          <t>1997-01-17</t>
        </is>
      </c>
      <c r="AA1503" t="n">
        <v>226</v>
      </c>
      <c r="AB1503" t="n">
        <v>177</v>
      </c>
      <c r="AC1503" t="n">
        <v>699</v>
      </c>
      <c r="AD1503" t="n">
        <v>1</v>
      </c>
      <c r="AE1503" t="n">
        <v>4</v>
      </c>
      <c r="AF1503" t="n">
        <v>7</v>
      </c>
      <c r="AG1503" t="n">
        <v>28</v>
      </c>
      <c r="AH1503" t="n">
        <v>3</v>
      </c>
      <c r="AI1503" t="n">
        <v>10</v>
      </c>
      <c r="AJ1503" t="n">
        <v>2</v>
      </c>
      <c r="AK1503" t="n">
        <v>7</v>
      </c>
      <c r="AL1503" t="n">
        <v>3</v>
      </c>
      <c r="AM1503" t="n">
        <v>12</v>
      </c>
      <c r="AN1503" t="n">
        <v>0</v>
      </c>
      <c r="AO1503" t="n">
        <v>3</v>
      </c>
      <c r="AP1503" t="n">
        <v>0</v>
      </c>
      <c r="AQ1503" t="n">
        <v>1</v>
      </c>
      <c r="AR1503" t="inlineStr">
        <is>
          <t>No</t>
        </is>
      </c>
      <c r="AS1503" t="inlineStr">
        <is>
          <t>No</t>
        </is>
      </c>
      <c r="AU1503">
        <f>HYPERLINK("https://creighton-primo.hosted.exlibrisgroup.com/primo-explore/search?tab=default_tab&amp;search_scope=EVERYTHING&amp;vid=01CRU&amp;lang=en_US&amp;offset=0&amp;query=any,contains,991001552059702656","Catalog Record")</f>
        <v/>
      </c>
      <c r="AV1503">
        <f>HYPERLINK("http://www.worldcat.org/oclc/32694644","WorldCat Record")</f>
        <v/>
      </c>
      <c r="AW1503" t="inlineStr">
        <is>
          <t>836945760:eng</t>
        </is>
      </c>
      <c r="AX1503" t="inlineStr">
        <is>
          <t>32694644</t>
        </is>
      </c>
      <c r="AY1503" t="inlineStr">
        <is>
          <t>991001552059702656</t>
        </is>
      </c>
      <c r="AZ1503" t="inlineStr">
        <is>
          <t>991001552059702656</t>
        </is>
      </c>
      <c r="BA1503" t="inlineStr">
        <is>
          <t>2267890450002656</t>
        </is>
      </c>
      <c r="BB1503" t="inlineStr">
        <is>
          <t>BOOK</t>
        </is>
      </c>
      <c r="BD1503" t="inlineStr">
        <is>
          <t>9780815175001</t>
        </is>
      </c>
      <c r="BE1503" t="inlineStr">
        <is>
          <t>30001003474089</t>
        </is>
      </c>
      <c r="BF1503" t="inlineStr">
        <is>
          <t>893552625</t>
        </is>
      </c>
    </row>
    <row r="1504">
      <c r="A1504" t="inlineStr">
        <is>
          <t>No</t>
        </is>
      </c>
      <c r="B1504" t="inlineStr">
        <is>
          <t>CUHSL</t>
        </is>
      </c>
      <c r="C1504" t="inlineStr">
        <is>
          <t>SHELVES</t>
        </is>
      </c>
      <c r="D1504" t="inlineStr">
        <is>
          <t>WY 154 M825c 1987</t>
        </is>
      </c>
      <c r="E1504" t="inlineStr">
        <is>
          <t>0                      WY 0154000M  825c        1987</t>
        </is>
      </c>
      <c r="F1504" t="inlineStr">
        <is>
          <t>Critical care plans : guidelines for patient care / Mary Frances Moorhouse, Alice C. Geissler, Marilynn E. Doenges.</t>
        </is>
      </c>
      <c r="H1504" t="inlineStr">
        <is>
          <t>No</t>
        </is>
      </c>
      <c r="I1504" t="inlineStr">
        <is>
          <t>1</t>
        </is>
      </c>
      <c r="J1504" t="inlineStr">
        <is>
          <t>No</t>
        </is>
      </c>
      <c r="K1504" t="inlineStr">
        <is>
          <t>No</t>
        </is>
      </c>
      <c r="L1504" t="inlineStr">
        <is>
          <t>0</t>
        </is>
      </c>
      <c r="M1504" t="inlineStr">
        <is>
          <t>Moorhouse, Mary Frances, 1947-</t>
        </is>
      </c>
      <c r="N1504" t="inlineStr">
        <is>
          <t>Philadelphia, PA : Davis, c1987.</t>
        </is>
      </c>
      <c r="O1504" t="inlineStr">
        <is>
          <t>1987</t>
        </is>
      </c>
      <c r="Q1504" t="inlineStr">
        <is>
          <t>eng</t>
        </is>
      </c>
      <c r="R1504" t="inlineStr">
        <is>
          <t>xxu</t>
        </is>
      </c>
      <c r="T1504" t="inlineStr">
        <is>
          <t xml:space="preserve">WY </t>
        </is>
      </c>
      <c r="U1504" t="n">
        <v>68</v>
      </c>
      <c r="V1504" t="n">
        <v>68</v>
      </c>
      <c r="W1504" t="inlineStr">
        <is>
          <t>1993-02-24</t>
        </is>
      </c>
      <c r="X1504" t="inlineStr">
        <is>
          <t>1993-02-24</t>
        </is>
      </c>
      <c r="Y1504" t="inlineStr">
        <is>
          <t>1987-09-09</t>
        </is>
      </c>
      <c r="Z1504" t="inlineStr">
        <is>
          <t>1987-09-09</t>
        </is>
      </c>
      <c r="AA1504" t="n">
        <v>189</v>
      </c>
      <c r="AB1504" t="n">
        <v>159</v>
      </c>
      <c r="AC1504" t="n">
        <v>161</v>
      </c>
      <c r="AD1504" t="n">
        <v>3</v>
      </c>
      <c r="AE1504" t="n">
        <v>3</v>
      </c>
      <c r="AF1504" t="n">
        <v>5</v>
      </c>
      <c r="AG1504" t="n">
        <v>5</v>
      </c>
      <c r="AH1504" t="n">
        <v>2</v>
      </c>
      <c r="AI1504" t="n">
        <v>2</v>
      </c>
      <c r="AJ1504" t="n">
        <v>0</v>
      </c>
      <c r="AK1504" t="n">
        <v>0</v>
      </c>
      <c r="AL1504" t="n">
        <v>3</v>
      </c>
      <c r="AM1504" t="n">
        <v>3</v>
      </c>
      <c r="AN1504" t="n">
        <v>1</v>
      </c>
      <c r="AO1504" t="n">
        <v>1</v>
      </c>
      <c r="AP1504" t="n">
        <v>0</v>
      </c>
      <c r="AQ1504" t="n">
        <v>0</v>
      </c>
      <c r="AR1504" t="inlineStr">
        <is>
          <t>No</t>
        </is>
      </c>
      <c r="AS1504" t="inlineStr">
        <is>
          <t>Yes</t>
        </is>
      </c>
      <c r="AT1504">
        <f>HYPERLINK("http://catalog.hathitrust.org/Record/000838324","HathiTrust Record")</f>
        <v/>
      </c>
      <c r="AU1504">
        <f>HYPERLINK("https://creighton-primo.hosted.exlibrisgroup.com/primo-explore/search?tab=default_tab&amp;search_scope=EVERYTHING&amp;vid=01CRU&amp;lang=en_US&amp;offset=0&amp;query=any,contains,991001270069702656","Catalog Record")</f>
        <v/>
      </c>
      <c r="AV1504">
        <f>HYPERLINK("http://www.worldcat.org/oclc/15366066","WorldCat Record")</f>
        <v/>
      </c>
      <c r="AW1504" t="inlineStr">
        <is>
          <t>232430200:eng</t>
        </is>
      </c>
      <c r="AX1504" t="inlineStr">
        <is>
          <t>15366066</t>
        </is>
      </c>
      <c r="AY1504" t="inlineStr">
        <is>
          <t>991001270069702656</t>
        </is>
      </c>
      <c r="AZ1504" t="inlineStr">
        <is>
          <t>991001270069702656</t>
        </is>
      </c>
      <c r="BA1504" t="inlineStr">
        <is>
          <t>2261221970002656</t>
        </is>
      </c>
      <c r="BB1504" t="inlineStr">
        <is>
          <t>BOOK</t>
        </is>
      </c>
      <c r="BD1504" t="inlineStr">
        <is>
          <t>9780803663114</t>
        </is>
      </c>
      <c r="BE1504" t="inlineStr">
        <is>
          <t>30001000354649</t>
        </is>
      </c>
      <c r="BF1504" t="inlineStr">
        <is>
          <t>893736385</t>
        </is>
      </c>
    </row>
    <row r="1505">
      <c r="A1505" t="inlineStr">
        <is>
          <t>No</t>
        </is>
      </c>
      <c r="B1505" t="inlineStr">
        <is>
          <t>CUHSL</t>
        </is>
      </c>
      <c r="C1505" t="inlineStr">
        <is>
          <t>SHELVES</t>
        </is>
      </c>
      <c r="D1505" t="inlineStr">
        <is>
          <t>WY 154 N342 1963</t>
        </is>
      </c>
      <c r="E1505" t="inlineStr">
        <is>
          <t>0                      WY 0154000N  342         1963</t>
        </is>
      </c>
      <c r="F1505" t="inlineStr">
        <is>
          <t>Disaster nursing preparation : report of a pilot project conducted in four schools of nursing and one hospital nursing service.</t>
        </is>
      </c>
      <c r="H1505" t="inlineStr">
        <is>
          <t>No</t>
        </is>
      </c>
      <c r="I1505" t="inlineStr">
        <is>
          <t>1</t>
        </is>
      </c>
      <c r="J1505" t="inlineStr">
        <is>
          <t>No</t>
        </is>
      </c>
      <c r="K1505" t="inlineStr">
        <is>
          <t>No</t>
        </is>
      </c>
      <c r="L1505" t="inlineStr">
        <is>
          <t>0</t>
        </is>
      </c>
      <c r="M1505" t="inlineStr">
        <is>
          <t>Neal, Mary V.</t>
        </is>
      </c>
      <c r="N1505" t="inlineStr">
        <is>
          <t>New York : National League for Nursing, 1963.</t>
        </is>
      </c>
      <c r="O1505" t="inlineStr">
        <is>
          <t>1963</t>
        </is>
      </c>
      <c r="Q1505" t="inlineStr">
        <is>
          <t>eng</t>
        </is>
      </c>
      <c r="R1505" t="inlineStr">
        <is>
          <t>nyu</t>
        </is>
      </c>
      <c r="S1505" t="inlineStr">
        <is>
          <t>NLN pub. no. 14-1045</t>
        </is>
      </c>
      <c r="T1505" t="inlineStr">
        <is>
          <t xml:space="preserve">WY </t>
        </is>
      </c>
      <c r="U1505" t="n">
        <v>4</v>
      </c>
      <c r="V1505" t="n">
        <v>4</v>
      </c>
      <c r="W1505" t="inlineStr">
        <is>
          <t>1990-04-30</t>
        </is>
      </c>
      <c r="X1505" t="inlineStr">
        <is>
          <t>1990-04-30</t>
        </is>
      </c>
      <c r="Y1505" t="inlineStr">
        <is>
          <t>1987-10-14</t>
        </is>
      </c>
      <c r="Z1505" t="inlineStr">
        <is>
          <t>1987-10-14</t>
        </is>
      </c>
      <c r="AA1505" t="n">
        <v>65</v>
      </c>
      <c r="AB1505" t="n">
        <v>61</v>
      </c>
      <c r="AC1505" t="n">
        <v>68</v>
      </c>
      <c r="AD1505" t="n">
        <v>1</v>
      </c>
      <c r="AE1505" t="n">
        <v>1</v>
      </c>
      <c r="AF1505" t="n">
        <v>3</v>
      </c>
      <c r="AG1505" t="n">
        <v>3</v>
      </c>
      <c r="AH1505" t="n">
        <v>0</v>
      </c>
      <c r="AI1505" t="n">
        <v>0</v>
      </c>
      <c r="AJ1505" t="n">
        <v>0</v>
      </c>
      <c r="AK1505" t="n">
        <v>0</v>
      </c>
      <c r="AL1505" t="n">
        <v>3</v>
      </c>
      <c r="AM1505" t="n">
        <v>3</v>
      </c>
      <c r="AN1505" t="n">
        <v>0</v>
      </c>
      <c r="AO1505" t="n">
        <v>0</v>
      </c>
      <c r="AP1505" t="n">
        <v>0</v>
      </c>
      <c r="AQ1505" t="n">
        <v>0</v>
      </c>
      <c r="AR1505" t="inlineStr">
        <is>
          <t>Yes</t>
        </is>
      </c>
      <c r="AS1505" t="inlineStr">
        <is>
          <t>No</t>
        </is>
      </c>
      <c r="AT1505">
        <f>HYPERLINK("http://catalog.hathitrust.org/Record/001579457","HathiTrust Record")</f>
        <v/>
      </c>
      <c r="AU1505">
        <f>HYPERLINK("https://creighton-primo.hosted.exlibrisgroup.com/primo-explore/search?tab=default_tab&amp;search_scope=EVERYTHING&amp;vid=01CRU&amp;lang=en_US&amp;offset=0&amp;query=any,contains,991001362109702656","Catalog Record")</f>
        <v/>
      </c>
      <c r="AV1505">
        <f>HYPERLINK("http://www.worldcat.org/oclc/1289801","WorldCat Record")</f>
        <v/>
      </c>
      <c r="AW1505" t="inlineStr">
        <is>
          <t>2226340:eng</t>
        </is>
      </c>
      <c r="AX1505" t="inlineStr">
        <is>
          <t>1289801</t>
        </is>
      </c>
      <c r="AY1505" t="inlineStr">
        <is>
          <t>991001362109702656</t>
        </is>
      </c>
      <c r="AZ1505" t="inlineStr">
        <is>
          <t>991001362109702656</t>
        </is>
      </c>
      <c r="BA1505" t="inlineStr">
        <is>
          <t>2261322020002656</t>
        </is>
      </c>
      <c r="BB1505" t="inlineStr">
        <is>
          <t>BOOK</t>
        </is>
      </c>
      <c r="BE1505" t="inlineStr">
        <is>
          <t>30001000460941</t>
        </is>
      </c>
      <c r="BF1505" t="inlineStr">
        <is>
          <t>893364031</t>
        </is>
      </c>
    </row>
    <row r="1506">
      <c r="A1506" t="inlineStr">
        <is>
          <t>No</t>
        </is>
      </c>
      <c r="B1506" t="inlineStr">
        <is>
          <t>CUHSL</t>
        </is>
      </c>
      <c r="C1506" t="inlineStr">
        <is>
          <t>SHELVES</t>
        </is>
      </c>
      <c r="D1506" t="inlineStr">
        <is>
          <t>WY 154 P314e 1984</t>
        </is>
      </c>
      <c r="E1506" t="inlineStr">
        <is>
          <t>0                      WY 0154000P  314e        1984</t>
        </is>
      </c>
      <c r="F1506" t="inlineStr">
        <is>
          <t>Emergency nursing : a case study approach / Judith Ord Patrizzi, Maria K. Tackett.</t>
        </is>
      </c>
      <c r="H1506" t="inlineStr">
        <is>
          <t>No</t>
        </is>
      </c>
      <c r="I1506" t="inlineStr">
        <is>
          <t>1</t>
        </is>
      </c>
      <c r="J1506" t="inlineStr">
        <is>
          <t>No</t>
        </is>
      </c>
      <c r="K1506" t="inlineStr">
        <is>
          <t>No</t>
        </is>
      </c>
      <c r="L1506" t="inlineStr">
        <is>
          <t>0</t>
        </is>
      </c>
      <c r="M1506" t="inlineStr">
        <is>
          <t>Patrizzi, Judith Ord, 1939-</t>
        </is>
      </c>
      <c r="N1506" t="inlineStr">
        <is>
          <t>Bowie, MD : R.J. Brady, c1984.</t>
        </is>
      </c>
      <c r="O1506" t="inlineStr">
        <is>
          <t>1984</t>
        </is>
      </c>
      <c r="Q1506" t="inlineStr">
        <is>
          <t>eng</t>
        </is>
      </c>
      <c r="R1506" t="inlineStr">
        <is>
          <t>xxu</t>
        </is>
      </c>
      <c r="T1506" t="inlineStr">
        <is>
          <t xml:space="preserve">WY </t>
        </is>
      </c>
      <c r="U1506" t="n">
        <v>2</v>
      </c>
      <c r="V1506" t="n">
        <v>2</v>
      </c>
      <c r="W1506" t="inlineStr">
        <is>
          <t>1996-11-11</t>
        </is>
      </c>
      <c r="X1506" t="inlineStr">
        <is>
          <t>1996-11-11</t>
        </is>
      </c>
      <c r="Y1506" t="inlineStr">
        <is>
          <t>1987-12-22</t>
        </is>
      </c>
      <c r="Z1506" t="inlineStr">
        <is>
          <t>1987-12-22</t>
        </is>
      </c>
      <c r="AA1506" t="n">
        <v>87</v>
      </c>
      <c r="AB1506" t="n">
        <v>73</v>
      </c>
      <c r="AC1506" t="n">
        <v>75</v>
      </c>
      <c r="AD1506" t="n">
        <v>1</v>
      </c>
      <c r="AE1506" t="n">
        <v>1</v>
      </c>
      <c r="AF1506" t="n">
        <v>1</v>
      </c>
      <c r="AG1506" t="n">
        <v>1</v>
      </c>
      <c r="AH1506" t="n">
        <v>0</v>
      </c>
      <c r="AI1506" t="n">
        <v>0</v>
      </c>
      <c r="AJ1506" t="n">
        <v>0</v>
      </c>
      <c r="AK1506" t="n">
        <v>0</v>
      </c>
      <c r="AL1506" t="n">
        <v>1</v>
      </c>
      <c r="AM1506" t="n">
        <v>1</v>
      </c>
      <c r="AN1506" t="n">
        <v>0</v>
      </c>
      <c r="AO1506" t="n">
        <v>0</v>
      </c>
      <c r="AP1506" t="n">
        <v>0</v>
      </c>
      <c r="AQ1506" t="n">
        <v>0</v>
      </c>
      <c r="AR1506" t="inlineStr">
        <is>
          <t>No</t>
        </is>
      </c>
      <c r="AS1506" t="inlineStr">
        <is>
          <t>Yes</t>
        </is>
      </c>
      <c r="AT1506">
        <f>HYPERLINK("http://catalog.hathitrust.org/Record/000321181","HathiTrust Record")</f>
        <v/>
      </c>
      <c r="AU1506">
        <f>HYPERLINK("https://creighton-primo.hosted.exlibrisgroup.com/primo-explore/search?tab=default_tab&amp;search_scope=EVERYTHING&amp;vid=01CRU&amp;lang=en_US&amp;offset=0&amp;query=any,contains,991000866719702656","Catalog Record")</f>
        <v/>
      </c>
      <c r="AV1506">
        <f>HYPERLINK("http://www.worldcat.org/oclc/9944007","WorldCat Record")</f>
        <v/>
      </c>
      <c r="AW1506" t="inlineStr">
        <is>
          <t>198980103:eng</t>
        </is>
      </c>
      <c r="AX1506" t="inlineStr">
        <is>
          <t>9944007</t>
        </is>
      </c>
      <c r="AY1506" t="inlineStr">
        <is>
          <t>991000866719702656</t>
        </is>
      </c>
      <c r="AZ1506" t="inlineStr">
        <is>
          <t>991000866719702656</t>
        </is>
      </c>
      <c r="BA1506" t="inlineStr">
        <is>
          <t>2264831280002656</t>
        </is>
      </c>
      <c r="BB1506" t="inlineStr">
        <is>
          <t>BOOK</t>
        </is>
      </c>
      <c r="BD1506" t="inlineStr">
        <is>
          <t>9780893034283</t>
        </is>
      </c>
      <c r="BE1506" t="inlineStr">
        <is>
          <t>30001000144776</t>
        </is>
      </c>
      <c r="BF1506" t="inlineStr">
        <is>
          <t>893460060</t>
        </is>
      </c>
    </row>
    <row r="1507">
      <c r="A1507" t="inlineStr">
        <is>
          <t>No</t>
        </is>
      </c>
      <c r="B1507" t="inlineStr">
        <is>
          <t>CUHSL</t>
        </is>
      </c>
      <c r="C1507" t="inlineStr">
        <is>
          <t>SHELVES</t>
        </is>
      </c>
      <c r="D1507" t="inlineStr">
        <is>
          <t>WY 154 P8565 1990</t>
        </is>
      </c>
      <c r="E1507" t="inlineStr">
        <is>
          <t>0                      WY 0154000P  8565        1990</t>
        </is>
      </c>
      <c r="F1507" t="inlineStr">
        <is>
          <t>Post anesthesia care unit : current practices / editor, Elizabeth A.M. Frost.</t>
        </is>
      </c>
      <c r="H1507" t="inlineStr">
        <is>
          <t>No</t>
        </is>
      </c>
      <c r="I1507" t="inlineStr">
        <is>
          <t>1</t>
        </is>
      </c>
      <c r="J1507" t="inlineStr">
        <is>
          <t>No</t>
        </is>
      </c>
      <c r="K1507" t="inlineStr">
        <is>
          <t>No</t>
        </is>
      </c>
      <c r="L1507" t="inlineStr">
        <is>
          <t>0</t>
        </is>
      </c>
      <c r="N1507" t="inlineStr">
        <is>
          <t>St. Louis : Mosby, c1990.</t>
        </is>
      </c>
      <c r="O1507" t="inlineStr">
        <is>
          <t>1990</t>
        </is>
      </c>
      <c r="P1507" t="inlineStr">
        <is>
          <t>2nd ed.</t>
        </is>
      </c>
      <c r="Q1507" t="inlineStr">
        <is>
          <t>eng</t>
        </is>
      </c>
      <c r="R1507" t="inlineStr">
        <is>
          <t>xxu</t>
        </is>
      </c>
      <c r="T1507" t="inlineStr">
        <is>
          <t xml:space="preserve">WY </t>
        </is>
      </c>
      <c r="U1507" t="n">
        <v>11</v>
      </c>
      <c r="V1507" t="n">
        <v>11</v>
      </c>
      <c r="W1507" t="inlineStr">
        <is>
          <t>2002-03-12</t>
        </is>
      </c>
      <c r="X1507" t="inlineStr">
        <is>
          <t>2002-03-12</t>
        </is>
      </c>
      <c r="Y1507" t="inlineStr">
        <is>
          <t>1990-11-02</t>
        </is>
      </c>
      <c r="Z1507" t="inlineStr">
        <is>
          <t>1990-11-02</t>
        </is>
      </c>
      <c r="AA1507" t="n">
        <v>246</v>
      </c>
      <c r="AB1507" t="n">
        <v>207</v>
      </c>
      <c r="AC1507" t="n">
        <v>214</v>
      </c>
      <c r="AD1507" t="n">
        <v>2</v>
      </c>
      <c r="AE1507" t="n">
        <v>2</v>
      </c>
      <c r="AF1507" t="n">
        <v>7</v>
      </c>
      <c r="AG1507" t="n">
        <v>7</v>
      </c>
      <c r="AH1507" t="n">
        <v>2</v>
      </c>
      <c r="AI1507" t="n">
        <v>2</v>
      </c>
      <c r="AJ1507" t="n">
        <v>3</v>
      </c>
      <c r="AK1507" t="n">
        <v>3</v>
      </c>
      <c r="AL1507" t="n">
        <v>4</v>
      </c>
      <c r="AM1507" t="n">
        <v>4</v>
      </c>
      <c r="AN1507" t="n">
        <v>0</v>
      </c>
      <c r="AO1507" t="n">
        <v>0</v>
      </c>
      <c r="AP1507" t="n">
        <v>0</v>
      </c>
      <c r="AQ1507" t="n">
        <v>0</v>
      </c>
      <c r="AR1507" t="inlineStr">
        <is>
          <t>No</t>
        </is>
      </c>
      <c r="AS1507" t="inlineStr">
        <is>
          <t>Yes</t>
        </is>
      </c>
      <c r="AT1507">
        <f>HYPERLINK("http://catalog.hathitrust.org/Record/002060542","HathiTrust Record")</f>
        <v/>
      </c>
      <c r="AU1507">
        <f>HYPERLINK("https://creighton-primo.hosted.exlibrisgroup.com/primo-explore/search?tab=default_tab&amp;search_scope=EVERYTHING&amp;vid=01CRU&amp;lang=en_US&amp;offset=0&amp;query=any,contains,991000776219702656","Catalog Record")</f>
        <v/>
      </c>
      <c r="AV1507">
        <f>HYPERLINK("http://www.worldcat.org/oclc/21162939","WorldCat Record")</f>
        <v/>
      </c>
      <c r="AW1507" t="inlineStr">
        <is>
          <t>22239814:eng</t>
        </is>
      </c>
      <c r="AX1507" t="inlineStr">
        <is>
          <t>21162939</t>
        </is>
      </c>
      <c r="AY1507" t="inlineStr">
        <is>
          <t>991000776219702656</t>
        </is>
      </c>
      <c r="AZ1507" t="inlineStr">
        <is>
          <t>991000776219702656</t>
        </is>
      </c>
      <c r="BA1507" t="inlineStr">
        <is>
          <t>2271132570002656</t>
        </is>
      </c>
      <c r="BB1507" t="inlineStr">
        <is>
          <t>BOOK</t>
        </is>
      </c>
      <c r="BD1507" t="inlineStr">
        <is>
          <t>9780801602047</t>
        </is>
      </c>
      <c r="BE1507" t="inlineStr">
        <is>
          <t>30001002063164</t>
        </is>
      </c>
      <c r="BF1507" t="inlineStr">
        <is>
          <t>893551592</t>
        </is>
      </c>
    </row>
    <row r="1508">
      <c r="A1508" t="inlineStr">
        <is>
          <t>No</t>
        </is>
      </c>
      <c r="B1508" t="inlineStr">
        <is>
          <t>CUHSL</t>
        </is>
      </c>
      <c r="C1508" t="inlineStr">
        <is>
          <t>SHELVES</t>
        </is>
      </c>
      <c r="D1508" t="inlineStr">
        <is>
          <t>WY 154 P895 1998</t>
        </is>
      </c>
      <c r="E1508" t="inlineStr">
        <is>
          <t>0                      WY 0154000P  895         1998</t>
        </is>
      </c>
      <c r="F1508" t="inlineStr">
        <is>
          <t>Practice issues for the acute care nurse practitioner / Ruth M. Kleinpell and Mariann R. Piano, editors.</t>
        </is>
      </c>
      <c r="H1508" t="inlineStr">
        <is>
          <t>No</t>
        </is>
      </c>
      <c r="I1508" t="inlineStr">
        <is>
          <t>1</t>
        </is>
      </c>
      <c r="J1508" t="inlineStr">
        <is>
          <t>No</t>
        </is>
      </c>
      <c r="K1508" t="inlineStr">
        <is>
          <t>No</t>
        </is>
      </c>
      <c r="L1508" t="inlineStr">
        <is>
          <t>0</t>
        </is>
      </c>
      <c r="N1508" t="inlineStr">
        <is>
          <t>New York : Springer Pub., c1998.</t>
        </is>
      </c>
      <c r="O1508" t="inlineStr">
        <is>
          <t>1998</t>
        </is>
      </c>
      <c r="Q1508" t="inlineStr">
        <is>
          <t>eng</t>
        </is>
      </c>
      <c r="R1508" t="inlineStr">
        <is>
          <t>nyu</t>
        </is>
      </c>
      <c r="S1508" t="inlineStr">
        <is>
          <t>Springer series on advanced practice nursing</t>
        </is>
      </c>
      <c r="T1508" t="inlineStr">
        <is>
          <t xml:space="preserve">WY </t>
        </is>
      </c>
      <c r="U1508" t="n">
        <v>4</v>
      </c>
      <c r="V1508" t="n">
        <v>4</v>
      </c>
      <c r="W1508" t="inlineStr">
        <is>
          <t>2003-04-14</t>
        </is>
      </c>
      <c r="X1508" t="inlineStr">
        <is>
          <t>2003-04-14</t>
        </is>
      </c>
      <c r="Y1508" t="inlineStr">
        <is>
          <t>1999-11-05</t>
        </is>
      </c>
      <c r="Z1508" t="inlineStr">
        <is>
          <t>1999-11-05</t>
        </is>
      </c>
      <c r="AA1508" t="n">
        <v>175</v>
      </c>
      <c r="AB1508" t="n">
        <v>151</v>
      </c>
      <c r="AC1508" t="n">
        <v>158</v>
      </c>
      <c r="AD1508" t="n">
        <v>1</v>
      </c>
      <c r="AE1508" t="n">
        <v>1</v>
      </c>
      <c r="AF1508" t="n">
        <v>3</v>
      </c>
      <c r="AG1508" t="n">
        <v>3</v>
      </c>
      <c r="AH1508" t="n">
        <v>1</v>
      </c>
      <c r="AI1508" t="n">
        <v>1</v>
      </c>
      <c r="AJ1508" t="n">
        <v>0</v>
      </c>
      <c r="AK1508" t="n">
        <v>0</v>
      </c>
      <c r="AL1508" t="n">
        <v>2</v>
      </c>
      <c r="AM1508" t="n">
        <v>2</v>
      </c>
      <c r="AN1508" t="n">
        <v>0</v>
      </c>
      <c r="AO1508" t="n">
        <v>0</v>
      </c>
      <c r="AP1508" t="n">
        <v>0</v>
      </c>
      <c r="AQ1508" t="n">
        <v>0</v>
      </c>
      <c r="AR1508" t="inlineStr">
        <is>
          <t>No</t>
        </is>
      </c>
      <c r="AS1508" t="inlineStr">
        <is>
          <t>Yes</t>
        </is>
      </c>
      <c r="AT1508">
        <f>HYPERLINK("http://catalog.hathitrust.org/Record/004010387","HathiTrust Record")</f>
        <v/>
      </c>
      <c r="AU1508">
        <f>HYPERLINK("https://creighton-primo.hosted.exlibrisgroup.com/primo-explore/search?tab=default_tab&amp;search_scope=EVERYTHING&amp;vid=01CRU&amp;lang=en_US&amp;offset=0&amp;query=any,contains,991000797969702656","Catalog Record")</f>
        <v/>
      </c>
      <c r="AV1508">
        <f>HYPERLINK("http://www.worldcat.org/oclc/39361326","WorldCat Record")</f>
        <v/>
      </c>
      <c r="AW1508" t="inlineStr">
        <is>
          <t>476249424:eng</t>
        </is>
      </c>
      <c r="AX1508" t="inlineStr">
        <is>
          <t>39361326</t>
        </is>
      </c>
      <c r="AY1508" t="inlineStr">
        <is>
          <t>991000797969702656</t>
        </is>
      </c>
      <c r="AZ1508" t="inlineStr">
        <is>
          <t>991000797969702656</t>
        </is>
      </c>
      <c r="BA1508" t="inlineStr">
        <is>
          <t>2261115620002656</t>
        </is>
      </c>
      <c r="BB1508" t="inlineStr">
        <is>
          <t>BOOK</t>
        </is>
      </c>
      <c r="BD1508" t="inlineStr">
        <is>
          <t>9780826112040</t>
        </is>
      </c>
      <c r="BE1508" t="inlineStr">
        <is>
          <t>30001004080273</t>
        </is>
      </c>
      <c r="BF1508" t="inlineStr">
        <is>
          <t>893735805</t>
        </is>
      </c>
    </row>
    <row r="1509">
      <c r="A1509" t="inlineStr">
        <is>
          <t>No</t>
        </is>
      </c>
      <c r="B1509" t="inlineStr">
        <is>
          <t>CUHSL</t>
        </is>
      </c>
      <c r="C1509" t="inlineStr">
        <is>
          <t>SHELVES</t>
        </is>
      </c>
      <c r="D1509" t="inlineStr">
        <is>
          <t>WY 154 P958 2004</t>
        </is>
      </c>
      <c r="E1509" t="inlineStr">
        <is>
          <t>0                      WY 0154000P  958         2004</t>
        </is>
      </c>
      <c r="F1509" t="inlineStr">
        <is>
          <t>Priorities in critical care nursing / [edited by] Linda D. Urden, Kathleen M. Stacy, Mary E. Lough.</t>
        </is>
      </c>
      <c r="H1509" t="inlineStr">
        <is>
          <t>No</t>
        </is>
      </c>
      <c r="I1509" t="inlineStr">
        <is>
          <t>1</t>
        </is>
      </c>
      <c r="J1509" t="inlineStr">
        <is>
          <t>No</t>
        </is>
      </c>
      <c r="K1509" t="inlineStr">
        <is>
          <t>Yes</t>
        </is>
      </c>
      <c r="L1509" t="inlineStr">
        <is>
          <t>0</t>
        </is>
      </c>
      <c r="N1509" t="inlineStr">
        <is>
          <t>St. Louis : Mosby, 2004.</t>
        </is>
      </c>
      <c r="O1509" t="inlineStr">
        <is>
          <t>2003</t>
        </is>
      </c>
      <c r="P1509" t="inlineStr">
        <is>
          <t>4th ed.</t>
        </is>
      </c>
      <c r="Q1509" t="inlineStr">
        <is>
          <t>eng</t>
        </is>
      </c>
      <c r="R1509" t="inlineStr">
        <is>
          <t>mou</t>
        </is>
      </c>
      <c r="T1509" t="inlineStr">
        <is>
          <t xml:space="preserve">WY </t>
        </is>
      </c>
      <c r="U1509" t="n">
        <v>0</v>
      </c>
      <c r="V1509" t="n">
        <v>0</v>
      </c>
      <c r="W1509" t="inlineStr">
        <is>
          <t>2004-01-20</t>
        </is>
      </c>
      <c r="X1509" t="inlineStr">
        <is>
          <t>2004-01-20</t>
        </is>
      </c>
      <c r="Y1509" t="inlineStr">
        <is>
          <t>2004-01-19</t>
        </is>
      </c>
      <c r="Z1509" t="inlineStr">
        <is>
          <t>2004-01-19</t>
        </is>
      </c>
      <c r="AA1509" t="n">
        <v>284</v>
      </c>
      <c r="AB1509" t="n">
        <v>214</v>
      </c>
      <c r="AC1509" t="n">
        <v>776</v>
      </c>
      <c r="AD1509" t="n">
        <v>1</v>
      </c>
      <c r="AE1509" t="n">
        <v>4</v>
      </c>
      <c r="AF1509" t="n">
        <v>7</v>
      </c>
      <c r="AG1509" t="n">
        <v>23</v>
      </c>
      <c r="AH1509" t="n">
        <v>2</v>
      </c>
      <c r="AI1509" t="n">
        <v>9</v>
      </c>
      <c r="AJ1509" t="n">
        <v>1</v>
      </c>
      <c r="AK1509" t="n">
        <v>3</v>
      </c>
      <c r="AL1509" t="n">
        <v>6</v>
      </c>
      <c r="AM1509" t="n">
        <v>13</v>
      </c>
      <c r="AN1509" t="n">
        <v>0</v>
      </c>
      <c r="AO1509" t="n">
        <v>2</v>
      </c>
      <c r="AP1509" t="n">
        <v>0</v>
      </c>
      <c r="AQ1509" t="n">
        <v>0</v>
      </c>
      <c r="AR1509" t="inlineStr">
        <is>
          <t>No</t>
        </is>
      </c>
      <c r="AS1509" t="inlineStr">
        <is>
          <t>Yes</t>
        </is>
      </c>
      <c r="AT1509">
        <f>HYPERLINK("http://catalog.hathitrust.org/Record/004352448","HathiTrust Record")</f>
        <v/>
      </c>
      <c r="AU1509">
        <f>HYPERLINK("https://creighton-primo.hosted.exlibrisgroup.com/primo-explore/search?tab=default_tab&amp;search_scope=EVERYTHING&amp;vid=01CRU&amp;lang=en_US&amp;offset=0&amp;query=any,contains,991001725319702656","Catalog Record")</f>
        <v/>
      </c>
      <c r="AV1509">
        <f>HYPERLINK("http://www.worldcat.org/oclc/52895257","WorldCat Record")</f>
        <v/>
      </c>
      <c r="AW1509" t="inlineStr">
        <is>
          <t>350899228:eng</t>
        </is>
      </c>
      <c r="AX1509" t="inlineStr">
        <is>
          <t>52895257</t>
        </is>
      </c>
      <c r="AY1509" t="inlineStr">
        <is>
          <t>991001725319702656</t>
        </is>
      </c>
      <c r="AZ1509" t="inlineStr">
        <is>
          <t>991001725319702656</t>
        </is>
      </c>
      <c r="BA1509" t="inlineStr">
        <is>
          <t>2259539120002656</t>
        </is>
      </c>
      <c r="BB1509" t="inlineStr">
        <is>
          <t>BOOK</t>
        </is>
      </c>
      <c r="BD1509" t="inlineStr">
        <is>
          <t>9780323024815</t>
        </is>
      </c>
      <c r="BE1509" t="inlineStr">
        <is>
          <t>30001004508521</t>
        </is>
      </c>
      <c r="BF1509" t="inlineStr">
        <is>
          <t>893121794</t>
        </is>
      </c>
    </row>
    <row r="1510">
      <c r="A1510" t="inlineStr">
        <is>
          <t>No</t>
        </is>
      </c>
      <c r="B1510" t="inlineStr">
        <is>
          <t>CUHSL</t>
        </is>
      </c>
      <c r="C1510" t="inlineStr">
        <is>
          <t>SHELVES</t>
        </is>
      </c>
      <c r="D1510" t="inlineStr">
        <is>
          <t>WY 154 R311 1982</t>
        </is>
      </c>
      <c r="E1510" t="inlineStr">
        <is>
          <t>0                      WY 0154000R  311         1982</t>
        </is>
      </c>
      <c r="F1510" t="inlineStr">
        <is>
          <t>Recovery room care : principles and practice, design and equipment, staffing and patient care / edited by Jacob S. Israel and Thomas J. DeKornfeld.</t>
        </is>
      </c>
      <c r="H1510" t="inlineStr">
        <is>
          <t>No</t>
        </is>
      </c>
      <c r="I1510" t="inlineStr">
        <is>
          <t>1</t>
        </is>
      </c>
      <c r="J1510" t="inlineStr">
        <is>
          <t>No</t>
        </is>
      </c>
      <c r="K1510" t="inlineStr">
        <is>
          <t>No</t>
        </is>
      </c>
      <c r="L1510" t="inlineStr">
        <is>
          <t>0</t>
        </is>
      </c>
      <c r="N1510" t="inlineStr">
        <is>
          <t>Springfield, Ill., : Thomas, c1982.</t>
        </is>
      </c>
      <c r="O1510" t="inlineStr">
        <is>
          <t>1982</t>
        </is>
      </c>
      <c r="Q1510" t="inlineStr">
        <is>
          <t>eng</t>
        </is>
      </c>
      <c r="R1510" t="inlineStr">
        <is>
          <t>xxu</t>
        </is>
      </c>
      <c r="T1510" t="inlineStr">
        <is>
          <t xml:space="preserve">WY </t>
        </is>
      </c>
      <c r="U1510" t="n">
        <v>6</v>
      </c>
      <c r="V1510" t="n">
        <v>6</v>
      </c>
      <c r="W1510" t="inlineStr">
        <is>
          <t>1992-06-14</t>
        </is>
      </c>
      <c r="X1510" t="inlineStr">
        <is>
          <t>1992-06-14</t>
        </is>
      </c>
      <c r="Y1510" t="inlineStr">
        <is>
          <t>1987-12-22</t>
        </is>
      </c>
      <c r="Z1510" t="inlineStr">
        <is>
          <t>1987-12-22</t>
        </is>
      </c>
      <c r="AA1510" t="n">
        <v>101</v>
      </c>
      <c r="AB1510" t="n">
        <v>89</v>
      </c>
      <c r="AC1510" t="n">
        <v>143</v>
      </c>
      <c r="AD1510" t="n">
        <v>1</v>
      </c>
      <c r="AE1510" t="n">
        <v>1</v>
      </c>
      <c r="AF1510" t="n">
        <v>0</v>
      </c>
      <c r="AG1510" t="n">
        <v>2</v>
      </c>
      <c r="AH1510" t="n">
        <v>0</v>
      </c>
      <c r="AI1510" t="n">
        <v>0</v>
      </c>
      <c r="AJ1510" t="n">
        <v>0</v>
      </c>
      <c r="AK1510" t="n">
        <v>1</v>
      </c>
      <c r="AL1510" t="n">
        <v>0</v>
      </c>
      <c r="AM1510" t="n">
        <v>2</v>
      </c>
      <c r="AN1510" t="n">
        <v>0</v>
      </c>
      <c r="AO1510" t="n">
        <v>0</v>
      </c>
      <c r="AP1510" t="n">
        <v>0</v>
      </c>
      <c r="AQ1510" t="n">
        <v>0</v>
      </c>
      <c r="AR1510" t="inlineStr">
        <is>
          <t>No</t>
        </is>
      </c>
      <c r="AS1510" t="inlineStr">
        <is>
          <t>Yes</t>
        </is>
      </c>
      <c r="AT1510">
        <f>HYPERLINK("http://catalog.hathitrust.org/Record/000230290","HathiTrust Record")</f>
        <v/>
      </c>
      <c r="AU1510">
        <f>HYPERLINK("https://creighton-primo.hosted.exlibrisgroup.com/primo-explore/search?tab=default_tab&amp;search_scope=EVERYTHING&amp;vid=01CRU&amp;lang=en_US&amp;offset=0&amp;query=any,contains,991000866759702656","Catalog Record")</f>
        <v/>
      </c>
      <c r="AV1510">
        <f>HYPERLINK("http://www.worldcat.org/oclc/7653483","WorldCat Record")</f>
        <v/>
      </c>
      <c r="AW1510" t="inlineStr">
        <is>
          <t>1864496570:eng</t>
        </is>
      </c>
      <c r="AX1510" t="inlineStr">
        <is>
          <t>7653483</t>
        </is>
      </c>
      <c r="AY1510" t="inlineStr">
        <is>
          <t>991000866759702656</t>
        </is>
      </c>
      <c r="AZ1510" t="inlineStr">
        <is>
          <t>991000866759702656</t>
        </is>
      </c>
      <c r="BA1510" t="inlineStr">
        <is>
          <t>2270474690002656</t>
        </is>
      </c>
      <c r="BB1510" t="inlineStr">
        <is>
          <t>BOOK</t>
        </is>
      </c>
      <c r="BD1510" t="inlineStr">
        <is>
          <t>9780398045722</t>
        </is>
      </c>
      <c r="BE1510" t="inlineStr">
        <is>
          <t>30001000144784</t>
        </is>
      </c>
      <c r="BF1510" t="inlineStr">
        <is>
          <t>893374027</t>
        </is>
      </c>
    </row>
    <row r="1511">
      <c r="A1511" t="inlineStr">
        <is>
          <t>No</t>
        </is>
      </c>
      <c r="B1511" t="inlineStr">
        <is>
          <t>CUHSL</t>
        </is>
      </c>
      <c r="C1511" t="inlineStr">
        <is>
          <t>SHELVES</t>
        </is>
      </c>
      <c r="D1511" t="inlineStr">
        <is>
          <t>WY 154 S541 1998</t>
        </is>
      </c>
      <c r="E1511" t="inlineStr">
        <is>
          <t>0                      WY 0154000S  541         1998</t>
        </is>
      </c>
      <c r="F1511" t="inlineStr">
        <is>
          <t>Sheehy's emergency nursing : principles and practice.</t>
        </is>
      </c>
      <c r="H1511" t="inlineStr">
        <is>
          <t>No</t>
        </is>
      </c>
      <c r="I1511" t="inlineStr">
        <is>
          <t>1</t>
        </is>
      </c>
      <c r="J1511" t="inlineStr">
        <is>
          <t>No</t>
        </is>
      </c>
      <c r="K1511" t="inlineStr">
        <is>
          <t>Yes</t>
        </is>
      </c>
      <c r="L1511" t="inlineStr">
        <is>
          <t>0</t>
        </is>
      </c>
      <c r="N1511" t="inlineStr">
        <is>
          <t>St. Louis : Mosby, c1998.</t>
        </is>
      </c>
      <c r="O1511" t="inlineStr">
        <is>
          <t>1998</t>
        </is>
      </c>
      <c r="P1511" t="inlineStr">
        <is>
          <t>4th ed. / edited by Lorene Newberry.</t>
        </is>
      </c>
      <c r="Q1511" t="inlineStr">
        <is>
          <t>eng</t>
        </is>
      </c>
      <c r="R1511" t="inlineStr">
        <is>
          <t>mou</t>
        </is>
      </c>
      <c r="T1511" t="inlineStr">
        <is>
          <t xml:space="preserve">WY </t>
        </is>
      </c>
      <c r="U1511" t="n">
        <v>3</v>
      </c>
      <c r="V1511" t="n">
        <v>3</v>
      </c>
      <c r="W1511" t="inlineStr">
        <is>
          <t>1999-02-27</t>
        </is>
      </c>
      <c r="X1511" t="inlineStr">
        <is>
          <t>1999-02-27</t>
        </is>
      </c>
      <c r="Y1511" t="inlineStr">
        <is>
          <t>1997-10-14</t>
        </is>
      </c>
      <c r="Z1511" t="inlineStr">
        <is>
          <t>1997-10-14</t>
        </is>
      </c>
      <c r="AA1511" t="n">
        <v>342</v>
      </c>
      <c r="AB1511" t="n">
        <v>275</v>
      </c>
      <c r="AC1511" t="n">
        <v>808</v>
      </c>
      <c r="AD1511" t="n">
        <v>2</v>
      </c>
      <c r="AE1511" t="n">
        <v>6</v>
      </c>
      <c r="AF1511" t="n">
        <v>7</v>
      </c>
      <c r="AG1511" t="n">
        <v>27</v>
      </c>
      <c r="AH1511" t="n">
        <v>4</v>
      </c>
      <c r="AI1511" t="n">
        <v>12</v>
      </c>
      <c r="AJ1511" t="n">
        <v>1</v>
      </c>
      <c r="AK1511" t="n">
        <v>5</v>
      </c>
      <c r="AL1511" t="n">
        <v>4</v>
      </c>
      <c r="AM1511" t="n">
        <v>11</v>
      </c>
      <c r="AN1511" t="n">
        <v>0</v>
      </c>
      <c r="AO1511" t="n">
        <v>4</v>
      </c>
      <c r="AP1511" t="n">
        <v>0</v>
      </c>
      <c r="AQ1511" t="n">
        <v>0</v>
      </c>
      <c r="AR1511" t="inlineStr">
        <is>
          <t>No</t>
        </is>
      </c>
      <c r="AS1511" t="inlineStr">
        <is>
          <t>No</t>
        </is>
      </c>
      <c r="AU1511">
        <f>HYPERLINK("https://creighton-primo.hosted.exlibrisgroup.com/primo-explore/search?tab=default_tab&amp;search_scope=EVERYTHING&amp;vid=01CRU&amp;lang=en_US&amp;offset=0&amp;query=any,contains,991001563549702656","Catalog Record")</f>
        <v/>
      </c>
      <c r="AV1511">
        <f>HYPERLINK("http://www.worldcat.org/oclc/36995362","WorldCat Record")</f>
        <v/>
      </c>
      <c r="AW1511" t="inlineStr">
        <is>
          <t>819627758:eng</t>
        </is>
      </c>
      <c r="AX1511" t="inlineStr">
        <is>
          <t>36995362</t>
        </is>
      </c>
      <c r="AY1511" t="inlineStr">
        <is>
          <t>991001563549702656</t>
        </is>
      </c>
      <c r="AZ1511" t="inlineStr">
        <is>
          <t>991001563549702656</t>
        </is>
      </c>
      <c r="BA1511" t="inlineStr">
        <is>
          <t>2262833470002656</t>
        </is>
      </c>
      <c r="BB1511" t="inlineStr">
        <is>
          <t>BOOK</t>
        </is>
      </c>
      <c r="BD1511" t="inlineStr">
        <is>
          <t>9780815176787</t>
        </is>
      </c>
      <c r="BE1511" t="inlineStr">
        <is>
          <t>30001003629302</t>
        </is>
      </c>
      <c r="BF1511" t="inlineStr">
        <is>
          <t>893736714</t>
        </is>
      </c>
    </row>
    <row r="1512">
      <c r="A1512" t="inlineStr">
        <is>
          <t>No</t>
        </is>
      </c>
      <c r="B1512" t="inlineStr">
        <is>
          <t>CUHSL</t>
        </is>
      </c>
      <c r="C1512" t="inlineStr">
        <is>
          <t>SHELVES</t>
        </is>
      </c>
      <c r="D1512" t="inlineStr">
        <is>
          <t>WY154 S541 2003</t>
        </is>
      </c>
      <c r="E1512" t="inlineStr">
        <is>
          <t>0                      WY 0154000S  541         2003</t>
        </is>
      </c>
      <c r="F1512" t="inlineStr">
        <is>
          <t>Sheehy's emergency nursing : principles and practice.</t>
        </is>
      </c>
      <c r="H1512" t="inlineStr">
        <is>
          <t>No</t>
        </is>
      </c>
      <c r="I1512" t="inlineStr">
        <is>
          <t>1</t>
        </is>
      </c>
      <c r="J1512" t="inlineStr">
        <is>
          <t>No</t>
        </is>
      </c>
      <c r="K1512" t="inlineStr">
        <is>
          <t>Yes</t>
        </is>
      </c>
      <c r="L1512" t="inlineStr">
        <is>
          <t>0</t>
        </is>
      </c>
      <c r="N1512" t="inlineStr">
        <is>
          <t>St. Louis : Mosby, c2003.</t>
        </is>
      </c>
      <c r="O1512" t="inlineStr">
        <is>
          <t>2003</t>
        </is>
      </c>
      <c r="P1512" t="inlineStr">
        <is>
          <t>5th ed. / edited by Lorene Newberry.</t>
        </is>
      </c>
      <c r="Q1512" t="inlineStr">
        <is>
          <t>eng</t>
        </is>
      </c>
      <c r="R1512" t="inlineStr">
        <is>
          <t>mou</t>
        </is>
      </c>
      <c r="T1512" t="inlineStr">
        <is>
          <t xml:space="preserve">WY </t>
        </is>
      </c>
      <c r="U1512" t="n">
        <v>0</v>
      </c>
      <c r="V1512" t="n">
        <v>0</v>
      </c>
      <c r="W1512" t="inlineStr">
        <is>
          <t>2003-02-07</t>
        </is>
      </c>
      <c r="X1512" t="inlineStr">
        <is>
          <t>2003-02-07</t>
        </is>
      </c>
      <c r="Y1512" t="inlineStr">
        <is>
          <t>2003-02-03</t>
        </is>
      </c>
      <c r="Z1512" t="inlineStr">
        <is>
          <t>2003-02-03</t>
        </is>
      </c>
      <c r="AA1512" t="n">
        <v>484</v>
      </c>
      <c r="AB1512" t="n">
        <v>382</v>
      </c>
      <c r="AC1512" t="n">
        <v>808</v>
      </c>
      <c r="AD1512" t="n">
        <v>2</v>
      </c>
      <c r="AE1512" t="n">
        <v>6</v>
      </c>
      <c r="AF1512" t="n">
        <v>9</v>
      </c>
      <c r="AG1512" t="n">
        <v>27</v>
      </c>
      <c r="AH1512" t="n">
        <v>6</v>
      </c>
      <c r="AI1512" t="n">
        <v>12</v>
      </c>
      <c r="AJ1512" t="n">
        <v>1</v>
      </c>
      <c r="AK1512" t="n">
        <v>5</v>
      </c>
      <c r="AL1512" t="n">
        <v>2</v>
      </c>
      <c r="AM1512" t="n">
        <v>11</v>
      </c>
      <c r="AN1512" t="n">
        <v>1</v>
      </c>
      <c r="AO1512" t="n">
        <v>4</v>
      </c>
      <c r="AP1512" t="n">
        <v>0</v>
      </c>
      <c r="AQ1512" t="n">
        <v>0</v>
      </c>
      <c r="AR1512" t="inlineStr">
        <is>
          <t>No</t>
        </is>
      </c>
      <c r="AS1512" t="inlineStr">
        <is>
          <t>Yes</t>
        </is>
      </c>
      <c r="AT1512">
        <f>HYPERLINK("http://catalog.hathitrust.org/Record/004281644","HathiTrust Record")</f>
        <v/>
      </c>
      <c r="AU1512">
        <f>HYPERLINK("https://creighton-primo.hosted.exlibrisgroup.com/primo-explore/search?tab=default_tab&amp;search_scope=EVERYTHING&amp;vid=01CRU&amp;lang=en_US&amp;offset=0&amp;query=any,contains,991000338679702656","Catalog Record")</f>
        <v/>
      </c>
      <c r="AV1512">
        <f>HYPERLINK("http://www.worldcat.org/oclc/50639153","WorldCat Record")</f>
        <v/>
      </c>
      <c r="AW1512" t="inlineStr">
        <is>
          <t>819627758:eng</t>
        </is>
      </c>
      <c r="AX1512" t="inlineStr">
        <is>
          <t>50639153</t>
        </is>
      </c>
      <c r="AY1512" t="inlineStr">
        <is>
          <t>991000338679702656</t>
        </is>
      </c>
      <c r="AZ1512" t="inlineStr">
        <is>
          <t>991000338679702656</t>
        </is>
      </c>
      <c r="BA1512" t="inlineStr">
        <is>
          <t>2263351470002656</t>
        </is>
      </c>
      <c r="BB1512" t="inlineStr">
        <is>
          <t>BOOK</t>
        </is>
      </c>
      <c r="BD1512" t="inlineStr">
        <is>
          <t>9780323016841</t>
        </is>
      </c>
      <c r="BE1512" t="inlineStr">
        <is>
          <t>30001004501633</t>
        </is>
      </c>
      <c r="BF1512" t="inlineStr">
        <is>
          <t>893136747</t>
        </is>
      </c>
    </row>
    <row r="1513">
      <c r="A1513" t="inlineStr">
        <is>
          <t>No</t>
        </is>
      </c>
      <c r="B1513" t="inlineStr">
        <is>
          <t>CUHSL</t>
        </is>
      </c>
      <c r="C1513" t="inlineStr">
        <is>
          <t>SHELVES</t>
        </is>
      </c>
      <c r="D1513" t="inlineStr">
        <is>
          <t>WY 154 S785 1988</t>
        </is>
      </c>
      <c r="E1513" t="inlineStr">
        <is>
          <t>0                      WY 0154000S  785         1988</t>
        </is>
      </c>
      <c r="F1513" t="inlineStr">
        <is>
          <t>Standards for critical care / Brenda Crispell Johanson ... [et al.].</t>
        </is>
      </c>
      <c r="H1513" t="inlineStr">
        <is>
          <t>No</t>
        </is>
      </c>
      <c r="I1513" t="inlineStr">
        <is>
          <t>1</t>
        </is>
      </c>
      <c r="J1513" t="inlineStr">
        <is>
          <t>No</t>
        </is>
      </c>
      <c r="K1513" t="inlineStr">
        <is>
          <t>No</t>
        </is>
      </c>
      <c r="L1513" t="inlineStr">
        <is>
          <t>0</t>
        </is>
      </c>
      <c r="N1513" t="inlineStr">
        <is>
          <t>St. Louis : Mosby, c1988.</t>
        </is>
      </c>
      <c r="O1513" t="inlineStr">
        <is>
          <t>1988</t>
        </is>
      </c>
      <c r="P1513" t="inlineStr">
        <is>
          <t>3rd ed.</t>
        </is>
      </c>
      <c r="Q1513" t="inlineStr">
        <is>
          <t>eng</t>
        </is>
      </c>
      <c r="R1513" t="inlineStr">
        <is>
          <t>mou</t>
        </is>
      </c>
      <c r="T1513" t="inlineStr">
        <is>
          <t xml:space="preserve">WY </t>
        </is>
      </c>
      <c r="U1513" t="n">
        <v>13</v>
      </c>
      <c r="V1513" t="n">
        <v>13</v>
      </c>
      <c r="W1513" t="inlineStr">
        <is>
          <t>1990-06-13</t>
        </is>
      </c>
      <c r="X1513" t="inlineStr">
        <is>
          <t>1990-06-13</t>
        </is>
      </c>
      <c r="Y1513" t="inlineStr">
        <is>
          <t>1989-01-26</t>
        </is>
      </c>
      <c r="Z1513" t="inlineStr">
        <is>
          <t>1989-01-26</t>
        </is>
      </c>
      <c r="AA1513" t="n">
        <v>263</v>
      </c>
      <c r="AB1513" t="n">
        <v>226</v>
      </c>
      <c r="AC1513" t="n">
        <v>385</v>
      </c>
      <c r="AD1513" t="n">
        <v>2</v>
      </c>
      <c r="AE1513" t="n">
        <v>2</v>
      </c>
      <c r="AF1513" t="n">
        <v>8</v>
      </c>
      <c r="AG1513" t="n">
        <v>12</v>
      </c>
      <c r="AH1513" t="n">
        <v>1</v>
      </c>
      <c r="AI1513" t="n">
        <v>2</v>
      </c>
      <c r="AJ1513" t="n">
        <v>2</v>
      </c>
      <c r="AK1513" t="n">
        <v>3</v>
      </c>
      <c r="AL1513" t="n">
        <v>5</v>
      </c>
      <c r="AM1513" t="n">
        <v>7</v>
      </c>
      <c r="AN1513" t="n">
        <v>0</v>
      </c>
      <c r="AO1513" t="n">
        <v>0</v>
      </c>
      <c r="AP1513" t="n">
        <v>1</v>
      </c>
      <c r="AQ1513" t="n">
        <v>1</v>
      </c>
      <c r="AR1513" t="inlineStr">
        <is>
          <t>No</t>
        </is>
      </c>
      <c r="AS1513" t="inlineStr">
        <is>
          <t>Yes</t>
        </is>
      </c>
      <c r="AT1513">
        <f>HYPERLINK("http://catalog.hathitrust.org/Record/000912493","HathiTrust Record")</f>
        <v/>
      </c>
      <c r="AU1513">
        <f>HYPERLINK("https://creighton-primo.hosted.exlibrisgroup.com/primo-explore/search?tab=default_tab&amp;search_scope=EVERYTHING&amp;vid=01CRU&amp;lang=en_US&amp;offset=0&amp;query=any,contains,991001116259702656","Catalog Record")</f>
        <v/>
      </c>
      <c r="AV1513">
        <f>HYPERLINK("http://www.worldcat.org/oclc/17621822","WorldCat Record")</f>
        <v/>
      </c>
      <c r="AW1513" t="inlineStr">
        <is>
          <t>54381086:eng</t>
        </is>
      </c>
      <c r="AX1513" t="inlineStr">
        <is>
          <t>17621822</t>
        </is>
      </c>
      <c r="AY1513" t="inlineStr">
        <is>
          <t>991001116259702656</t>
        </is>
      </c>
      <c r="AZ1513" t="inlineStr">
        <is>
          <t>991001116259702656</t>
        </is>
      </c>
      <c r="BA1513" t="inlineStr">
        <is>
          <t>2261075060002656</t>
        </is>
      </c>
      <c r="BB1513" t="inlineStr">
        <is>
          <t>BOOK</t>
        </is>
      </c>
      <c r="BD1513" t="inlineStr">
        <is>
          <t>9780801625695</t>
        </is>
      </c>
      <c r="BE1513" t="inlineStr">
        <is>
          <t>30001001613332</t>
        </is>
      </c>
      <c r="BF1513" t="inlineStr">
        <is>
          <t>893377107</t>
        </is>
      </c>
    </row>
    <row r="1514">
      <c r="A1514" t="inlineStr">
        <is>
          <t>No</t>
        </is>
      </c>
      <c r="B1514" t="inlineStr">
        <is>
          <t>CUHSL</t>
        </is>
      </c>
      <c r="C1514" t="inlineStr">
        <is>
          <t>SHELVES</t>
        </is>
      </c>
      <c r="D1514" t="inlineStr">
        <is>
          <t>WY 154 S847p 1978</t>
        </is>
      </c>
      <c r="E1514" t="inlineStr">
        <is>
          <t>0                      WY 0154000S  847p        1978</t>
        </is>
      </c>
      <c r="F1514" t="inlineStr">
        <is>
          <t>A plan for nurse staffing in hospital emergency services / Joanne S. Stevenson, Nancy A. Brunner, Jean Larabee.</t>
        </is>
      </c>
      <c r="H1514" t="inlineStr">
        <is>
          <t>No</t>
        </is>
      </c>
      <c r="I1514" t="inlineStr">
        <is>
          <t>1</t>
        </is>
      </c>
      <c r="J1514" t="inlineStr">
        <is>
          <t>No</t>
        </is>
      </c>
      <c r="K1514" t="inlineStr">
        <is>
          <t>No</t>
        </is>
      </c>
      <c r="L1514" t="inlineStr">
        <is>
          <t>0</t>
        </is>
      </c>
      <c r="M1514" t="inlineStr">
        <is>
          <t>Stevenson, Joanne S.</t>
        </is>
      </c>
      <c r="N1514" t="inlineStr">
        <is>
          <t>New York : National League for Nursing, c1978.</t>
        </is>
      </c>
      <c r="O1514" t="inlineStr">
        <is>
          <t>1978</t>
        </is>
      </c>
      <c r="Q1514" t="inlineStr">
        <is>
          <t>eng</t>
        </is>
      </c>
      <c r="R1514" t="inlineStr">
        <is>
          <t>nyu</t>
        </is>
      </c>
      <c r="S1514" t="inlineStr">
        <is>
          <t>League exchange ; no. 116</t>
        </is>
      </c>
      <c r="T1514" t="inlineStr">
        <is>
          <t xml:space="preserve">WY </t>
        </is>
      </c>
      <c r="U1514" t="n">
        <v>1</v>
      </c>
      <c r="V1514" t="n">
        <v>1</v>
      </c>
      <c r="W1514" t="inlineStr">
        <is>
          <t>1990-05-10</t>
        </is>
      </c>
      <c r="X1514" t="inlineStr">
        <is>
          <t>1990-05-10</t>
        </is>
      </c>
      <c r="Y1514" t="inlineStr">
        <is>
          <t>1987-11-04</t>
        </is>
      </c>
      <c r="Z1514" t="inlineStr">
        <is>
          <t>1987-11-04</t>
        </is>
      </c>
      <c r="AA1514" t="n">
        <v>89</v>
      </c>
      <c r="AB1514" t="n">
        <v>82</v>
      </c>
      <c r="AC1514" t="n">
        <v>82</v>
      </c>
      <c r="AD1514" t="n">
        <v>2</v>
      </c>
      <c r="AE1514" t="n">
        <v>2</v>
      </c>
      <c r="AF1514" t="n">
        <v>6</v>
      </c>
      <c r="AG1514" t="n">
        <v>6</v>
      </c>
      <c r="AH1514" t="n">
        <v>2</v>
      </c>
      <c r="AI1514" t="n">
        <v>2</v>
      </c>
      <c r="AJ1514" t="n">
        <v>2</v>
      </c>
      <c r="AK1514" t="n">
        <v>2</v>
      </c>
      <c r="AL1514" t="n">
        <v>3</v>
      </c>
      <c r="AM1514" t="n">
        <v>3</v>
      </c>
      <c r="AN1514" t="n">
        <v>0</v>
      </c>
      <c r="AO1514" t="n">
        <v>0</v>
      </c>
      <c r="AP1514" t="n">
        <v>0</v>
      </c>
      <c r="AQ1514" t="n">
        <v>0</v>
      </c>
      <c r="AR1514" t="inlineStr">
        <is>
          <t>No</t>
        </is>
      </c>
      <c r="AS1514" t="inlineStr">
        <is>
          <t>No</t>
        </is>
      </c>
      <c r="AU1514">
        <f>HYPERLINK("https://creighton-primo.hosted.exlibrisgroup.com/primo-explore/search?tab=default_tab&amp;search_scope=EVERYTHING&amp;vid=01CRU&amp;lang=en_US&amp;offset=0&amp;query=any,contains,991001384879702656","Catalog Record")</f>
        <v/>
      </c>
      <c r="AV1514">
        <f>HYPERLINK("http://www.worldcat.org/oclc/3725200","WorldCat Record")</f>
        <v/>
      </c>
      <c r="AW1514" t="inlineStr">
        <is>
          <t>12284871:eng</t>
        </is>
      </c>
      <c r="AX1514" t="inlineStr">
        <is>
          <t>3725200</t>
        </is>
      </c>
      <c r="AY1514" t="inlineStr">
        <is>
          <t>991001384879702656</t>
        </is>
      </c>
      <c r="AZ1514" t="inlineStr">
        <is>
          <t>991001384879702656</t>
        </is>
      </c>
      <c r="BA1514" t="inlineStr">
        <is>
          <t>2262005450002656</t>
        </is>
      </c>
      <c r="BB1514" t="inlineStr">
        <is>
          <t>BOOK</t>
        </is>
      </c>
      <c r="BE1514" t="inlineStr">
        <is>
          <t>30001000463523</t>
        </is>
      </c>
      <c r="BF1514" t="inlineStr">
        <is>
          <t>893268422</t>
        </is>
      </c>
    </row>
    <row r="1515">
      <c r="A1515" t="inlineStr">
        <is>
          <t>No</t>
        </is>
      </c>
      <c r="B1515" t="inlineStr">
        <is>
          <t>CUHSL</t>
        </is>
      </c>
      <c r="C1515" t="inlineStr">
        <is>
          <t>SHELVES</t>
        </is>
      </c>
      <c r="D1515" t="inlineStr">
        <is>
          <t>WY154 T341 2002</t>
        </is>
      </c>
      <c r="E1515" t="inlineStr">
        <is>
          <t>0                      WY 0154000T  341         2002</t>
        </is>
      </c>
      <c r="F1515" t="inlineStr">
        <is>
          <t>Thelan's critical care nursing : diagnosis and management / Linda D. Urden, Kathleen M. Stacy, Mary E. Lough.</t>
        </is>
      </c>
      <c r="H1515" t="inlineStr">
        <is>
          <t>No</t>
        </is>
      </c>
      <c r="I1515" t="inlineStr">
        <is>
          <t>1</t>
        </is>
      </c>
      <c r="J1515" t="inlineStr">
        <is>
          <t>No</t>
        </is>
      </c>
      <c r="K1515" t="inlineStr">
        <is>
          <t>Yes</t>
        </is>
      </c>
      <c r="L1515" t="inlineStr">
        <is>
          <t>0</t>
        </is>
      </c>
      <c r="M1515" t="inlineStr">
        <is>
          <t>Urden, Linda Diann.</t>
        </is>
      </c>
      <c r="N1515" t="inlineStr">
        <is>
          <t>St. Louis : Mosby, c2002.</t>
        </is>
      </c>
      <c r="O1515" t="inlineStr">
        <is>
          <t>2002</t>
        </is>
      </c>
      <c r="P1515" t="inlineStr">
        <is>
          <t>4th ed.</t>
        </is>
      </c>
      <c r="Q1515" t="inlineStr">
        <is>
          <t>eng</t>
        </is>
      </c>
      <c r="R1515" t="inlineStr">
        <is>
          <t>mou</t>
        </is>
      </c>
      <c r="T1515" t="inlineStr">
        <is>
          <t xml:space="preserve">WY </t>
        </is>
      </c>
      <c r="U1515" t="n">
        <v>6</v>
      </c>
      <c r="V1515" t="n">
        <v>6</v>
      </c>
      <c r="W1515" t="inlineStr">
        <is>
          <t>2002-05-21</t>
        </is>
      </c>
      <c r="X1515" t="inlineStr">
        <is>
          <t>2002-05-21</t>
        </is>
      </c>
      <c r="Y1515" t="inlineStr">
        <is>
          <t>2002-01-11</t>
        </is>
      </c>
      <c r="Z1515" t="inlineStr">
        <is>
          <t>2002-01-11</t>
        </is>
      </c>
      <c r="AA1515" t="n">
        <v>290</v>
      </c>
      <c r="AB1515" t="n">
        <v>201</v>
      </c>
      <c r="AC1515" t="n">
        <v>486</v>
      </c>
      <c r="AD1515" t="n">
        <v>1</v>
      </c>
      <c r="AE1515" t="n">
        <v>2</v>
      </c>
      <c r="AF1515" t="n">
        <v>9</v>
      </c>
      <c r="AG1515" t="n">
        <v>15</v>
      </c>
      <c r="AH1515" t="n">
        <v>5</v>
      </c>
      <c r="AI1515" t="n">
        <v>6</v>
      </c>
      <c r="AJ1515" t="n">
        <v>0</v>
      </c>
      <c r="AK1515" t="n">
        <v>3</v>
      </c>
      <c r="AL1515" t="n">
        <v>4</v>
      </c>
      <c r="AM1515" t="n">
        <v>6</v>
      </c>
      <c r="AN1515" t="n">
        <v>0</v>
      </c>
      <c r="AO1515" t="n">
        <v>1</v>
      </c>
      <c r="AP1515" t="n">
        <v>0</v>
      </c>
      <c r="AQ1515" t="n">
        <v>0</v>
      </c>
      <c r="AR1515" t="inlineStr">
        <is>
          <t>No</t>
        </is>
      </c>
      <c r="AS1515" t="inlineStr">
        <is>
          <t>No</t>
        </is>
      </c>
      <c r="AU1515">
        <f>HYPERLINK("https://creighton-primo.hosted.exlibrisgroup.com/primo-explore/search?tab=default_tab&amp;search_scope=EVERYTHING&amp;vid=01CRU&amp;lang=en_US&amp;offset=0&amp;query=any,contains,991000302189702656","Catalog Record")</f>
        <v/>
      </c>
      <c r="AV1515">
        <f>HYPERLINK("http://www.worldcat.org/oclc/48190186","WorldCat Record")</f>
        <v/>
      </c>
      <c r="AW1515" t="inlineStr">
        <is>
          <t>3855500840:eng</t>
        </is>
      </c>
      <c r="AX1515" t="inlineStr">
        <is>
          <t>48190186</t>
        </is>
      </c>
      <c r="AY1515" t="inlineStr">
        <is>
          <t>991000302189702656</t>
        </is>
      </c>
      <c r="AZ1515" t="inlineStr">
        <is>
          <t>991000302189702656</t>
        </is>
      </c>
      <c r="BA1515" t="inlineStr">
        <is>
          <t>2266217610002656</t>
        </is>
      </c>
      <c r="BB1515" t="inlineStr">
        <is>
          <t>BOOK</t>
        </is>
      </c>
      <c r="BD1515" t="inlineStr">
        <is>
          <t>9780323014618</t>
        </is>
      </c>
      <c r="BE1515" t="inlineStr">
        <is>
          <t>30001004236354</t>
        </is>
      </c>
      <c r="BF1515" t="inlineStr">
        <is>
          <t>893354155</t>
        </is>
      </c>
    </row>
    <row r="1516">
      <c r="A1516" t="inlineStr">
        <is>
          <t>No</t>
        </is>
      </c>
      <c r="B1516" t="inlineStr">
        <is>
          <t>CUHSL</t>
        </is>
      </c>
      <c r="C1516" t="inlineStr">
        <is>
          <t>SHELVES</t>
        </is>
      </c>
      <c r="D1516" t="inlineStr">
        <is>
          <t>WY 154 T379t 1990</t>
        </is>
      </c>
      <c r="E1516" t="inlineStr">
        <is>
          <t>0                      WY 0154000T  379t        1990</t>
        </is>
      </c>
      <c r="F1516" t="inlineStr">
        <is>
          <t>Textbook of critical care nursing : diagnosis and management / Lynne Ann Thelan, Joseph Kevin Davie, Linda Diann Urden.</t>
        </is>
      </c>
      <c r="H1516" t="inlineStr">
        <is>
          <t>No</t>
        </is>
      </c>
      <c r="I1516" t="inlineStr">
        <is>
          <t>1</t>
        </is>
      </c>
      <c r="J1516" t="inlineStr">
        <is>
          <t>No</t>
        </is>
      </c>
      <c r="K1516" t="inlineStr">
        <is>
          <t>No</t>
        </is>
      </c>
      <c r="L1516" t="inlineStr">
        <is>
          <t>0</t>
        </is>
      </c>
      <c r="M1516" t="inlineStr">
        <is>
          <t>Thelan, Lynne A.</t>
        </is>
      </c>
      <c r="N1516" t="inlineStr">
        <is>
          <t>St. Louis : Mosby, c1990.</t>
        </is>
      </c>
      <c r="O1516" t="inlineStr">
        <is>
          <t>1990</t>
        </is>
      </c>
      <c r="Q1516" t="inlineStr">
        <is>
          <t>eng</t>
        </is>
      </c>
      <c r="R1516" t="inlineStr">
        <is>
          <t>xxu</t>
        </is>
      </c>
      <c r="T1516" t="inlineStr">
        <is>
          <t xml:space="preserve">WY </t>
        </is>
      </c>
      <c r="U1516" t="n">
        <v>63</v>
      </c>
      <c r="V1516" t="n">
        <v>63</v>
      </c>
      <c r="W1516" t="inlineStr">
        <is>
          <t>1997-04-14</t>
        </is>
      </c>
      <c r="X1516" t="inlineStr">
        <is>
          <t>1997-04-14</t>
        </is>
      </c>
      <c r="Y1516" t="inlineStr">
        <is>
          <t>1990-07-14</t>
        </is>
      </c>
      <c r="Z1516" t="inlineStr">
        <is>
          <t>1990-07-14</t>
        </is>
      </c>
      <c r="AA1516" t="n">
        <v>272</v>
      </c>
      <c r="AB1516" t="n">
        <v>225</v>
      </c>
      <c r="AC1516" t="n">
        <v>228</v>
      </c>
      <c r="AD1516" t="n">
        <v>2</v>
      </c>
      <c r="AE1516" t="n">
        <v>2</v>
      </c>
      <c r="AF1516" t="n">
        <v>6</v>
      </c>
      <c r="AG1516" t="n">
        <v>6</v>
      </c>
      <c r="AH1516" t="n">
        <v>3</v>
      </c>
      <c r="AI1516" t="n">
        <v>3</v>
      </c>
      <c r="AJ1516" t="n">
        <v>3</v>
      </c>
      <c r="AK1516" t="n">
        <v>3</v>
      </c>
      <c r="AL1516" t="n">
        <v>2</v>
      </c>
      <c r="AM1516" t="n">
        <v>2</v>
      </c>
      <c r="AN1516" t="n">
        <v>0</v>
      </c>
      <c r="AO1516" t="n">
        <v>0</v>
      </c>
      <c r="AP1516" t="n">
        <v>0</v>
      </c>
      <c r="AQ1516" t="n">
        <v>0</v>
      </c>
      <c r="AR1516" t="inlineStr">
        <is>
          <t>No</t>
        </is>
      </c>
      <c r="AS1516" t="inlineStr">
        <is>
          <t>Yes</t>
        </is>
      </c>
      <c r="AT1516">
        <f>HYPERLINK("http://catalog.hathitrust.org/Record/001841651","HathiTrust Record")</f>
        <v/>
      </c>
      <c r="AU1516">
        <f>HYPERLINK("https://creighton-primo.hosted.exlibrisgroup.com/primo-explore/search?tab=default_tab&amp;search_scope=EVERYTHING&amp;vid=01CRU&amp;lang=en_US&amp;offset=0&amp;query=any,contains,991001451069702656","Catalog Record")</f>
        <v/>
      </c>
      <c r="AV1516">
        <f>HYPERLINK("http://www.worldcat.org/oclc/20525543","WorldCat Record")</f>
        <v/>
      </c>
      <c r="AW1516" t="inlineStr">
        <is>
          <t>3856323695:eng</t>
        </is>
      </c>
      <c r="AX1516" t="inlineStr">
        <is>
          <t>20525543</t>
        </is>
      </c>
      <c r="AY1516" t="inlineStr">
        <is>
          <t>991001451069702656</t>
        </is>
      </c>
      <c r="AZ1516" t="inlineStr">
        <is>
          <t>991001451069702656</t>
        </is>
      </c>
      <c r="BA1516" t="inlineStr">
        <is>
          <t>2264967520002656</t>
        </is>
      </c>
      <c r="BB1516" t="inlineStr">
        <is>
          <t>BOOK</t>
        </is>
      </c>
      <c r="BD1516" t="inlineStr">
        <is>
          <t>9780801650031</t>
        </is>
      </c>
      <c r="BE1516" t="inlineStr">
        <is>
          <t>30001001882986</t>
        </is>
      </c>
      <c r="BF1516" t="inlineStr">
        <is>
          <t>893832203</t>
        </is>
      </c>
    </row>
    <row r="1517">
      <c r="A1517" t="inlineStr">
        <is>
          <t>No</t>
        </is>
      </c>
      <c r="B1517" t="inlineStr">
        <is>
          <t>CUHSL</t>
        </is>
      </c>
      <c r="C1517" t="inlineStr">
        <is>
          <t>SHELVES</t>
        </is>
      </c>
      <c r="D1517" t="inlineStr">
        <is>
          <t>WY 154 T616 1990</t>
        </is>
      </c>
      <c r="E1517" t="inlineStr">
        <is>
          <t>0                      WY 0154000T  616         1990</t>
        </is>
      </c>
      <c r="F1517" t="inlineStr">
        <is>
          <t>Tissue and organ transplantation : implications for professional nursing practice / [edited by] Susan L. Smith ; American Association of Critical-Care Nurses.</t>
        </is>
      </c>
      <c r="H1517" t="inlineStr">
        <is>
          <t>No</t>
        </is>
      </c>
      <c r="I1517" t="inlineStr">
        <is>
          <t>1</t>
        </is>
      </c>
      <c r="J1517" t="inlineStr">
        <is>
          <t>No</t>
        </is>
      </c>
      <c r="K1517" t="inlineStr">
        <is>
          <t>No</t>
        </is>
      </c>
      <c r="L1517" t="inlineStr">
        <is>
          <t>0</t>
        </is>
      </c>
      <c r="N1517" t="inlineStr">
        <is>
          <t>St. Louis : Mosby Year Book, c1990.</t>
        </is>
      </c>
      <c r="O1517" t="inlineStr">
        <is>
          <t>1990</t>
        </is>
      </c>
      <c r="Q1517" t="inlineStr">
        <is>
          <t>eng</t>
        </is>
      </c>
      <c r="R1517" t="inlineStr">
        <is>
          <t>mou</t>
        </is>
      </c>
      <c r="T1517" t="inlineStr">
        <is>
          <t xml:space="preserve">WY </t>
        </is>
      </c>
      <c r="U1517" t="n">
        <v>10</v>
      </c>
      <c r="V1517" t="n">
        <v>10</v>
      </c>
      <c r="W1517" t="inlineStr">
        <is>
          <t>1997-04-06</t>
        </is>
      </c>
      <c r="X1517" t="inlineStr">
        <is>
          <t>1997-04-06</t>
        </is>
      </c>
      <c r="Y1517" t="inlineStr">
        <is>
          <t>1990-11-20</t>
        </is>
      </c>
      <c r="Z1517" t="inlineStr">
        <is>
          <t>1990-11-20</t>
        </is>
      </c>
      <c r="AA1517" t="n">
        <v>282</v>
      </c>
      <c r="AB1517" t="n">
        <v>237</v>
      </c>
      <c r="AC1517" t="n">
        <v>244</v>
      </c>
      <c r="AD1517" t="n">
        <v>2</v>
      </c>
      <c r="AE1517" t="n">
        <v>2</v>
      </c>
      <c r="AF1517" t="n">
        <v>14</v>
      </c>
      <c r="AG1517" t="n">
        <v>14</v>
      </c>
      <c r="AH1517" t="n">
        <v>4</v>
      </c>
      <c r="AI1517" t="n">
        <v>4</v>
      </c>
      <c r="AJ1517" t="n">
        <v>4</v>
      </c>
      <c r="AK1517" t="n">
        <v>4</v>
      </c>
      <c r="AL1517" t="n">
        <v>8</v>
      </c>
      <c r="AM1517" t="n">
        <v>8</v>
      </c>
      <c r="AN1517" t="n">
        <v>1</v>
      </c>
      <c r="AO1517" t="n">
        <v>1</v>
      </c>
      <c r="AP1517" t="n">
        <v>0</v>
      </c>
      <c r="AQ1517" t="n">
        <v>0</v>
      </c>
      <c r="AR1517" t="inlineStr">
        <is>
          <t>No</t>
        </is>
      </c>
      <c r="AS1517" t="inlineStr">
        <is>
          <t>Yes</t>
        </is>
      </c>
      <c r="AT1517">
        <f>HYPERLINK("http://catalog.hathitrust.org/Record/002205800","HathiTrust Record")</f>
        <v/>
      </c>
      <c r="AU1517">
        <f>HYPERLINK("https://creighton-primo.hosted.exlibrisgroup.com/primo-explore/search?tab=default_tab&amp;search_scope=EVERYTHING&amp;vid=01CRU&amp;lang=en_US&amp;offset=0&amp;query=any,contains,991000780699702656","Catalog Record")</f>
        <v/>
      </c>
      <c r="AV1517">
        <f>HYPERLINK("http://www.worldcat.org/oclc/21410561","WorldCat Record")</f>
        <v/>
      </c>
      <c r="AW1517" t="inlineStr">
        <is>
          <t>22971069:eng</t>
        </is>
      </c>
      <c r="AX1517" t="inlineStr">
        <is>
          <t>21410561</t>
        </is>
      </c>
      <c r="AY1517" t="inlineStr">
        <is>
          <t>991000780699702656</t>
        </is>
      </c>
      <c r="AZ1517" t="inlineStr">
        <is>
          <t>991000780699702656</t>
        </is>
      </c>
      <c r="BA1517" t="inlineStr">
        <is>
          <t>2254799060002656</t>
        </is>
      </c>
      <c r="BB1517" t="inlineStr">
        <is>
          <t>BOOK</t>
        </is>
      </c>
      <c r="BD1517" t="inlineStr">
        <is>
          <t>9780801655265</t>
        </is>
      </c>
      <c r="BE1517" t="inlineStr">
        <is>
          <t>30001002064337</t>
        </is>
      </c>
      <c r="BF1517" t="inlineStr">
        <is>
          <t>893648188</t>
        </is>
      </c>
    </row>
    <row r="1518">
      <c r="A1518" t="inlineStr">
        <is>
          <t>No</t>
        </is>
      </c>
      <c r="B1518" t="inlineStr">
        <is>
          <t>CUHSL</t>
        </is>
      </c>
      <c r="C1518" t="inlineStr">
        <is>
          <t>SHELVES</t>
        </is>
      </c>
      <c r="D1518" t="inlineStr">
        <is>
          <t>WY 154.5 R813n 1983</t>
        </is>
      </c>
      <c r="E1518" t="inlineStr">
        <is>
          <t>0                      WY 0154500R  813n        1983</t>
        </is>
      </c>
      <c r="F1518" t="inlineStr">
        <is>
          <t>The nurse's atlas of dermatology / Theodore Rosen, Marilyn B. Lanning, Marcia J. Hill.</t>
        </is>
      </c>
      <c r="H1518" t="inlineStr">
        <is>
          <t>No</t>
        </is>
      </c>
      <c r="I1518" t="inlineStr">
        <is>
          <t>1</t>
        </is>
      </c>
      <c r="J1518" t="inlineStr">
        <is>
          <t>No</t>
        </is>
      </c>
      <c r="K1518" t="inlineStr">
        <is>
          <t>No</t>
        </is>
      </c>
      <c r="L1518" t="inlineStr">
        <is>
          <t>0</t>
        </is>
      </c>
      <c r="M1518" t="inlineStr">
        <is>
          <t>Rosen, Ted.</t>
        </is>
      </c>
      <c r="N1518" t="inlineStr">
        <is>
          <t>Boston : Little, Brown, c1983.</t>
        </is>
      </c>
      <c r="O1518" t="inlineStr">
        <is>
          <t>1983</t>
        </is>
      </c>
      <c r="P1518" t="inlineStr">
        <is>
          <t>First ed.</t>
        </is>
      </c>
      <c r="Q1518" t="inlineStr">
        <is>
          <t>eng</t>
        </is>
      </c>
      <c r="R1518" t="inlineStr">
        <is>
          <t>nyu</t>
        </is>
      </c>
      <c r="T1518" t="inlineStr">
        <is>
          <t xml:space="preserve">WY </t>
        </is>
      </c>
      <c r="U1518" t="n">
        <v>1</v>
      </c>
      <c r="V1518" t="n">
        <v>1</v>
      </c>
      <c r="W1518" t="inlineStr">
        <is>
          <t>1998-02-28</t>
        </is>
      </c>
      <c r="X1518" t="inlineStr">
        <is>
          <t>1998-02-28</t>
        </is>
      </c>
      <c r="Y1518" t="inlineStr">
        <is>
          <t>1987-12-22</t>
        </is>
      </c>
      <c r="Z1518" t="inlineStr">
        <is>
          <t>1987-12-22</t>
        </is>
      </c>
      <c r="AA1518" t="n">
        <v>155</v>
      </c>
      <c r="AB1518" t="n">
        <v>126</v>
      </c>
      <c r="AC1518" t="n">
        <v>128</v>
      </c>
      <c r="AD1518" t="n">
        <v>1</v>
      </c>
      <c r="AE1518" t="n">
        <v>1</v>
      </c>
      <c r="AF1518" t="n">
        <v>2</v>
      </c>
      <c r="AG1518" t="n">
        <v>2</v>
      </c>
      <c r="AH1518" t="n">
        <v>1</v>
      </c>
      <c r="AI1518" t="n">
        <v>1</v>
      </c>
      <c r="AJ1518" t="n">
        <v>0</v>
      </c>
      <c r="AK1518" t="n">
        <v>0</v>
      </c>
      <c r="AL1518" t="n">
        <v>1</v>
      </c>
      <c r="AM1518" t="n">
        <v>1</v>
      </c>
      <c r="AN1518" t="n">
        <v>0</v>
      </c>
      <c r="AO1518" t="n">
        <v>0</v>
      </c>
      <c r="AP1518" t="n">
        <v>0</v>
      </c>
      <c r="AQ1518" t="n">
        <v>0</v>
      </c>
      <c r="AR1518" t="inlineStr">
        <is>
          <t>No</t>
        </is>
      </c>
      <c r="AS1518" t="inlineStr">
        <is>
          <t>Yes</t>
        </is>
      </c>
      <c r="AT1518">
        <f>HYPERLINK("http://catalog.hathitrust.org/Record/000374932","HathiTrust Record")</f>
        <v/>
      </c>
      <c r="AU1518">
        <f>HYPERLINK("https://creighton-primo.hosted.exlibrisgroup.com/primo-explore/search?tab=default_tab&amp;search_scope=EVERYTHING&amp;vid=01CRU&amp;lang=en_US&amp;offset=0&amp;query=any,contains,991000866799702656","Catalog Record")</f>
        <v/>
      </c>
      <c r="AV1518">
        <f>HYPERLINK("http://www.worldcat.org/oclc/10283987","WorldCat Record")</f>
        <v/>
      </c>
      <c r="AW1518" t="inlineStr">
        <is>
          <t>433417073:eng</t>
        </is>
      </c>
      <c r="AX1518" t="inlineStr">
        <is>
          <t>10283987</t>
        </is>
      </c>
      <c r="AY1518" t="inlineStr">
        <is>
          <t>991000866799702656</t>
        </is>
      </c>
      <c r="AZ1518" t="inlineStr">
        <is>
          <t>991000866799702656</t>
        </is>
      </c>
      <c r="BA1518" t="inlineStr">
        <is>
          <t>2257167780002656</t>
        </is>
      </c>
      <c r="BB1518" t="inlineStr">
        <is>
          <t>BOOK</t>
        </is>
      </c>
      <c r="BD1518" t="inlineStr">
        <is>
          <t>9780316757058</t>
        </is>
      </c>
      <c r="BE1518" t="inlineStr">
        <is>
          <t>30001000144818</t>
        </is>
      </c>
      <c r="BF1518" t="inlineStr">
        <is>
          <t>893133920</t>
        </is>
      </c>
    </row>
    <row r="1519">
      <c r="A1519" t="inlineStr">
        <is>
          <t>No</t>
        </is>
      </c>
      <c r="B1519" t="inlineStr">
        <is>
          <t>CUHSL</t>
        </is>
      </c>
      <c r="C1519" t="inlineStr">
        <is>
          <t>SHELVES</t>
        </is>
      </c>
      <c r="D1519" t="inlineStr">
        <is>
          <t>WY 155 E567 1988</t>
        </is>
      </c>
      <c r="E1519" t="inlineStr">
        <is>
          <t>0                      WY 0155000E  567         1988</t>
        </is>
      </c>
      <c r="F1519" t="inlineStr">
        <is>
          <t>Endocrine problems.</t>
        </is>
      </c>
      <c r="H1519" t="inlineStr">
        <is>
          <t>No</t>
        </is>
      </c>
      <c r="I1519" t="inlineStr">
        <is>
          <t>1</t>
        </is>
      </c>
      <c r="J1519" t="inlineStr">
        <is>
          <t>No</t>
        </is>
      </c>
      <c r="K1519" t="inlineStr">
        <is>
          <t>No</t>
        </is>
      </c>
      <c r="L1519" t="inlineStr">
        <is>
          <t>0</t>
        </is>
      </c>
      <c r="N1519" t="inlineStr">
        <is>
          <t>Springhouse, Pa. : Springhouse Corp., c1988.</t>
        </is>
      </c>
      <c r="O1519" t="inlineStr">
        <is>
          <t>1988</t>
        </is>
      </c>
      <c r="Q1519" t="inlineStr">
        <is>
          <t>eng</t>
        </is>
      </c>
      <c r="R1519" t="inlineStr">
        <is>
          <t>xxu</t>
        </is>
      </c>
      <c r="S1519" t="inlineStr">
        <is>
          <t>NurseReview</t>
        </is>
      </c>
      <c r="T1519" t="inlineStr">
        <is>
          <t xml:space="preserve">WY </t>
        </is>
      </c>
      <c r="U1519" t="n">
        <v>5</v>
      </c>
      <c r="V1519" t="n">
        <v>5</v>
      </c>
      <c r="W1519" t="inlineStr">
        <is>
          <t>1994-03-16</t>
        </is>
      </c>
      <c r="X1519" t="inlineStr">
        <is>
          <t>1994-03-16</t>
        </is>
      </c>
      <c r="Y1519" t="inlineStr">
        <is>
          <t>1989-06-23</t>
        </is>
      </c>
      <c r="Z1519" t="inlineStr">
        <is>
          <t>1989-06-23</t>
        </is>
      </c>
      <c r="AA1519" t="n">
        <v>69</v>
      </c>
      <c r="AB1519" t="n">
        <v>61</v>
      </c>
      <c r="AC1519" t="n">
        <v>70</v>
      </c>
      <c r="AD1519" t="n">
        <v>1</v>
      </c>
      <c r="AE1519" t="n">
        <v>1</v>
      </c>
      <c r="AF1519" t="n">
        <v>1</v>
      </c>
      <c r="AG1519" t="n">
        <v>1</v>
      </c>
      <c r="AH1519" t="n">
        <v>1</v>
      </c>
      <c r="AI1519" t="n">
        <v>1</v>
      </c>
      <c r="AJ1519" t="n">
        <v>0</v>
      </c>
      <c r="AK1519" t="n">
        <v>0</v>
      </c>
      <c r="AL1519" t="n">
        <v>1</v>
      </c>
      <c r="AM1519" t="n">
        <v>1</v>
      </c>
      <c r="AN1519" t="n">
        <v>0</v>
      </c>
      <c r="AO1519" t="n">
        <v>0</v>
      </c>
      <c r="AP1519" t="n">
        <v>0</v>
      </c>
      <c r="AQ1519" t="n">
        <v>0</v>
      </c>
      <c r="AR1519" t="inlineStr">
        <is>
          <t>No</t>
        </is>
      </c>
      <c r="AS1519" t="inlineStr">
        <is>
          <t>No</t>
        </is>
      </c>
      <c r="AU1519">
        <f>HYPERLINK("https://creighton-primo.hosted.exlibrisgroup.com/primo-explore/search?tab=default_tab&amp;search_scope=EVERYTHING&amp;vid=01CRU&amp;lang=en_US&amp;offset=0&amp;query=any,contains,991001308309702656","Catalog Record")</f>
        <v/>
      </c>
      <c r="AV1519">
        <f>HYPERLINK("http://www.worldcat.org/oclc/14358117","WorldCat Record")</f>
        <v/>
      </c>
      <c r="AW1519" t="inlineStr">
        <is>
          <t>33538858:eng</t>
        </is>
      </c>
      <c r="AX1519" t="inlineStr">
        <is>
          <t>14358117</t>
        </is>
      </c>
      <c r="AY1519" t="inlineStr">
        <is>
          <t>991001308309702656</t>
        </is>
      </c>
      <c r="AZ1519" t="inlineStr">
        <is>
          <t>991001308309702656</t>
        </is>
      </c>
      <c r="BA1519" t="inlineStr">
        <is>
          <t>2255659670002656</t>
        </is>
      </c>
      <c r="BB1519" t="inlineStr">
        <is>
          <t>BOOK</t>
        </is>
      </c>
      <c r="BD1519" t="inlineStr">
        <is>
          <t>9780874341836</t>
        </is>
      </c>
      <c r="BE1519" t="inlineStr">
        <is>
          <t>30001001750076</t>
        </is>
      </c>
      <c r="BF1519" t="inlineStr">
        <is>
          <t>893740983</t>
        </is>
      </c>
    </row>
    <row r="1520">
      <c r="A1520" t="inlineStr">
        <is>
          <t>No</t>
        </is>
      </c>
      <c r="B1520" t="inlineStr">
        <is>
          <t>CUHSL</t>
        </is>
      </c>
      <c r="C1520" t="inlineStr">
        <is>
          <t>SHELVES</t>
        </is>
      </c>
      <c r="D1520" t="inlineStr">
        <is>
          <t>WY 155 N974 1982</t>
        </is>
      </c>
      <c r="E1520" t="inlineStr">
        <is>
          <t>0                      WY 0155000N  974         1982</t>
        </is>
      </c>
      <c r="F1520" t="inlineStr">
        <is>
          <t>Nursing management of diabetes mellitus / [edited by] Diana W. Guthrie, Richard A. Guthrie.</t>
        </is>
      </c>
      <c r="H1520" t="inlineStr">
        <is>
          <t>No</t>
        </is>
      </c>
      <c r="I1520" t="inlineStr">
        <is>
          <t>1</t>
        </is>
      </c>
      <c r="J1520" t="inlineStr">
        <is>
          <t>No</t>
        </is>
      </c>
      <c r="K1520" t="inlineStr">
        <is>
          <t>No</t>
        </is>
      </c>
      <c r="L1520" t="inlineStr">
        <is>
          <t>0</t>
        </is>
      </c>
      <c r="N1520" t="inlineStr">
        <is>
          <t>St. Louis : Mosby, c1982.</t>
        </is>
      </c>
      <c r="O1520" t="inlineStr">
        <is>
          <t>1982</t>
        </is>
      </c>
      <c r="P1520" t="inlineStr">
        <is>
          <t>2nd ed.</t>
        </is>
      </c>
      <c r="Q1520" t="inlineStr">
        <is>
          <t>eng</t>
        </is>
      </c>
      <c r="R1520" t="inlineStr">
        <is>
          <t>xxu</t>
        </is>
      </c>
      <c r="T1520" t="inlineStr">
        <is>
          <t xml:space="preserve">WY </t>
        </is>
      </c>
      <c r="U1520" t="n">
        <v>8</v>
      </c>
      <c r="V1520" t="n">
        <v>8</v>
      </c>
      <c r="W1520" t="inlineStr">
        <is>
          <t>1995-11-06</t>
        </is>
      </c>
      <c r="X1520" t="inlineStr">
        <is>
          <t>1995-11-06</t>
        </is>
      </c>
      <c r="Y1520" t="inlineStr">
        <is>
          <t>1987-10-23</t>
        </is>
      </c>
      <c r="Z1520" t="inlineStr">
        <is>
          <t>1987-10-23</t>
        </is>
      </c>
      <c r="AA1520" t="n">
        <v>220</v>
      </c>
      <c r="AB1520" t="n">
        <v>179</v>
      </c>
      <c r="AC1520" t="n">
        <v>1018</v>
      </c>
      <c r="AD1520" t="n">
        <v>2</v>
      </c>
      <c r="AE1520" t="n">
        <v>9</v>
      </c>
      <c r="AF1520" t="n">
        <v>6</v>
      </c>
      <c r="AG1520" t="n">
        <v>42</v>
      </c>
      <c r="AH1520" t="n">
        <v>2</v>
      </c>
      <c r="AI1520" t="n">
        <v>18</v>
      </c>
      <c r="AJ1520" t="n">
        <v>1</v>
      </c>
      <c r="AK1520" t="n">
        <v>9</v>
      </c>
      <c r="AL1520" t="n">
        <v>4</v>
      </c>
      <c r="AM1520" t="n">
        <v>16</v>
      </c>
      <c r="AN1520" t="n">
        <v>1</v>
      </c>
      <c r="AO1520" t="n">
        <v>7</v>
      </c>
      <c r="AP1520" t="n">
        <v>0</v>
      </c>
      <c r="AQ1520" t="n">
        <v>1</v>
      </c>
      <c r="AR1520" t="inlineStr">
        <is>
          <t>No</t>
        </is>
      </c>
      <c r="AS1520" t="inlineStr">
        <is>
          <t>Yes</t>
        </is>
      </c>
      <c r="AT1520">
        <f>HYPERLINK("http://catalog.hathitrust.org/Record/000148184","HathiTrust Record")</f>
        <v/>
      </c>
      <c r="AU1520">
        <f>HYPERLINK("https://creighton-primo.hosted.exlibrisgroup.com/primo-explore/search?tab=default_tab&amp;search_scope=EVERYTHING&amp;vid=01CRU&amp;lang=en_US&amp;offset=0&amp;query=any,contains,991000733909702656","Catalog Record")</f>
        <v/>
      </c>
      <c r="AV1520">
        <f>HYPERLINK("http://www.worldcat.org/oclc/7773975","WorldCat Record")</f>
        <v/>
      </c>
      <c r="AW1520" t="inlineStr">
        <is>
          <t>364456225:eng</t>
        </is>
      </c>
      <c r="AX1520" t="inlineStr">
        <is>
          <t>7773975</t>
        </is>
      </c>
      <c r="AY1520" t="inlineStr">
        <is>
          <t>991000733909702656</t>
        </is>
      </c>
      <c r="AZ1520" t="inlineStr">
        <is>
          <t>991000733909702656</t>
        </is>
      </c>
      <c r="BA1520" t="inlineStr">
        <is>
          <t>2272680140002656</t>
        </is>
      </c>
      <c r="BB1520" t="inlineStr">
        <is>
          <t>BOOK</t>
        </is>
      </c>
      <c r="BD1520" t="inlineStr">
        <is>
          <t>9780801619960</t>
        </is>
      </c>
      <c r="BE1520" t="inlineStr">
        <is>
          <t>30001000040982</t>
        </is>
      </c>
      <c r="BF1520" t="inlineStr">
        <is>
          <t>893459765</t>
        </is>
      </c>
    </row>
    <row r="1521">
      <c r="A1521" t="inlineStr">
        <is>
          <t>No</t>
        </is>
      </c>
      <c r="B1521" t="inlineStr">
        <is>
          <t>CUHSL</t>
        </is>
      </c>
      <c r="C1521" t="inlineStr">
        <is>
          <t>SHELVES</t>
        </is>
      </c>
      <c r="D1521" t="inlineStr">
        <is>
          <t>WY 156 A189 1972</t>
        </is>
      </c>
      <c r="E1521" t="inlineStr">
        <is>
          <t>0                      WY 0156000A  189         1972</t>
        </is>
      </c>
      <c r="F1521" t="inlineStr">
        <is>
          <t>Acute coronary care / Gerald H. Whipple [et. al.].</t>
        </is>
      </c>
      <c r="H1521" t="inlineStr">
        <is>
          <t>No</t>
        </is>
      </c>
      <c r="I1521" t="inlineStr">
        <is>
          <t>1</t>
        </is>
      </c>
      <c r="J1521" t="inlineStr">
        <is>
          <t>No</t>
        </is>
      </c>
      <c r="K1521" t="inlineStr">
        <is>
          <t>No</t>
        </is>
      </c>
      <c r="L1521" t="inlineStr">
        <is>
          <t>0</t>
        </is>
      </c>
      <c r="N1521" t="inlineStr">
        <is>
          <t>-- Boston : Little, Brown, 1972.</t>
        </is>
      </c>
      <c r="O1521" t="inlineStr">
        <is>
          <t>1972</t>
        </is>
      </c>
      <c r="Q1521" t="inlineStr">
        <is>
          <t>eng</t>
        </is>
      </c>
      <c r="R1521" t="inlineStr">
        <is>
          <t>mau</t>
        </is>
      </c>
      <c r="T1521" t="inlineStr">
        <is>
          <t xml:space="preserve">WY </t>
        </is>
      </c>
      <c r="U1521" t="n">
        <v>2</v>
      </c>
      <c r="V1521" t="n">
        <v>2</v>
      </c>
      <c r="W1521" t="inlineStr">
        <is>
          <t>1999-10-09</t>
        </is>
      </c>
      <c r="X1521" t="inlineStr">
        <is>
          <t>1999-10-09</t>
        </is>
      </c>
      <c r="Y1521" t="inlineStr">
        <is>
          <t>1987-12-22</t>
        </is>
      </c>
      <c r="Z1521" t="inlineStr">
        <is>
          <t>1987-12-22</t>
        </is>
      </c>
      <c r="AA1521" t="n">
        <v>163</v>
      </c>
      <c r="AB1521" t="n">
        <v>135</v>
      </c>
      <c r="AC1521" t="n">
        <v>137</v>
      </c>
      <c r="AD1521" t="n">
        <v>1</v>
      </c>
      <c r="AE1521" t="n">
        <v>1</v>
      </c>
      <c r="AF1521" t="n">
        <v>4</v>
      </c>
      <c r="AG1521" t="n">
        <v>4</v>
      </c>
      <c r="AH1521" t="n">
        <v>0</v>
      </c>
      <c r="AI1521" t="n">
        <v>0</v>
      </c>
      <c r="AJ1521" t="n">
        <v>1</v>
      </c>
      <c r="AK1521" t="n">
        <v>1</v>
      </c>
      <c r="AL1521" t="n">
        <v>3</v>
      </c>
      <c r="AM1521" t="n">
        <v>3</v>
      </c>
      <c r="AN1521" t="n">
        <v>0</v>
      </c>
      <c r="AO1521" t="n">
        <v>0</v>
      </c>
      <c r="AP1521" t="n">
        <v>0</v>
      </c>
      <c r="AQ1521" t="n">
        <v>0</v>
      </c>
      <c r="AR1521" t="inlineStr">
        <is>
          <t>No</t>
        </is>
      </c>
      <c r="AS1521" t="inlineStr">
        <is>
          <t>Yes</t>
        </is>
      </c>
      <c r="AT1521">
        <f>HYPERLINK("http://catalog.hathitrust.org/Record/001566198","HathiTrust Record")</f>
        <v/>
      </c>
      <c r="AU1521">
        <f>HYPERLINK("https://creighton-primo.hosted.exlibrisgroup.com/primo-explore/search?tab=default_tab&amp;search_scope=EVERYTHING&amp;vid=01CRU&amp;lang=en_US&amp;offset=0&amp;query=any,contains,991000866959702656","Catalog Record")</f>
        <v/>
      </c>
      <c r="AV1521">
        <f>HYPERLINK("http://www.worldcat.org/oclc/286949","WorldCat Record")</f>
        <v/>
      </c>
      <c r="AW1521" t="inlineStr">
        <is>
          <t>53956599:eng</t>
        </is>
      </c>
      <c r="AX1521" t="inlineStr">
        <is>
          <t>286949</t>
        </is>
      </c>
      <c r="AY1521" t="inlineStr">
        <is>
          <t>991000866959702656</t>
        </is>
      </c>
      <c r="AZ1521" t="inlineStr">
        <is>
          <t>991000866959702656</t>
        </is>
      </c>
      <c r="BA1521" t="inlineStr">
        <is>
          <t>2263787430002656</t>
        </is>
      </c>
      <c r="BB1521" t="inlineStr">
        <is>
          <t>BOOK</t>
        </is>
      </c>
      <c r="BE1521" t="inlineStr">
        <is>
          <t>30001000144883</t>
        </is>
      </c>
      <c r="BF1521" t="inlineStr">
        <is>
          <t>893363424</t>
        </is>
      </c>
    </row>
    <row r="1522">
      <c r="A1522" t="inlineStr">
        <is>
          <t>No</t>
        </is>
      </c>
      <c r="B1522" t="inlineStr">
        <is>
          <t>CUHSL</t>
        </is>
      </c>
      <c r="C1522" t="inlineStr">
        <is>
          <t>SHELVES</t>
        </is>
      </c>
      <c r="D1522" t="inlineStr">
        <is>
          <t>WY 156 A849n 1982</t>
        </is>
      </c>
      <c r="E1522" t="inlineStr">
        <is>
          <t>0                      WY 0156000A  849n        1982</t>
        </is>
      </c>
      <c r="F1522" t="inlineStr">
        <is>
          <t>Nursing care of the child with cancer / Association of Pediatric Oncology Nurses ; edited by Dianne Fochtman, Genevieve V. Foley.</t>
        </is>
      </c>
      <c r="H1522" t="inlineStr">
        <is>
          <t>No</t>
        </is>
      </c>
      <c r="I1522" t="inlineStr">
        <is>
          <t>1</t>
        </is>
      </c>
      <c r="J1522" t="inlineStr">
        <is>
          <t>No</t>
        </is>
      </c>
      <c r="K1522" t="inlineStr">
        <is>
          <t>No</t>
        </is>
      </c>
      <c r="L1522" t="inlineStr">
        <is>
          <t>0</t>
        </is>
      </c>
      <c r="M1522" t="inlineStr">
        <is>
          <t>Association of Pediatric Oncology Nurses (U.S.)</t>
        </is>
      </c>
      <c r="N1522" t="inlineStr">
        <is>
          <t>Boston : Little, Brown, c1982.</t>
        </is>
      </c>
      <c r="O1522" t="inlineStr">
        <is>
          <t>1982</t>
        </is>
      </c>
      <c r="P1522" t="inlineStr">
        <is>
          <t>1st ed.</t>
        </is>
      </c>
      <c r="Q1522" t="inlineStr">
        <is>
          <t>eng</t>
        </is>
      </c>
      <c r="R1522" t="inlineStr">
        <is>
          <t>mau</t>
        </is>
      </c>
      <c r="T1522" t="inlineStr">
        <is>
          <t xml:space="preserve">WY </t>
        </is>
      </c>
      <c r="U1522" t="n">
        <v>2</v>
      </c>
      <c r="V1522" t="n">
        <v>2</v>
      </c>
      <c r="W1522" t="inlineStr">
        <is>
          <t>2004-03-22</t>
        </is>
      </c>
      <c r="X1522" t="inlineStr">
        <is>
          <t>2004-03-22</t>
        </is>
      </c>
      <c r="Y1522" t="inlineStr">
        <is>
          <t>1987-10-23</t>
        </is>
      </c>
      <c r="Z1522" t="inlineStr">
        <is>
          <t>1987-10-23</t>
        </is>
      </c>
      <c r="AA1522" t="n">
        <v>196</v>
      </c>
      <c r="AB1522" t="n">
        <v>163</v>
      </c>
      <c r="AC1522" t="n">
        <v>345</v>
      </c>
      <c r="AD1522" t="n">
        <v>2</v>
      </c>
      <c r="AE1522" t="n">
        <v>4</v>
      </c>
      <c r="AF1522" t="n">
        <v>7</v>
      </c>
      <c r="AG1522" t="n">
        <v>18</v>
      </c>
      <c r="AH1522" t="n">
        <v>1</v>
      </c>
      <c r="AI1522" t="n">
        <v>7</v>
      </c>
      <c r="AJ1522" t="n">
        <v>2</v>
      </c>
      <c r="AK1522" t="n">
        <v>4</v>
      </c>
      <c r="AL1522" t="n">
        <v>5</v>
      </c>
      <c r="AM1522" t="n">
        <v>10</v>
      </c>
      <c r="AN1522" t="n">
        <v>1</v>
      </c>
      <c r="AO1522" t="n">
        <v>2</v>
      </c>
      <c r="AP1522" t="n">
        <v>0</v>
      </c>
      <c r="AQ1522" t="n">
        <v>0</v>
      </c>
      <c r="AR1522" t="inlineStr">
        <is>
          <t>No</t>
        </is>
      </c>
      <c r="AS1522" t="inlineStr">
        <is>
          <t>Yes</t>
        </is>
      </c>
      <c r="AT1522">
        <f>HYPERLINK("http://catalog.hathitrust.org/Record/000778312","HathiTrust Record")</f>
        <v/>
      </c>
      <c r="AU1522">
        <f>HYPERLINK("https://creighton-primo.hosted.exlibrisgroup.com/primo-explore/search?tab=default_tab&amp;search_scope=EVERYTHING&amp;vid=01CRU&amp;lang=en_US&amp;offset=0&amp;query=any,contains,991000733839702656","Catalog Record")</f>
        <v/>
      </c>
      <c r="AV1522">
        <f>HYPERLINK("http://www.worldcat.org/oclc/10548423","WorldCat Record")</f>
        <v/>
      </c>
      <c r="AW1522" t="inlineStr">
        <is>
          <t>355432406:eng</t>
        </is>
      </c>
      <c r="AX1522" t="inlineStr">
        <is>
          <t>10548423</t>
        </is>
      </c>
      <c r="AY1522" t="inlineStr">
        <is>
          <t>991000733839702656</t>
        </is>
      </c>
      <c r="AZ1522" t="inlineStr">
        <is>
          <t>991000733839702656</t>
        </is>
      </c>
      <c r="BA1522" t="inlineStr">
        <is>
          <t>2256930420002656</t>
        </is>
      </c>
      <c r="BB1522" t="inlineStr">
        <is>
          <t>BOOK</t>
        </is>
      </c>
      <c r="BD1522" t="inlineStr">
        <is>
          <t>9780316048842</t>
        </is>
      </c>
      <c r="BE1522" t="inlineStr">
        <is>
          <t>30001000040966</t>
        </is>
      </c>
      <c r="BF1522" t="inlineStr">
        <is>
          <t>893731008</t>
        </is>
      </c>
    </row>
    <row r="1523">
      <c r="A1523" t="inlineStr">
        <is>
          <t>No</t>
        </is>
      </c>
      <c r="B1523" t="inlineStr">
        <is>
          <t>CUHSL</t>
        </is>
      </c>
      <c r="C1523" t="inlineStr">
        <is>
          <t>SHELVES</t>
        </is>
      </c>
      <c r="D1523" t="inlineStr">
        <is>
          <t>WY 156 B163c 1991</t>
        </is>
      </c>
      <c r="E1523" t="inlineStr">
        <is>
          <t>0                      WY 0156000B  163c        1991</t>
        </is>
      </c>
      <c r="F1523" t="inlineStr">
        <is>
          <t>Cancer nursing : a comprehensive textbook / Susan B. Baird, Ruth McCorkle, Marcia Grant.</t>
        </is>
      </c>
      <c r="H1523" t="inlineStr">
        <is>
          <t>No</t>
        </is>
      </c>
      <c r="I1523" t="inlineStr">
        <is>
          <t>1</t>
        </is>
      </c>
      <c r="J1523" t="inlineStr">
        <is>
          <t>No</t>
        </is>
      </c>
      <c r="K1523" t="inlineStr">
        <is>
          <t>No</t>
        </is>
      </c>
      <c r="L1523" t="inlineStr">
        <is>
          <t>0</t>
        </is>
      </c>
      <c r="M1523" t="inlineStr">
        <is>
          <t>Baird, Susan B.</t>
        </is>
      </c>
      <c r="N1523" t="inlineStr">
        <is>
          <t>Philadelphia : Saunders, c1991.</t>
        </is>
      </c>
      <c r="O1523" t="inlineStr">
        <is>
          <t>1991</t>
        </is>
      </c>
      <c r="Q1523" t="inlineStr">
        <is>
          <t>eng</t>
        </is>
      </c>
      <c r="R1523" t="inlineStr">
        <is>
          <t>pau</t>
        </is>
      </c>
      <c r="T1523" t="inlineStr">
        <is>
          <t xml:space="preserve">WY </t>
        </is>
      </c>
      <c r="U1523" t="n">
        <v>26</v>
      </c>
      <c r="V1523" t="n">
        <v>26</v>
      </c>
      <c r="W1523" t="inlineStr">
        <is>
          <t>1998-04-17</t>
        </is>
      </c>
      <c r="X1523" t="inlineStr">
        <is>
          <t>1998-04-17</t>
        </is>
      </c>
      <c r="Y1523" t="inlineStr">
        <is>
          <t>1991-09-18</t>
        </is>
      </c>
      <c r="Z1523" t="inlineStr">
        <is>
          <t>1991-09-18</t>
        </is>
      </c>
      <c r="AA1523" t="n">
        <v>277</v>
      </c>
      <c r="AB1523" t="n">
        <v>218</v>
      </c>
      <c r="AC1523" t="n">
        <v>325</v>
      </c>
      <c r="AD1523" t="n">
        <v>1</v>
      </c>
      <c r="AE1523" t="n">
        <v>2</v>
      </c>
      <c r="AF1523" t="n">
        <v>7</v>
      </c>
      <c r="AG1523" t="n">
        <v>11</v>
      </c>
      <c r="AH1523" t="n">
        <v>3</v>
      </c>
      <c r="AI1523" t="n">
        <v>4</v>
      </c>
      <c r="AJ1523" t="n">
        <v>2</v>
      </c>
      <c r="AK1523" t="n">
        <v>2</v>
      </c>
      <c r="AL1523" t="n">
        <v>6</v>
      </c>
      <c r="AM1523" t="n">
        <v>9</v>
      </c>
      <c r="AN1523" t="n">
        <v>0</v>
      </c>
      <c r="AO1523" t="n">
        <v>0</v>
      </c>
      <c r="AP1523" t="n">
        <v>0</v>
      </c>
      <c r="AQ1523" t="n">
        <v>0</v>
      </c>
      <c r="AR1523" t="inlineStr">
        <is>
          <t>No</t>
        </is>
      </c>
      <c r="AS1523" t="inlineStr">
        <is>
          <t>No</t>
        </is>
      </c>
      <c r="AU1523">
        <f>HYPERLINK("https://creighton-primo.hosted.exlibrisgroup.com/primo-explore/search?tab=default_tab&amp;search_scope=EVERYTHING&amp;vid=01CRU&amp;lang=en_US&amp;offset=0&amp;query=any,contains,991001016419702656","Catalog Record")</f>
        <v/>
      </c>
      <c r="AV1523">
        <f>HYPERLINK("http://www.worldcat.org/oclc/22705253","WorldCat Record")</f>
        <v/>
      </c>
      <c r="AW1523" t="inlineStr">
        <is>
          <t>836732353:eng</t>
        </is>
      </c>
      <c r="AX1523" t="inlineStr">
        <is>
          <t>22705253</t>
        </is>
      </c>
      <c r="AY1523" t="inlineStr">
        <is>
          <t>991001016419702656</t>
        </is>
      </c>
      <c r="AZ1523" t="inlineStr">
        <is>
          <t>991001016419702656</t>
        </is>
      </c>
      <c r="BA1523" t="inlineStr">
        <is>
          <t>2257671200002656</t>
        </is>
      </c>
      <c r="BB1523" t="inlineStr">
        <is>
          <t>BOOK</t>
        </is>
      </c>
      <c r="BD1523" t="inlineStr">
        <is>
          <t>9780721626987</t>
        </is>
      </c>
      <c r="BE1523" t="inlineStr">
        <is>
          <t>30001002240747</t>
        </is>
      </c>
      <c r="BF1523" t="inlineStr">
        <is>
          <t>893816036</t>
        </is>
      </c>
    </row>
    <row r="1524">
      <c r="A1524" t="inlineStr">
        <is>
          <t>No</t>
        </is>
      </c>
      <c r="B1524" t="inlineStr">
        <is>
          <t>CUHSL</t>
        </is>
      </c>
      <c r="C1524" t="inlineStr">
        <is>
          <t>SHELVES</t>
        </is>
      </c>
      <c r="D1524" t="inlineStr">
        <is>
          <t>WY 156 B736e 1976</t>
        </is>
      </c>
      <c r="E1524" t="inlineStr">
        <is>
          <t>0                      WY 0156000B  736e        1976</t>
        </is>
      </c>
      <c r="F1524" t="inlineStr">
        <is>
          <t>Elements of rehabilitation in nursing : an introduction / Rose Marie Boroch.</t>
        </is>
      </c>
      <c r="H1524" t="inlineStr">
        <is>
          <t>No</t>
        </is>
      </c>
      <c r="I1524" t="inlineStr">
        <is>
          <t>1</t>
        </is>
      </c>
      <c r="J1524" t="inlineStr">
        <is>
          <t>No</t>
        </is>
      </c>
      <c r="K1524" t="inlineStr">
        <is>
          <t>No</t>
        </is>
      </c>
      <c r="L1524" t="inlineStr">
        <is>
          <t>0</t>
        </is>
      </c>
      <c r="M1524" t="inlineStr">
        <is>
          <t>Boroch, Rose Marie, 1941-</t>
        </is>
      </c>
      <c r="N1524" t="inlineStr">
        <is>
          <t>Saint Louis : Mosby, 1976.</t>
        </is>
      </c>
      <c r="O1524" t="inlineStr">
        <is>
          <t>1976</t>
        </is>
      </c>
      <c r="Q1524" t="inlineStr">
        <is>
          <t>eng</t>
        </is>
      </c>
      <c r="R1524" t="inlineStr">
        <is>
          <t>mou</t>
        </is>
      </c>
      <c r="T1524" t="inlineStr">
        <is>
          <t xml:space="preserve">WY </t>
        </is>
      </c>
      <c r="U1524" t="n">
        <v>2</v>
      </c>
      <c r="V1524" t="n">
        <v>2</v>
      </c>
      <c r="W1524" t="inlineStr">
        <is>
          <t>1989-11-20</t>
        </is>
      </c>
      <c r="X1524" t="inlineStr">
        <is>
          <t>1989-11-20</t>
        </is>
      </c>
      <c r="Y1524" t="inlineStr">
        <is>
          <t>1988-01-20</t>
        </is>
      </c>
      <c r="Z1524" t="inlineStr">
        <is>
          <t>1988-01-20</t>
        </is>
      </c>
      <c r="AA1524" t="n">
        <v>194</v>
      </c>
      <c r="AB1524" t="n">
        <v>141</v>
      </c>
      <c r="AC1524" t="n">
        <v>143</v>
      </c>
      <c r="AD1524" t="n">
        <v>2</v>
      </c>
      <c r="AE1524" t="n">
        <v>2</v>
      </c>
      <c r="AF1524" t="n">
        <v>4</v>
      </c>
      <c r="AG1524" t="n">
        <v>4</v>
      </c>
      <c r="AH1524" t="n">
        <v>0</v>
      </c>
      <c r="AI1524" t="n">
        <v>0</v>
      </c>
      <c r="AJ1524" t="n">
        <v>0</v>
      </c>
      <c r="AK1524" t="n">
        <v>0</v>
      </c>
      <c r="AL1524" t="n">
        <v>3</v>
      </c>
      <c r="AM1524" t="n">
        <v>3</v>
      </c>
      <c r="AN1524" t="n">
        <v>1</v>
      </c>
      <c r="AO1524" t="n">
        <v>1</v>
      </c>
      <c r="AP1524" t="n">
        <v>0</v>
      </c>
      <c r="AQ1524" t="n">
        <v>0</v>
      </c>
      <c r="AR1524" t="inlineStr">
        <is>
          <t>No</t>
        </is>
      </c>
      <c r="AS1524" t="inlineStr">
        <is>
          <t>Yes</t>
        </is>
      </c>
      <c r="AT1524">
        <f>HYPERLINK("http://catalog.hathitrust.org/Record/000700917","HathiTrust Record")</f>
        <v/>
      </c>
      <c r="AU1524">
        <f>HYPERLINK("https://creighton-primo.hosted.exlibrisgroup.com/primo-explore/search?tab=default_tab&amp;search_scope=EVERYTHING&amp;vid=01CRU&amp;lang=en_US&amp;offset=0&amp;query=any,contains,991000867079702656","Catalog Record")</f>
        <v/>
      </c>
      <c r="AV1524">
        <f>HYPERLINK("http://www.worldcat.org/oclc/2072806","WorldCat Record")</f>
        <v/>
      </c>
      <c r="AW1524" t="inlineStr">
        <is>
          <t>335618942:eng</t>
        </is>
      </c>
      <c r="AX1524" t="inlineStr">
        <is>
          <t>2072806</t>
        </is>
      </c>
      <c r="AY1524" t="inlineStr">
        <is>
          <t>991000867079702656</t>
        </is>
      </c>
      <c r="AZ1524" t="inlineStr">
        <is>
          <t>991000867079702656</t>
        </is>
      </c>
      <c r="BA1524" t="inlineStr">
        <is>
          <t>2254766750002656</t>
        </is>
      </c>
      <c r="BB1524" t="inlineStr">
        <is>
          <t>BOOK</t>
        </is>
      </c>
      <c r="BD1524" t="inlineStr">
        <is>
          <t>9780801614255</t>
        </is>
      </c>
      <c r="BE1524" t="inlineStr">
        <is>
          <t>30001000145005</t>
        </is>
      </c>
      <c r="BF1524" t="inlineStr">
        <is>
          <t>893450568</t>
        </is>
      </c>
    </row>
    <row r="1525">
      <c r="A1525" t="inlineStr">
        <is>
          <t>No</t>
        </is>
      </c>
      <c r="B1525" t="inlineStr">
        <is>
          <t>CUHSL</t>
        </is>
      </c>
      <c r="C1525" t="inlineStr">
        <is>
          <t>SHELVES</t>
        </is>
      </c>
      <c r="D1525" t="inlineStr">
        <is>
          <t>WY 156 C213 1991</t>
        </is>
      </c>
      <c r="E1525" t="inlineStr">
        <is>
          <t>0                      WY 0156000C  213         1991</t>
        </is>
      </c>
      <c r="F1525" t="inlineStr">
        <is>
          <t>Cancer chemotherapy : a nursing process approach / Margaret Barton Burke ... [et al.].</t>
        </is>
      </c>
      <c r="H1525" t="inlineStr">
        <is>
          <t>No</t>
        </is>
      </c>
      <c r="I1525" t="inlineStr">
        <is>
          <t>1</t>
        </is>
      </c>
      <c r="J1525" t="inlineStr">
        <is>
          <t>No</t>
        </is>
      </c>
      <c r="K1525" t="inlineStr">
        <is>
          <t>No</t>
        </is>
      </c>
      <c r="L1525" t="inlineStr">
        <is>
          <t>0</t>
        </is>
      </c>
      <c r="N1525" t="inlineStr">
        <is>
          <t>Boston : Jones and Bartlett Publishers, c1991.</t>
        </is>
      </c>
      <c r="O1525" t="inlineStr">
        <is>
          <t>1991</t>
        </is>
      </c>
      <c r="Q1525" t="inlineStr">
        <is>
          <t>eng</t>
        </is>
      </c>
      <c r="R1525" t="inlineStr">
        <is>
          <t>mau</t>
        </is>
      </c>
      <c r="S1525" t="inlineStr">
        <is>
          <t>The Jones and Bartlett series in nursing</t>
        </is>
      </c>
      <c r="T1525" t="inlineStr">
        <is>
          <t xml:space="preserve">WY </t>
        </is>
      </c>
      <c r="U1525" t="n">
        <v>5</v>
      </c>
      <c r="V1525" t="n">
        <v>5</v>
      </c>
      <c r="W1525" t="inlineStr">
        <is>
          <t>1997-02-03</t>
        </is>
      </c>
      <c r="X1525" t="inlineStr">
        <is>
          <t>1997-02-03</t>
        </is>
      </c>
      <c r="Y1525" t="inlineStr">
        <is>
          <t>1993-03-25</t>
        </is>
      </c>
      <c r="Z1525" t="inlineStr">
        <is>
          <t>1993-03-25</t>
        </is>
      </c>
      <c r="AA1525" t="n">
        <v>257</v>
      </c>
      <c r="AB1525" t="n">
        <v>207</v>
      </c>
      <c r="AC1525" t="n">
        <v>450</v>
      </c>
      <c r="AD1525" t="n">
        <v>1</v>
      </c>
      <c r="AE1525" t="n">
        <v>1</v>
      </c>
      <c r="AF1525" t="n">
        <v>11</v>
      </c>
      <c r="AG1525" t="n">
        <v>17</v>
      </c>
      <c r="AH1525" t="n">
        <v>5</v>
      </c>
      <c r="AI1525" t="n">
        <v>8</v>
      </c>
      <c r="AJ1525" t="n">
        <v>2</v>
      </c>
      <c r="AK1525" t="n">
        <v>3</v>
      </c>
      <c r="AL1525" t="n">
        <v>8</v>
      </c>
      <c r="AM1525" t="n">
        <v>10</v>
      </c>
      <c r="AN1525" t="n">
        <v>0</v>
      </c>
      <c r="AO1525" t="n">
        <v>0</v>
      </c>
      <c r="AP1525" t="n">
        <v>0</v>
      </c>
      <c r="AQ1525" t="n">
        <v>0</v>
      </c>
      <c r="AR1525" t="inlineStr">
        <is>
          <t>No</t>
        </is>
      </c>
      <c r="AS1525" t="inlineStr">
        <is>
          <t>Yes</t>
        </is>
      </c>
      <c r="AT1525">
        <f>HYPERLINK("http://catalog.hathitrust.org/Record/002461635","HathiTrust Record")</f>
        <v/>
      </c>
      <c r="AU1525">
        <f>HYPERLINK("https://creighton-primo.hosted.exlibrisgroup.com/primo-explore/search?tab=default_tab&amp;search_scope=EVERYTHING&amp;vid=01CRU&amp;lang=en_US&amp;offset=0&amp;query=any,contains,991001470739702656","Catalog Record")</f>
        <v/>
      </c>
      <c r="AV1525">
        <f>HYPERLINK("http://www.worldcat.org/oclc/23219104","WorldCat Record")</f>
        <v/>
      </c>
      <c r="AW1525" t="inlineStr">
        <is>
          <t>799957209:eng</t>
        </is>
      </c>
      <c r="AX1525" t="inlineStr">
        <is>
          <t>23219104</t>
        </is>
      </c>
      <c r="AY1525" t="inlineStr">
        <is>
          <t>991001470739702656</t>
        </is>
      </c>
      <c r="AZ1525" t="inlineStr">
        <is>
          <t>991001470739702656</t>
        </is>
      </c>
      <c r="BA1525" t="inlineStr">
        <is>
          <t>2256344680002656</t>
        </is>
      </c>
      <c r="BB1525" t="inlineStr">
        <is>
          <t>BOOK</t>
        </is>
      </c>
      <c r="BD1525" t="inlineStr">
        <is>
          <t>9780867204346</t>
        </is>
      </c>
      <c r="BE1525" t="inlineStr">
        <is>
          <t>30001002563072</t>
        </is>
      </c>
      <c r="BF1525" t="inlineStr">
        <is>
          <t>893377289</t>
        </is>
      </c>
    </row>
    <row r="1526">
      <c r="A1526" t="inlineStr">
        <is>
          <t>No</t>
        </is>
      </c>
      <c r="B1526" t="inlineStr">
        <is>
          <t>CUHSL</t>
        </is>
      </c>
      <c r="C1526" t="inlineStr">
        <is>
          <t>SHELVES</t>
        </is>
      </c>
      <c r="D1526" t="inlineStr">
        <is>
          <t>WY 156 C217 1981</t>
        </is>
      </c>
      <c r="E1526" t="inlineStr">
        <is>
          <t>0                      WY 0156000C  217         1981</t>
        </is>
      </c>
      <c r="F1526" t="inlineStr">
        <is>
          <t>Cancer nursing / edited by Lisa Begg Marino ; with 27 contributors.</t>
        </is>
      </c>
      <c r="H1526" t="inlineStr">
        <is>
          <t>No</t>
        </is>
      </c>
      <c r="I1526" t="inlineStr">
        <is>
          <t>1</t>
        </is>
      </c>
      <c r="J1526" t="inlineStr">
        <is>
          <t>No</t>
        </is>
      </c>
      <c r="K1526" t="inlineStr">
        <is>
          <t>No</t>
        </is>
      </c>
      <c r="L1526" t="inlineStr">
        <is>
          <t>0</t>
        </is>
      </c>
      <c r="N1526" t="inlineStr">
        <is>
          <t>St. Louis : Mosby, 1981.</t>
        </is>
      </c>
      <c r="O1526" t="inlineStr">
        <is>
          <t>1981</t>
        </is>
      </c>
      <c r="Q1526" t="inlineStr">
        <is>
          <t>eng</t>
        </is>
      </c>
      <c r="R1526" t="inlineStr">
        <is>
          <t>xxu</t>
        </is>
      </c>
      <c r="T1526" t="inlineStr">
        <is>
          <t xml:space="preserve">WY </t>
        </is>
      </c>
      <c r="U1526" t="n">
        <v>5</v>
      </c>
      <c r="V1526" t="n">
        <v>5</v>
      </c>
      <c r="W1526" t="inlineStr">
        <is>
          <t>1993-08-30</t>
        </is>
      </c>
      <c r="X1526" t="inlineStr">
        <is>
          <t>1993-08-30</t>
        </is>
      </c>
      <c r="Y1526" t="inlineStr">
        <is>
          <t>1987-12-22</t>
        </is>
      </c>
      <c r="Z1526" t="inlineStr">
        <is>
          <t>1987-12-22</t>
        </is>
      </c>
      <c r="AA1526" t="n">
        <v>219</v>
      </c>
      <c r="AB1526" t="n">
        <v>183</v>
      </c>
      <c r="AC1526" t="n">
        <v>190</v>
      </c>
      <c r="AD1526" t="n">
        <v>3</v>
      </c>
      <c r="AE1526" t="n">
        <v>3</v>
      </c>
      <c r="AF1526" t="n">
        <v>9</v>
      </c>
      <c r="AG1526" t="n">
        <v>9</v>
      </c>
      <c r="AH1526" t="n">
        <v>3</v>
      </c>
      <c r="AI1526" t="n">
        <v>3</v>
      </c>
      <c r="AJ1526" t="n">
        <v>1</v>
      </c>
      <c r="AK1526" t="n">
        <v>1</v>
      </c>
      <c r="AL1526" t="n">
        <v>6</v>
      </c>
      <c r="AM1526" t="n">
        <v>6</v>
      </c>
      <c r="AN1526" t="n">
        <v>2</v>
      </c>
      <c r="AO1526" t="n">
        <v>2</v>
      </c>
      <c r="AP1526" t="n">
        <v>0</v>
      </c>
      <c r="AQ1526" t="n">
        <v>0</v>
      </c>
      <c r="AR1526" t="inlineStr">
        <is>
          <t>No</t>
        </is>
      </c>
      <c r="AS1526" t="inlineStr">
        <is>
          <t>Yes</t>
        </is>
      </c>
      <c r="AT1526">
        <f>HYPERLINK("http://catalog.hathitrust.org/Record/000225264","HathiTrust Record")</f>
        <v/>
      </c>
      <c r="AU1526">
        <f>HYPERLINK("https://creighton-primo.hosted.exlibrisgroup.com/primo-explore/search?tab=default_tab&amp;search_scope=EVERYTHING&amp;vid=01CRU&amp;lang=en_US&amp;offset=0&amp;query=any,contains,991000918339702656","Catalog Record")</f>
        <v/>
      </c>
      <c r="AV1526">
        <f>HYPERLINK("http://www.worldcat.org/oclc/6862903","WorldCat Record")</f>
        <v/>
      </c>
      <c r="AW1526" t="inlineStr">
        <is>
          <t>3863819890:eng</t>
        </is>
      </c>
      <c r="AX1526" t="inlineStr">
        <is>
          <t>6862903</t>
        </is>
      </c>
      <c r="AY1526" t="inlineStr">
        <is>
          <t>991000918339702656</t>
        </is>
      </c>
      <c r="AZ1526" t="inlineStr">
        <is>
          <t>991000918339702656</t>
        </is>
      </c>
      <c r="BA1526" t="inlineStr">
        <is>
          <t>2271286520002656</t>
        </is>
      </c>
      <c r="BB1526" t="inlineStr">
        <is>
          <t>BOOK</t>
        </is>
      </c>
      <c r="BD1526" t="inlineStr">
        <is>
          <t>9780801631078</t>
        </is>
      </c>
      <c r="BE1526" t="inlineStr">
        <is>
          <t>30001000180150</t>
        </is>
      </c>
      <c r="BF1526" t="inlineStr">
        <is>
          <t>893267832</t>
        </is>
      </c>
    </row>
    <row r="1527">
      <c r="A1527" t="inlineStr">
        <is>
          <t>No</t>
        </is>
      </c>
      <c r="B1527" t="inlineStr">
        <is>
          <t>CUHSL</t>
        </is>
      </c>
      <c r="C1527" t="inlineStr">
        <is>
          <t>SHELVES</t>
        </is>
      </c>
      <c r="D1527" t="inlineStr">
        <is>
          <t>WY 156 C2193 1984</t>
        </is>
      </c>
      <c r="E1527" t="inlineStr">
        <is>
          <t>0                      WY 0156000C  2193        1984</t>
        </is>
      </c>
      <c r="F1527" t="inlineStr">
        <is>
          <t>Cancer nursing, a developmental approach / edited by Sue Norville McIntire, Anne L. Cioppa.</t>
        </is>
      </c>
      <c r="H1527" t="inlineStr">
        <is>
          <t>No</t>
        </is>
      </c>
      <c r="I1527" t="inlineStr">
        <is>
          <t>1</t>
        </is>
      </c>
      <c r="J1527" t="inlineStr">
        <is>
          <t>No</t>
        </is>
      </c>
      <c r="K1527" t="inlineStr">
        <is>
          <t>No</t>
        </is>
      </c>
      <c r="L1527" t="inlineStr">
        <is>
          <t>0</t>
        </is>
      </c>
      <c r="N1527" t="inlineStr">
        <is>
          <t>New York : Wiley, c1984.</t>
        </is>
      </c>
      <c r="O1527" t="inlineStr">
        <is>
          <t>1984</t>
        </is>
      </c>
      <c r="Q1527" t="inlineStr">
        <is>
          <t>eng</t>
        </is>
      </c>
      <c r="R1527" t="inlineStr">
        <is>
          <t>xxu</t>
        </is>
      </c>
      <c r="S1527" t="inlineStr">
        <is>
          <t>A Wiley medical publication</t>
        </is>
      </c>
      <c r="T1527" t="inlineStr">
        <is>
          <t xml:space="preserve">WY </t>
        </is>
      </c>
      <c r="U1527" t="n">
        <v>7</v>
      </c>
      <c r="V1527" t="n">
        <v>7</v>
      </c>
      <c r="W1527" t="inlineStr">
        <is>
          <t>1988-09-13</t>
        </is>
      </c>
      <c r="X1527" t="inlineStr">
        <is>
          <t>1988-09-13</t>
        </is>
      </c>
      <c r="Y1527" t="inlineStr">
        <is>
          <t>1987-12-22</t>
        </is>
      </c>
      <c r="Z1527" t="inlineStr">
        <is>
          <t>1987-12-22</t>
        </is>
      </c>
      <c r="AA1527" t="n">
        <v>217</v>
      </c>
      <c r="AB1527" t="n">
        <v>185</v>
      </c>
      <c r="AC1527" t="n">
        <v>187</v>
      </c>
      <c r="AD1527" t="n">
        <v>2</v>
      </c>
      <c r="AE1527" t="n">
        <v>2</v>
      </c>
      <c r="AF1527" t="n">
        <v>3</v>
      </c>
      <c r="AG1527" t="n">
        <v>3</v>
      </c>
      <c r="AH1527" t="n">
        <v>1</v>
      </c>
      <c r="AI1527" t="n">
        <v>1</v>
      </c>
      <c r="AJ1527" t="n">
        <v>1</v>
      </c>
      <c r="AK1527" t="n">
        <v>1</v>
      </c>
      <c r="AL1527" t="n">
        <v>2</v>
      </c>
      <c r="AM1527" t="n">
        <v>2</v>
      </c>
      <c r="AN1527" t="n">
        <v>0</v>
      </c>
      <c r="AO1527" t="n">
        <v>0</v>
      </c>
      <c r="AP1527" t="n">
        <v>0</v>
      </c>
      <c r="AQ1527" t="n">
        <v>0</v>
      </c>
      <c r="AR1527" t="inlineStr">
        <is>
          <t>No</t>
        </is>
      </c>
      <c r="AS1527" t="inlineStr">
        <is>
          <t>Yes</t>
        </is>
      </c>
      <c r="AT1527">
        <f>HYPERLINK("http://catalog.hathitrust.org/Record/000784748","HathiTrust Record")</f>
        <v/>
      </c>
      <c r="AU1527">
        <f>HYPERLINK("https://creighton-primo.hosted.exlibrisgroup.com/primo-explore/search?tab=default_tab&amp;search_scope=EVERYTHING&amp;vid=01CRU&amp;lang=en_US&amp;offset=0&amp;query=any,contains,991000918389702656","Catalog Record")</f>
        <v/>
      </c>
      <c r="AV1527">
        <f>HYPERLINK("http://www.worldcat.org/oclc/10348724","WorldCat Record")</f>
        <v/>
      </c>
      <c r="AW1527" t="inlineStr">
        <is>
          <t>836652451:eng</t>
        </is>
      </c>
      <c r="AX1527" t="inlineStr">
        <is>
          <t>10348724</t>
        </is>
      </c>
      <c r="AY1527" t="inlineStr">
        <is>
          <t>991000918389702656</t>
        </is>
      </c>
      <c r="AZ1527" t="inlineStr">
        <is>
          <t>991000918389702656</t>
        </is>
      </c>
      <c r="BA1527" t="inlineStr">
        <is>
          <t>2257131530002656</t>
        </is>
      </c>
      <c r="BB1527" t="inlineStr">
        <is>
          <t>BOOK</t>
        </is>
      </c>
      <c r="BD1527" t="inlineStr">
        <is>
          <t>9780471082903</t>
        </is>
      </c>
      <c r="BE1527" t="inlineStr">
        <is>
          <t>30001000180168</t>
        </is>
      </c>
      <c r="BF1527" t="inlineStr">
        <is>
          <t>893120729</t>
        </is>
      </c>
    </row>
    <row r="1528">
      <c r="A1528" t="inlineStr">
        <is>
          <t>No</t>
        </is>
      </c>
      <c r="B1528" t="inlineStr">
        <is>
          <t>CUHSL</t>
        </is>
      </c>
      <c r="C1528" t="inlineStr">
        <is>
          <t>SHELVES</t>
        </is>
      </c>
      <c r="D1528" t="inlineStr">
        <is>
          <t>WY 156 C2197 1987</t>
        </is>
      </c>
      <c r="E1528" t="inlineStr">
        <is>
          <t>0                      WY 0156000C  2197        1987</t>
        </is>
      </c>
      <c r="F1528" t="inlineStr">
        <is>
          <t>Cancer nursing : principles and practices / edited by Susan L. Groenwald.</t>
        </is>
      </c>
      <c r="H1528" t="inlineStr">
        <is>
          <t>No</t>
        </is>
      </c>
      <c r="I1528" t="inlineStr">
        <is>
          <t>1</t>
        </is>
      </c>
      <c r="J1528" t="inlineStr">
        <is>
          <t>No</t>
        </is>
      </c>
      <c r="K1528" t="inlineStr">
        <is>
          <t>No</t>
        </is>
      </c>
      <c r="L1528" t="inlineStr">
        <is>
          <t>0</t>
        </is>
      </c>
      <c r="N1528" t="inlineStr">
        <is>
          <t>Boston : Jones and Bartlett Publishers, c1987.</t>
        </is>
      </c>
      <c r="O1528" t="inlineStr">
        <is>
          <t>1987</t>
        </is>
      </c>
      <c r="Q1528" t="inlineStr">
        <is>
          <t>eng</t>
        </is>
      </c>
      <c r="R1528" t="inlineStr">
        <is>
          <t>xxu</t>
        </is>
      </c>
      <c r="T1528" t="inlineStr">
        <is>
          <t xml:space="preserve">WY </t>
        </is>
      </c>
      <c r="U1528" t="n">
        <v>11</v>
      </c>
      <c r="V1528" t="n">
        <v>11</v>
      </c>
      <c r="W1528" t="inlineStr">
        <is>
          <t>1992-03-04</t>
        </is>
      </c>
      <c r="X1528" t="inlineStr">
        <is>
          <t>1992-03-04</t>
        </is>
      </c>
      <c r="Y1528" t="inlineStr">
        <is>
          <t>1988-08-06</t>
        </is>
      </c>
      <c r="Z1528" t="inlineStr">
        <is>
          <t>1988-08-06</t>
        </is>
      </c>
      <c r="AA1528" t="n">
        <v>221</v>
      </c>
      <c r="AB1528" t="n">
        <v>191</v>
      </c>
      <c r="AC1528" t="n">
        <v>193</v>
      </c>
      <c r="AD1528" t="n">
        <v>2</v>
      </c>
      <c r="AE1528" t="n">
        <v>2</v>
      </c>
      <c r="AF1528" t="n">
        <v>6</v>
      </c>
      <c r="AG1528" t="n">
        <v>6</v>
      </c>
      <c r="AH1528" t="n">
        <v>1</v>
      </c>
      <c r="AI1528" t="n">
        <v>1</v>
      </c>
      <c r="AJ1528" t="n">
        <v>1</v>
      </c>
      <c r="AK1528" t="n">
        <v>1</v>
      </c>
      <c r="AL1528" t="n">
        <v>5</v>
      </c>
      <c r="AM1528" t="n">
        <v>5</v>
      </c>
      <c r="AN1528" t="n">
        <v>1</v>
      </c>
      <c r="AO1528" t="n">
        <v>1</v>
      </c>
      <c r="AP1528" t="n">
        <v>0</v>
      </c>
      <c r="AQ1528" t="n">
        <v>0</v>
      </c>
      <c r="AR1528" t="inlineStr">
        <is>
          <t>No</t>
        </is>
      </c>
      <c r="AS1528" t="inlineStr">
        <is>
          <t>Yes</t>
        </is>
      </c>
      <c r="AT1528">
        <f>HYPERLINK("http://catalog.hathitrust.org/Record/000832465","HathiTrust Record")</f>
        <v/>
      </c>
      <c r="AU1528">
        <f>HYPERLINK("https://creighton-primo.hosted.exlibrisgroup.com/primo-explore/search?tab=default_tab&amp;search_scope=EVERYTHING&amp;vid=01CRU&amp;lang=en_US&amp;offset=0&amp;query=any,contains,991001420119702656","Catalog Record")</f>
        <v/>
      </c>
      <c r="AV1528">
        <f>HYPERLINK("http://www.worldcat.org/oclc/15550354","WorldCat Record")</f>
        <v/>
      </c>
      <c r="AW1528" t="inlineStr">
        <is>
          <t>4159959925:eng</t>
        </is>
      </c>
      <c r="AX1528" t="inlineStr">
        <is>
          <t>15550354</t>
        </is>
      </c>
      <c r="AY1528" t="inlineStr">
        <is>
          <t>991001420119702656</t>
        </is>
      </c>
      <c r="AZ1528" t="inlineStr">
        <is>
          <t>991001420119702656</t>
        </is>
      </c>
      <c r="BA1528" t="inlineStr">
        <is>
          <t>2268866010002656</t>
        </is>
      </c>
      <c r="BB1528" t="inlineStr">
        <is>
          <t>BOOK</t>
        </is>
      </c>
      <c r="BD1528" t="inlineStr">
        <is>
          <t>9780867203516</t>
        </is>
      </c>
      <c r="BE1528" t="inlineStr">
        <is>
          <t>30001001182007</t>
        </is>
      </c>
      <c r="BF1528" t="inlineStr">
        <is>
          <t>893377236</t>
        </is>
      </c>
    </row>
    <row r="1529">
      <c r="A1529" t="inlineStr">
        <is>
          <t>No</t>
        </is>
      </c>
      <c r="B1529" t="inlineStr">
        <is>
          <t>CUHSL</t>
        </is>
      </c>
      <c r="C1529" t="inlineStr">
        <is>
          <t>SHELVES</t>
        </is>
      </c>
      <c r="D1529" t="inlineStr">
        <is>
          <t>WY 156 C2197 1997</t>
        </is>
      </c>
      <c r="E1529" t="inlineStr">
        <is>
          <t>0                      WY 0156000C  2197        1997</t>
        </is>
      </c>
      <c r="F1529" t="inlineStr">
        <is>
          <t>Cancer nursing : principles and practice / edited by Susan L. Groenwald ... [et al.].</t>
        </is>
      </c>
      <c r="H1529" t="inlineStr">
        <is>
          <t>No</t>
        </is>
      </c>
      <c r="I1529" t="inlineStr">
        <is>
          <t>1</t>
        </is>
      </c>
      <c r="J1529" t="inlineStr">
        <is>
          <t>No</t>
        </is>
      </c>
      <c r="K1529" t="inlineStr">
        <is>
          <t>Yes</t>
        </is>
      </c>
      <c r="L1529" t="inlineStr">
        <is>
          <t>0</t>
        </is>
      </c>
      <c r="N1529" t="inlineStr">
        <is>
          <t>Sudbury, Mass. : Jones and Bartlett, c1997.</t>
        </is>
      </c>
      <c r="O1529" t="inlineStr">
        <is>
          <t>1997</t>
        </is>
      </c>
      <c r="P1529" t="inlineStr">
        <is>
          <t>4th ed.</t>
        </is>
      </c>
      <c r="Q1529" t="inlineStr">
        <is>
          <t>eng</t>
        </is>
      </c>
      <c r="R1529" t="inlineStr">
        <is>
          <t>mau</t>
        </is>
      </c>
      <c r="S1529" t="inlineStr">
        <is>
          <t>The Jones and Bartlett series in nursing</t>
        </is>
      </c>
      <c r="T1529" t="inlineStr">
        <is>
          <t xml:space="preserve">WY </t>
        </is>
      </c>
      <c r="U1529" t="n">
        <v>6</v>
      </c>
      <c r="V1529" t="n">
        <v>6</v>
      </c>
      <c r="W1529" t="inlineStr">
        <is>
          <t>1998-11-02</t>
        </is>
      </c>
      <c r="X1529" t="inlineStr">
        <is>
          <t>1998-11-02</t>
        </is>
      </c>
      <c r="Y1529" t="inlineStr">
        <is>
          <t>1997-06-17</t>
        </is>
      </c>
      <c r="Z1529" t="inlineStr">
        <is>
          <t>1997-06-17</t>
        </is>
      </c>
      <c r="AA1529" t="n">
        <v>297</v>
      </c>
      <c r="AB1529" t="n">
        <v>235</v>
      </c>
      <c r="AC1529" t="n">
        <v>1611</v>
      </c>
      <c r="AD1529" t="n">
        <v>3</v>
      </c>
      <c r="AE1529" t="n">
        <v>33</v>
      </c>
      <c r="AF1529" t="n">
        <v>6</v>
      </c>
      <c r="AG1529" t="n">
        <v>49</v>
      </c>
      <c r="AH1529" t="n">
        <v>2</v>
      </c>
      <c r="AI1529" t="n">
        <v>16</v>
      </c>
      <c r="AJ1529" t="n">
        <v>1</v>
      </c>
      <c r="AK1529" t="n">
        <v>8</v>
      </c>
      <c r="AL1529" t="n">
        <v>4</v>
      </c>
      <c r="AM1529" t="n">
        <v>15</v>
      </c>
      <c r="AN1529" t="n">
        <v>1</v>
      </c>
      <c r="AO1529" t="n">
        <v>16</v>
      </c>
      <c r="AP1529" t="n">
        <v>0</v>
      </c>
      <c r="AQ1529" t="n">
        <v>1</v>
      </c>
      <c r="AR1529" t="inlineStr">
        <is>
          <t>No</t>
        </is>
      </c>
      <c r="AS1529" t="inlineStr">
        <is>
          <t>Yes</t>
        </is>
      </c>
      <c r="AT1529">
        <f>HYPERLINK("http://catalog.hathitrust.org/Record/004568632","HathiTrust Record")</f>
        <v/>
      </c>
      <c r="AU1529">
        <f>HYPERLINK("https://creighton-primo.hosted.exlibrisgroup.com/primo-explore/search?tab=default_tab&amp;search_scope=EVERYTHING&amp;vid=01CRU&amp;lang=en_US&amp;offset=0&amp;query=any,contains,991001254339702656","Catalog Record")</f>
        <v/>
      </c>
      <c r="AV1529">
        <f>HYPERLINK("http://www.worldcat.org/oclc/35926858","WorldCat Record")</f>
        <v/>
      </c>
      <c r="AW1529" t="inlineStr">
        <is>
          <t>799961800:eng</t>
        </is>
      </c>
      <c r="AX1529" t="inlineStr">
        <is>
          <t>35926858</t>
        </is>
      </c>
      <c r="AY1529" t="inlineStr">
        <is>
          <t>991001254339702656</t>
        </is>
      </c>
      <c r="AZ1529" t="inlineStr">
        <is>
          <t>991001254339702656</t>
        </is>
      </c>
      <c r="BA1529" t="inlineStr">
        <is>
          <t>2263107010002656</t>
        </is>
      </c>
      <c r="BB1529" t="inlineStr">
        <is>
          <t>BOOK</t>
        </is>
      </c>
      <c r="BD1529" t="inlineStr">
        <is>
          <t>9780763702199</t>
        </is>
      </c>
      <c r="BE1529" t="inlineStr">
        <is>
          <t>30001003683788</t>
        </is>
      </c>
      <c r="BF1529" t="inlineStr">
        <is>
          <t>893284603</t>
        </is>
      </c>
    </row>
    <row r="1530">
      <c r="A1530" t="inlineStr">
        <is>
          <t>No</t>
        </is>
      </c>
      <c r="B1530" t="inlineStr">
        <is>
          <t>CUHSL</t>
        </is>
      </c>
      <c r="C1530" t="inlineStr">
        <is>
          <t>SHELVES</t>
        </is>
      </c>
      <c r="D1530" t="inlineStr">
        <is>
          <t>WY 156 C2197 2000</t>
        </is>
      </c>
      <c r="E1530" t="inlineStr">
        <is>
          <t>0                      WY 0156000C  2197        2000</t>
        </is>
      </c>
      <c r="F1530" t="inlineStr">
        <is>
          <t>Cancer nursing : principles and practice / edited by Connie Henke Yarbro ... [et al.].</t>
        </is>
      </c>
      <c r="H1530" t="inlineStr">
        <is>
          <t>No</t>
        </is>
      </c>
      <c r="I1530" t="inlineStr">
        <is>
          <t>1</t>
        </is>
      </c>
      <c r="J1530" t="inlineStr">
        <is>
          <t>No</t>
        </is>
      </c>
      <c r="K1530" t="inlineStr">
        <is>
          <t>Yes</t>
        </is>
      </c>
      <c r="L1530" t="inlineStr">
        <is>
          <t>0</t>
        </is>
      </c>
      <c r="N1530" t="inlineStr">
        <is>
          <t>Sudbury, Mass. : Jones and Bartlett, c2000.</t>
        </is>
      </c>
      <c r="O1530" t="inlineStr">
        <is>
          <t>2000</t>
        </is>
      </c>
      <c r="P1530" t="inlineStr">
        <is>
          <t>5th ed.</t>
        </is>
      </c>
      <c r="Q1530" t="inlineStr">
        <is>
          <t>eng</t>
        </is>
      </c>
      <c r="R1530" t="inlineStr">
        <is>
          <t>mau</t>
        </is>
      </c>
      <c r="T1530" t="inlineStr">
        <is>
          <t xml:space="preserve">WY </t>
        </is>
      </c>
      <c r="U1530" t="n">
        <v>2</v>
      </c>
      <c r="V1530" t="n">
        <v>2</v>
      </c>
      <c r="W1530" t="inlineStr">
        <is>
          <t>2006-03-21</t>
        </is>
      </c>
      <c r="X1530" t="inlineStr">
        <is>
          <t>2006-03-21</t>
        </is>
      </c>
      <c r="Y1530" t="inlineStr">
        <is>
          <t>2000-07-20</t>
        </is>
      </c>
      <c r="Z1530" t="inlineStr">
        <is>
          <t>2000-07-20</t>
        </is>
      </c>
      <c r="AA1530" t="n">
        <v>655</v>
      </c>
      <c r="AB1530" t="n">
        <v>493</v>
      </c>
      <c r="AC1530" t="n">
        <v>1611</v>
      </c>
      <c r="AD1530" t="n">
        <v>4</v>
      </c>
      <c r="AE1530" t="n">
        <v>33</v>
      </c>
      <c r="AF1530" t="n">
        <v>14</v>
      </c>
      <c r="AG1530" t="n">
        <v>49</v>
      </c>
      <c r="AH1530" t="n">
        <v>4</v>
      </c>
      <c r="AI1530" t="n">
        <v>16</v>
      </c>
      <c r="AJ1530" t="n">
        <v>5</v>
      </c>
      <c r="AK1530" t="n">
        <v>8</v>
      </c>
      <c r="AL1530" t="n">
        <v>5</v>
      </c>
      <c r="AM1530" t="n">
        <v>15</v>
      </c>
      <c r="AN1530" t="n">
        <v>2</v>
      </c>
      <c r="AO1530" t="n">
        <v>16</v>
      </c>
      <c r="AP1530" t="n">
        <v>0</v>
      </c>
      <c r="AQ1530" t="n">
        <v>1</v>
      </c>
      <c r="AR1530" t="inlineStr">
        <is>
          <t>No</t>
        </is>
      </c>
      <c r="AS1530" t="inlineStr">
        <is>
          <t>No</t>
        </is>
      </c>
      <c r="AU1530">
        <f>HYPERLINK("https://creighton-primo.hosted.exlibrisgroup.com/primo-explore/search?tab=default_tab&amp;search_scope=EVERYTHING&amp;vid=01CRU&amp;lang=en_US&amp;offset=0&amp;query=any,contains,991001699899702656","Catalog Record")</f>
        <v/>
      </c>
      <c r="AV1530">
        <f>HYPERLINK("http://www.worldcat.org/oclc/421361446","WorldCat Record")</f>
        <v/>
      </c>
      <c r="AW1530" t="inlineStr">
        <is>
          <t>799961800:eng</t>
        </is>
      </c>
      <c r="AX1530" t="inlineStr">
        <is>
          <t>421361446</t>
        </is>
      </c>
      <c r="AY1530" t="inlineStr">
        <is>
          <t>991001699899702656</t>
        </is>
      </c>
      <c r="AZ1530" t="inlineStr">
        <is>
          <t>991001699899702656</t>
        </is>
      </c>
      <c r="BA1530" t="inlineStr">
        <is>
          <t>2269296950002656</t>
        </is>
      </c>
      <c r="BB1530" t="inlineStr">
        <is>
          <t>BOOK</t>
        </is>
      </c>
      <c r="BD1530" t="inlineStr">
        <is>
          <t>9780763711641</t>
        </is>
      </c>
      <c r="BE1530" t="inlineStr">
        <is>
          <t>30001003942069</t>
        </is>
      </c>
      <c r="BF1530" t="inlineStr">
        <is>
          <t>893558121</t>
        </is>
      </c>
    </row>
    <row r="1531">
      <c r="A1531" t="inlineStr">
        <is>
          <t>No</t>
        </is>
      </c>
      <c r="B1531" t="inlineStr">
        <is>
          <t>CUHSL</t>
        </is>
      </c>
      <c r="C1531" t="inlineStr">
        <is>
          <t>SHELVES</t>
        </is>
      </c>
      <c r="D1531" t="inlineStr">
        <is>
          <t>WY 156 C21974 1990</t>
        </is>
      </c>
      <c r="E1531" t="inlineStr">
        <is>
          <t>0                      WY 0156000C  21974       1990</t>
        </is>
      </c>
      <c r="F1531" t="inlineStr">
        <is>
          <t>Cancer nursing research : a practical approach / [edited by] Marcia M. Grant, Geraldine V. Padilla.</t>
        </is>
      </c>
      <c r="H1531" t="inlineStr">
        <is>
          <t>No</t>
        </is>
      </c>
      <c r="I1531" t="inlineStr">
        <is>
          <t>1</t>
        </is>
      </c>
      <c r="J1531" t="inlineStr">
        <is>
          <t>No</t>
        </is>
      </c>
      <c r="K1531" t="inlineStr">
        <is>
          <t>No</t>
        </is>
      </c>
      <c r="L1531" t="inlineStr">
        <is>
          <t>0</t>
        </is>
      </c>
      <c r="N1531" t="inlineStr">
        <is>
          <t>Norwalk, Conn. : Appleton &amp; Lange, c1990.</t>
        </is>
      </c>
      <c r="O1531" t="inlineStr">
        <is>
          <t>1990</t>
        </is>
      </c>
      <c r="Q1531" t="inlineStr">
        <is>
          <t>eng</t>
        </is>
      </c>
      <c r="R1531" t="inlineStr">
        <is>
          <t>xxu</t>
        </is>
      </c>
      <c r="T1531" t="inlineStr">
        <is>
          <t xml:space="preserve">WY </t>
        </is>
      </c>
      <c r="U1531" t="n">
        <v>8</v>
      </c>
      <c r="V1531" t="n">
        <v>8</v>
      </c>
      <c r="W1531" t="inlineStr">
        <is>
          <t>2006-03-21</t>
        </is>
      </c>
      <c r="X1531" t="inlineStr">
        <is>
          <t>2006-03-21</t>
        </is>
      </c>
      <c r="Y1531" t="inlineStr">
        <is>
          <t>1990-07-03</t>
        </is>
      </c>
      <c r="Z1531" t="inlineStr">
        <is>
          <t>1990-07-03</t>
        </is>
      </c>
      <c r="AA1531" t="n">
        <v>181</v>
      </c>
      <c r="AB1531" t="n">
        <v>136</v>
      </c>
      <c r="AC1531" t="n">
        <v>138</v>
      </c>
      <c r="AD1531" t="n">
        <v>1</v>
      </c>
      <c r="AE1531" t="n">
        <v>1</v>
      </c>
      <c r="AF1531" t="n">
        <v>7</v>
      </c>
      <c r="AG1531" t="n">
        <v>7</v>
      </c>
      <c r="AH1531" t="n">
        <v>2</v>
      </c>
      <c r="AI1531" t="n">
        <v>2</v>
      </c>
      <c r="AJ1531" t="n">
        <v>2</v>
      </c>
      <c r="AK1531" t="n">
        <v>2</v>
      </c>
      <c r="AL1531" t="n">
        <v>5</v>
      </c>
      <c r="AM1531" t="n">
        <v>5</v>
      </c>
      <c r="AN1531" t="n">
        <v>0</v>
      </c>
      <c r="AO1531" t="n">
        <v>0</v>
      </c>
      <c r="AP1531" t="n">
        <v>0</v>
      </c>
      <c r="AQ1531" t="n">
        <v>0</v>
      </c>
      <c r="AR1531" t="inlineStr">
        <is>
          <t>No</t>
        </is>
      </c>
      <c r="AS1531" t="inlineStr">
        <is>
          <t>Yes</t>
        </is>
      </c>
      <c r="AT1531">
        <f>HYPERLINK("http://catalog.hathitrust.org/Record/001830885","HathiTrust Record")</f>
        <v/>
      </c>
      <c r="AU1531">
        <f>HYPERLINK("https://creighton-primo.hosted.exlibrisgroup.com/primo-explore/search?tab=default_tab&amp;search_scope=EVERYTHING&amp;vid=01CRU&amp;lang=en_US&amp;offset=0&amp;query=any,contains,991001451009702656","Catalog Record")</f>
        <v/>
      </c>
      <c r="AV1531">
        <f>HYPERLINK("http://www.worldcat.org/oclc/19980986","WorldCat Record")</f>
        <v/>
      </c>
      <c r="AW1531" t="inlineStr">
        <is>
          <t>21648191:eng</t>
        </is>
      </c>
      <c r="AX1531" t="inlineStr">
        <is>
          <t>19980986</t>
        </is>
      </c>
      <c r="AY1531" t="inlineStr">
        <is>
          <t>991001451009702656</t>
        </is>
      </c>
      <c r="AZ1531" t="inlineStr">
        <is>
          <t>991001451009702656</t>
        </is>
      </c>
      <c r="BA1531" t="inlineStr">
        <is>
          <t>2269664470002656</t>
        </is>
      </c>
      <c r="BB1531" t="inlineStr">
        <is>
          <t>BOOK</t>
        </is>
      </c>
      <c r="BD1531" t="inlineStr">
        <is>
          <t>9780838510339</t>
        </is>
      </c>
      <c r="BE1531" t="inlineStr">
        <is>
          <t>30001001882978</t>
        </is>
      </c>
      <c r="BF1531" t="inlineStr">
        <is>
          <t>893736602</t>
        </is>
      </c>
    </row>
    <row r="1532">
      <c r="A1532" t="inlineStr">
        <is>
          <t>No</t>
        </is>
      </c>
      <c r="B1532" t="inlineStr">
        <is>
          <t>CUHSL</t>
        </is>
      </c>
      <c r="C1532" t="inlineStr">
        <is>
          <t>SHELVES</t>
        </is>
      </c>
      <c r="D1532" t="inlineStr">
        <is>
          <t>WY 156 C267 1983</t>
        </is>
      </c>
      <c r="E1532" t="inlineStr">
        <is>
          <t>0                      WY 0156000C  267         1983</t>
        </is>
      </c>
      <c r="F1532" t="inlineStr">
        <is>
          <t>The cardiac patient : a comprehensive approach / Richard G. Sanderson, Chestine Kurth.</t>
        </is>
      </c>
      <c r="H1532" t="inlineStr">
        <is>
          <t>No</t>
        </is>
      </c>
      <c r="I1532" t="inlineStr">
        <is>
          <t>1</t>
        </is>
      </c>
      <c r="J1532" t="inlineStr">
        <is>
          <t>No</t>
        </is>
      </c>
      <c r="K1532" t="inlineStr">
        <is>
          <t>Yes</t>
        </is>
      </c>
      <c r="L1532" t="inlineStr">
        <is>
          <t>0</t>
        </is>
      </c>
      <c r="N1532" t="inlineStr">
        <is>
          <t>Philadelphia : Saunders, c1983.</t>
        </is>
      </c>
      <c r="O1532" t="inlineStr">
        <is>
          <t>1983</t>
        </is>
      </c>
      <c r="P1532" t="inlineStr">
        <is>
          <t>2nd ed.</t>
        </is>
      </c>
      <c r="Q1532" t="inlineStr">
        <is>
          <t>eng</t>
        </is>
      </c>
      <c r="R1532" t="inlineStr">
        <is>
          <t>xxu</t>
        </is>
      </c>
      <c r="T1532" t="inlineStr">
        <is>
          <t xml:space="preserve">WY </t>
        </is>
      </c>
      <c r="U1532" t="n">
        <v>16</v>
      </c>
      <c r="V1532" t="n">
        <v>16</v>
      </c>
      <c r="W1532" t="inlineStr">
        <is>
          <t>1993-10-21</t>
        </is>
      </c>
      <c r="X1532" t="inlineStr">
        <is>
          <t>1993-10-21</t>
        </is>
      </c>
      <c r="Y1532" t="inlineStr">
        <is>
          <t>1987-12-22</t>
        </is>
      </c>
      <c r="Z1532" t="inlineStr">
        <is>
          <t>1987-12-22</t>
        </is>
      </c>
      <c r="AA1532" t="n">
        <v>191</v>
      </c>
      <c r="AB1532" t="n">
        <v>158</v>
      </c>
      <c r="AC1532" t="n">
        <v>270</v>
      </c>
      <c r="AD1532" t="n">
        <v>2</v>
      </c>
      <c r="AE1532" t="n">
        <v>2</v>
      </c>
      <c r="AF1532" t="n">
        <v>4</v>
      </c>
      <c r="AG1532" t="n">
        <v>11</v>
      </c>
      <c r="AH1532" t="n">
        <v>0</v>
      </c>
      <c r="AI1532" t="n">
        <v>2</v>
      </c>
      <c r="AJ1532" t="n">
        <v>0</v>
      </c>
      <c r="AK1532" t="n">
        <v>4</v>
      </c>
      <c r="AL1532" t="n">
        <v>3</v>
      </c>
      <c r="AM1532" t="n">
        <v>6</v>
      </c>
      <c r="AN1532" t="n">
        <v>1</v>
      </c>
      <c r="AO1532" t="n">
        <v>1</v>
      </c>
      <c r="AP1532" t="n">
        <v>0</v>
      </c>
      <c r="AQ1532" t="n">
        <v>0</v>
      </c>
      <c r="AR1532" t="inlineStr">
        <is>
          <t>No</t>
        </is>
      </c>
      <c r="AS1532" t="inlineStr">
        <is>
          <t>No</t>
        </is>
      </c>
      <c r="AU1532">
        <f>HYPERLINK("https://creighton-primo.hosted.exlibrisgroup.com/primo-explore/search?tab=default_tab&amp;search_scope=EVERYTHING&amp;vid=01CRU&amp;lang=en_US&amp;offset=0&amp;query=any,contains,991000918439702656","Catalog Record")</f>
        <v/>
      </c>
      <c r="AV1532">
        <f>HYPERLINK("http://www.worldcat.org/oclc/8284285","WorldCat Record")</f>
        <v/>
      </c>
      <c r="AW1532" t="inlineStr">
        <is>
          <t>1420815:eng</t>
        </is>
      </c>
      <c r="AX1532" t="inlineStr">
        <is>
          <t>8284285</t>
        </is>
      </c>
      <c r="AY1532" t="inlineStr">
        <is>
          <t>991000918439702656</t>
        </is>
      </c>
      <c r="AZ1532" t="inlineStr">
        <is>
          <t>991000918439702656</t>
        </is>
      </c>
      <c r="BA1532" t="inlineStr">
        <is>
          <t>2268042010002656</t>
        </is>
      </c>
      <c r="BB1532" t="inlineStr">
        <is>
          <t>BOOK</t>
        </is>
      </c>
      <c r="BD1532" t="inlineStr">
        <is>
          <t>9780721679068</t>
        </is>
      </c>
      <c r="BE1532" t="inlineStr">
        <is>
          <t>30001000180176</t>
        </is>
      </c>
      <c r="BF1532" t="inlineStr">
        <is>
          <t>893815916</t>
        </is>
      </c>
    </row>
    <row r="1533">
      <c r="A1533" t="inlineStr">
        <is>
          <t>No</t>
        </is>
      </c>
      <c r="B1533" t="inlineStr">
        <is>
          <t>CUHSL</t>
        </is>
      </c>
      <c r="C1533" t="inlineStr">
        <is>
          <t>SHELVES</t>
        </is>
      </c>
      <c r="D1533" t="inlineStr">
        <is>
          <t>WY 156 C289c 1990</t>
        </is>
      </c>
      <c r="E1533" t="inlineStr">
        <is>
          <t>0                      WY 0156000C  289c        1990</t>
        </is>
      </c>
      <c r="F1533" t="inlineStr">
        <is>
          <t>The cancer experience : nursing diagnosis and management / Doris L. Carnevali, Ann C. Reiner.</t>
        </is>
      </c>
      <c r="H1533" t="inlineStr">
        <is>
          <t>No</t>
        </is>
      </c>
      <c r="I1533" t="inlineStr">
        <is>
          <t>1</t>
        </is>
      </c>
      <c r="J1533" t="inlineStr">
        <is>
          <t>No</t>
        </is>
      </c>
      <c r="K1533" t="inlineStr">
        <is>
          <t>No</t>
        </is>
      </c>
      <c r="L1533" t="inlineStr">
        <is>
          <t>0</t>
        </is>
      </c>
      <c r="M1533" t="inlineStr">
        <is>
          <t>Carnevali, Doris L.</t>
        </is>
      </c>
      <c r="N1533" t="inlineStr">
        <is>
          <t>Philadelphia, Pa. : Lippincott, c1990.</t>
        </is>
      </c>
      <c r="O1533" t="inlineStr">
        <is>
          <t>1990</t>
        </is>
      </c>
      <c r="Q1533" t="inlineStr">
        <is>
          <t>eng</t>
        </is>
      </c>
      <c r="R1533" t="inlineStr">
        <is>
          <t>xxu</t>
        </is>
      </c>
      <c r="T1533" t="inlineStr">
        <is>
          <t xml:space="preserve">WY </t>
        </is>
      </c>
      <c r="U1533" t="n">
        <v>10</v>
      </c>
      <c r="V1533" t="n">
        <v>10</v>
      </c>
      <c r="W1533" t="inlineStr">
        <is>
          <t>1995-10-15</t>
        </is>
      </c>
      <c r="X1533" t="inlineStr">
        <is>
          <t>1995-10-15</t>
        </is>
      </c>
      <c r="Y1533" t="inlineStr">
        <is>
          <t>1990-11-29</t>
        </is>
      </c>
      <c r="Z1533" t="inlineStr">
        <is>
          <t>1990-11-29</t>
        </is>
      </c>
      <c r="AA1533" t="n">
        <v>243</v>
      </c>
      <c r="AB1533" t="n">
        <v>177</v>
      </c>
      <c r="AC1533" t="n">
        <v>194</v>
      </c>
      <c r="AD1533" t="n">
        <v>1</v>
      </c>
      <c r="AE1533" t="n">
        <v>1</v>
      </c>
      <c r="AF1533" t="n">
        <v>9</v>
      </c>
      <c r="AG1533" t="n">
        <v>11</v>
      </c>
      <c r="AH1533" t="n">
        <v>5</v>
      </c>
      <c r="AI1533" t="n">
        <v>6</v>
      </c>
      <c r="AJ1533" t="n">
        <v>2</v>
      </c>
      <c r="AK1533" t="n">
        <v>3</v>
      </c>
      <c r="AL1533" t="n">
        <v>5</v>
      </c>
      <c r="AM1533" t="n">
        <v>5</v>
      </c>
      <c r="AN1533" t="n">
        <v>0</v>
      </c>
      <c r="AO1533" t="n">
        <v>0</v>
      </c>
      <c r="AP1533" t="n">
        <v>0</v>
      </c>
      <c r="AQ1533" t="n">
        <v>0</v>
      </c>
      <c r="AR1533" t="inlineStr">
        <is>
          <t>No</t>
        </is>
      </c>
      <c r="AS1533" t="inlineStr">
        <is>
          <t>Yes</t>
        </is>
      </c>
      <c r="AT1533">
        <f>HYPERLINK("http://catalog.hathitrust.org/Record/002064703","HathiTrust Record")</f>
        <v/>
      </c>
      <c r="AU1533">
        <f>HYPERLINK("https://creighton-primo.hosted.exlibrisgroup.com/primo-explore/search?tab=default_tab&amp;search_scope=EVERYTHING&amp;vid=01CRU&amp;lang=en_US&amp;offset=0&amp;query=any,contains,991001549899702656","Catalog Record")</f>
        <v/>
      </c>
      <c r="AV1533">
        <f>HYPERLINK("http://www.worldcat.org/oclc/20823881","WorldCat Record")</f>
        <v/>
      </c>
      <c r="AW1533" t="inlineStr">
        <is>
          <t>433003440:eng</t>
        </is>
      </c>
      <c r="AX1533" t="inlineStr">
        <is>
          <t>20823881</t>
        </is>
      </c>
      <c r="AY1533" t="inlineStr">
        <is>
          <t>991001549899702656</t>
        </is>
      </c>
      <c r="AZ1533" t="inlineStr">
        <is>
          <t>991001549899702656</t>
        </is>
      </c>
      <c r="BA1533" t="inlineStr">
        <is>
          <t>2268318240002656</t>
        </is>
      </c>
      <c r="BB1533" t="inlineStr">
        <is>
          <t>BOOK</t>
        </is>
      </c>
      <c r="BD1533" t="inlineStr">
        <is>
          <t>9780397547265</t>
        </is>
      </c>
      <c r="BE1533" t="inlineStr">
        <is>
          <t>30001002064816</t>
        </is>
      </c>
      <c r="BF1533" t="inlineStr">
        <is>
          <t>893558088</t>
        </is>
      </c>
    </row>
    <row r="1534">
      <c r="A1534" t="inlineStr">
        <is>
          <t>No</t>
        </is>
      </c>
      <c r="B1534" t="inlineStr">
        <is>
          <t>CUHSL</t>
        </is>
      </c>
      <c r="C1534" t="inlineStr">
        <is>
          <t>SHELVES</t>
        </is>
      </c>
      <c r="D1534" t="inlineStr">
        <is>
          <t>WY 156 C521c 1984</t>
        </is>
      </c>
      <c r="E1534" t="inlineStr">
        <is>
          <t>0                      WY 0156000C  521c        1984</t>
        </is>
      </c>
      <c r="F1534" t="inlineStr">
        <is>
          <t>Critical nursing care of the client with cancer / Cynthia C. Chernecky, Priscilla W. Ramsey ; contributing author, Priscilla M. Kline.</t>
        </is>
      </c>
      <c r="H1534" t="inlineStr">
        <is>
          <t>No</t>
        </is>
      </c>
      <c r="I1534" t="inlineStr">
        <is>
          <t>1</t>
        </is>
      </c>
      <c r="J1534" t="inlineStr">
        <is>
          <t>No</t>
        </is>
      </c>
      <c r="K1534" t="inlineStr">
        <is>
          <t>No</t>
        </is>
      </c>
      <c r="L1534" t="inlineStr">
        <is>
          <t>0</t>
        </is>
      </c>
      <c r="M1534" t="inlineStr">
        <is>
          <t>Chernecky, Cynthia C.</t>
        </is>
      </c>
      <c r="N1534" t="inlineStr">
        <is>
          <t>Norwalk, CT : Appleton-Century-Crofts, c1984.</t>
        </is>
      </c>
      <c r="O1534" t="inlineStr">
        <is>
          <t>1984</t>
        </is>
      </c>
      <c r="Q1534" t="inlineStr">
        <is>
          <t>eng</t>
        </is>
      </c>
      <c r="R1534" t="inlineStr">
        <is>
          <t xml:space="preserve">xx </t>
        </is>
      </c>
      <c r="T1534" t="inlineStr">
        <is>
          <t xml:space="preserve">WY </t>
        </is>
      </c>
      <c r="U1534" t="n">
        <v>3</v>
      </c>
      <c r="V1534" t="n">
        <v>3</v>
      </c>
      <c r="W1534" t="inlineStr">
        <is>
          <t>1988-09-13</t>
        </is>
      </c>
      <c r="X1534" t="inlineStr">
        <is>
          <t>1988-09-13</t>
        </is>
      </c>
      <c r="Y1534" t="inlineStr">
        <is>
          <t>1987-12-22</t>
        </is>
      </c>
      <c r="Z1534" t="inlineStr">
        <is>
          <t>1987-12-22</t>
        </is>
      </c>
      <c r="AA1534" t="n">
        <v>205</v>
      </c>
      <c r="AB1534" t="n">
        <v>169</v>
      </c>
      <c r="AC1534" t="n">
        <v>171</v>
      </c>
      <c r="AD1534" t="n">
        <v>2</v>
      </c>
      <c r="AE1534" t="n">
        <v>2</v>
      </c>
      <c r="AF1534" t="n">
        <v>7</v>
      </c>
      <c r="AG1534" t="n">
        <v>7</v>
      </c>
      <c r="AH1534" t="n">
        <v>3</v>
      </c>
      <c r="AI1534" t="n">
        <v>3</v>
      </c>
      <c r="AJ1534" t="n">
        <v>1</v>
      </c>
      <c r="AK1534" t="n">
        <v>1</v>
      </c>
      <c r="AL1534" t="n">
        <v>5</v>
      </c>
      <c r="AM1534" t="n">
        <v>5</v>
      </c>
      <c r="AN1534" t="n">
        <v>1</v>
      </c>
      <c r="AO1534" t="n">
        <v>1</v>
      </c>
      <c r="AP1534" t="n">
        <v>0</v>
      </c>
      <c r="AQ1534" t="n">
        <v>0</v>
      </c>
      <c r="AR1534" t="inlineStr">
        <is>
          <t>No</t>
        </is>
      </c>
      <c r="AS1534" t="inlineStr">
        <is>
          <t>Yes</t>
        </is>
      </c>
      <c r="AT1534">
        <f>HYPERLINK("http://catalog.hathitrust.org/Record/000207081","HathiTrust Record")</f>
        <v/>
      </c>
      <c r="AU1534">
        <f>HYPERLINK("https://creighton-primo.hosted.exlibrisgroup.com/primo-explore/search?tab=default_tab&amp;search_scope=EVERYTHING&amp;vid=01CRU&amp;lang=en_US&amp;offset=0&amp;query=any,contains,991000918469702656","Catalog Record")</f>
        <v/>
      </c>
      <c r="AV1534">
        <f>HYPERLINK("http://www.worldcat.org/oclc/10777339","WorldCat Record")</f>
        <v/>
      </c>
      <c r="AW1534" t="inlineStr">
        <is>
          <t>3373232:eng</t>
        </is>
      </c>
      <c r="AX1534" t="inlineStr">
        <is>
          <t>10777339</t>
        </is>
      </c>
      <c r="AY1534" t="inlineStr">
        <is>
          <t>991000918469702656</t>
        </is>
      </c>
      <c r="AZ1534" t="inlineStr">
        <is>
          <t>991000918469702656</t>
        </is>
      </c>
      <c r="BA1534" t="inlineStr">
        <is>
          <t>2263652500002656</t>
        </is>
      </c>
      <c r="BB1534" t="inlineStr">
        <is>
          <t>BOOK</t>
        </is>
      </c>
      <c r="BD1534" t="inlineStr">
        <is>
          <t>9780838512432</t>
        </is>
      </c>
      <c r="BE1534" t="inlineStr">
        <is>
          <t>30001000180192</t>
        </is>
      </c>
      <c r="BF1534" t="inlineStr">
        <is>
          <t>893820723</t>
        </is>
      </c>
    </row>
    <row r="1535">
      <c r="A1535" t="inlineStr">
        <is>
          <t>No</t>
        </is>
      </c>
      <c r="B1535" t="inlineStr">
        <is>
          <t>CUHSL</t>
        </is>
      </c>
      <c r="C1535" t="inlineStr">
        <is>
          <t>SHELVES</t>
        </is>
      </c>
      <c r="D1535" t="inlineStr">
        <is>
          <t>WY 156 C556r 1974</t>
        </is>
      </c>
      <c r="E1535" t="inlineStr">
        <is>
          <t>0                      WY 0156000C  556r        1974</t>
        </is>
      </c>
      <c r="F1535" t="inlineStr">
        <is>
          <t>Rehabilitation nursing : perspectives and applications / Victor A. Christopherson, Pearl Parvin Coulter, Mary Opal Wolanin.</t>
        </is>
      </c>
      <c r="H1535" t="inlineStr">
        <is>
          <t>No</t>
        </is>
      </c>
      <c r="I1535" t="inlineStr">
        <is>
          <t>1</t>
        </is>
      </c>
      <c r="J1535" t="inlineStr">
        <is>
          <t>No</t>
        </is>
      </c>
      <c r="K1535" t="inlineStr">
        <is>
          <t>No</t>
        </is>
      </c>
      <c r="L1535" t="inlineStr">
        <is>
          <t>0</t>
        </is>
      </c>
      <c r="M1535" t="inlineStr">
        <is>
          <t>Christopherson, Victor A., 1923-</t>
        </is>
      </c>
      <c r="N1535" t="inlineStr">
        <is>
          <t>-- New York : McGraw-Hill, 1974.</t>
        </is>
      </c>
      <c r="O1535" t="inlineStr">
        <is>
          <t>1974</t>
        </is>
      </c>
      <c r="Q1535" t="inlineStr">
        <is>
          <t>eng</t>
        </is>
      </c>
      <c r="R1535" t="inlineStr">
        <is>
          <t>nyu</t>
        </is>
      </c>
      <c r="T1535" t="inlineStr">
        <is>
          <t xml:space="preserve">WY </t>
        </is>
      </c>
      <c r="U1535" t="n">
        <v>1</v>
      </c>
      <c r="V1535" t="n">
        <v>1</v>
      </c>
      <c r="W1535" t="inlineStr">
        <is>
          <t>1992-02-26</t>
        </is>
      </c>
      <c r="X1535" t="inlineStr">
        <is>
          <t>1992-02-26</t>
        </is>
      </c>
      <c r="Y1535" t="inlineStr">
        <is>
          <t>1987-12-22</t>
        </is>
      </c>
      <c r="Z1535" t="inlineStr">
        <is>
          <t>1987-12-22</t>
        </is>
      </c>
      <c r="AA1535" t="n">
        <v>254</v>
      </c>
      <c r="AB1535" t="n">
        <v>203</v>
      </c>
      <c r="AC1535" t="n">
        <v>205</v>
      </c>
      <c r="AD1535" t="n">
        <v>2</v>
      </c>
      <c r="AE1535" t="n">
        <v>2</v>
      </c>
      <c r="AF1535" t="n">
        <v>6</v>
      </c>
      <c r="AG1535" t="n">
        <v>6</v>
      </c>
      <c r="AH1535" t="n">
        <v>2</v>
      </c>
      <c r="AI1535" t="n">
        <v>2</v>
      </c>
      <c r="AJ1535" t="n">
        <v>0</v>
      </c>
      <c r="AK1535" t="n">
        <v>0</v>
      </c>
      <c r="AL1535" t="n">
        <v>3</v>
      </c>
      <c r="AM1535" t="n">
        <v>3</v>
      </c>
      <c r="AN1535" t="n">
        <v>1</v>
      </c>
      <c r="AO1535" t="n">
        <v>1</v>
      </c>
      <c r="AP1535" t="n">
        <v>0</v>
      </c>
      <c r="AQ1535" t="n">
        <v>0</v>
      </c>
      <c r="AR1535" t="inlineStr">
        <is>
          <t>No</t>
        </is>
      </c>
      <c r="AS1535" t="inlineStr">
        <is>
          <t>Yes</t>
        </is>
      </c>
      <c r="AT1535">
        <f>HYPERLINK("http://catalog.hathitrust.org/Record/001574913","HathiTrust Record")</f>
        <v/>
      </c>
      <c r="AU1535">
        <f>HYPERLINK("https://creighton-primo.hosted.exlibrisgroup.com/primo-explore/search?tab=default_tab&amp;search_scope=EVERYTHING&amp;vid=01CRU&amp;lang=en_US&amp;offset=0&amp;query=any,contains,991000918499702656","Catalog Record")</f>
        <v/>
      </c>
      <c r="AV1535">
        <f>HYPERLINK("http://www.worldcat.org/oclc/650624","WorldCat Record")</f>
        <v/>
      </c>
      <c r="AW1535" t="inlineStr">
        <is>
          <t>404993:eng</t>
        </is>
      </c>
      <c r="AX1535" t="inlineStr">
        <is>
          <t>650624</t>
        </is>
      </c>
      <c r="AY1535" t="inlineStr">
        <is>
          <t>991000918499702656</t>
        </is>
      </c>
      <c r="AZ1535" t="inlineStr">
        <is>
          <t>991000918499702656</t>
        </is>
      </c>
      <c r="BA1535" t="inlineStr">
        <is>
          <t>2266429830002656</t>
        </is>
      </c>
      <c r="BB1535" t="inlineStr">
        <is>
          <t>BOOK</t>
        </is>
      </c>
      <c r="BD1535" t="inlineStr">
        <is>
          <t>9780070108158</t>
        </is>
      </c>
      <c r="BE1535" t="inlineStr">
        <is>
          <t>30001000180200</t>
        </is>
      </c>
      <c r="BF1535" t="inlineStr">
        <is>
          <t>893455282</t>
        </is>
      </c>
    </row>
    <row r="1536">
      <c r="A1536" t="inlineStr">
        <is>
          <t>No</t>
        </is>
      </c>
      <c r="B1536" t="inlineStr">
        <is>
          <t>CUHSL</t>
        </is>
      </c>
      <c r="C1536" t="inlineStr">
        <is>
          <t>SHELVES</t>
        </is>
      </c>
      <c r="D1536" t="inlineStr">
        <is>
          <t>WY 156 C737 1984</t>
        </is>
      </c>
      <c r="E1536" t="inlineStr">
        <is>
          <t>0                      WY 0156000C  737         1984</t>
        </is>
      </c>
      <c r="F1536" t="inlineStr">
        <is>
          <t>Complete guide to cancer nursing / edited by Marjorie Beyers, Suzanne Durburg, June Werner.</t>
        </is>
      </c>
      <c r="H1536" t="inlineStr">
        <is>
          <t>No</t>
        </is>
      </c>
      <c r="I1536" t="inlineStr">
        <is>
          <t>1</t>
        </is>
      </c>
      <c r="J1536" t="inlineStr">
        <is>
          <t>No</t>
        </is>
      </c>
      <c r="K1536" t="inlineStr">
        <is>
          <t>No</t>
        </is>
      </c>
      <c r="L1536" t="inlineStr">
        <is>
          <t>0</t>
        </is>
      </c>
      <c r="N1536" t="inlineStr">
        <is>
          <t>Oradell, N.J. : Medical Economics Books, c1984.</t>
        </is>
      </c>
      <c r="O1536" t="inlineStr">
        <is>
          <t>1984</t>
        </is>
      </c>
      <c r="Q1536" t="inlineStr">
        <is>
          <t>eng</t>
        </is>
      </c>
      <c r="R1536" t="inlineStr">
        <is>
          <t>xxu</t>
        </is>
      </c>
      <c r="T1536" t="inlineStr">
        <is>
          <t xml:space="preserve">WY </t>
        </is>
      </c>
      <c r="U1536" t="n">
        <v>3</v>
      </c>
      <c r="V1536" t="n">
        <v>3</v>
      </c>
      <c r="W1536" t="inlineStr">
        <is>
          <t>1988-09-13</t>
        </is>
      </c>
      <c r="X1536" t="inlineStr">
        <is>
          <t>1988-09-13</t>
        </is>
      </c>
      <c r="Y1536" t="inlineStr">
        <is>
          <t>1987-12-22</t>
        </is>
      </c>
      <c r="Z1536" t="inlineStr">
        <is>
          <t>1987-12-22</t>
        </is>
      </c>
      <c r="AA1536" t="n">
        <v>179</v>
      </c>
      <c r="AB1536" t="n">
        <v>167</v>
      </c>
      <c r="AC1536" t="n">
        <v>174</v>
      </c>
      <c r="AD1536" t="n">
        <v>1</v>
      </c>
      <c r="AE1536" t="n">
        <v>1</v>
      </c>
      <c r="AF1536" t="n">
        <v>5</v>
      </c>
      <c r="AG1536" t="n">
        <v>5</v>
      </c>
      <c r="AH1536" t="n">
        <v>1</v>
      </c>
      <c r="AI1536" t="n">
        <v>1</v>
      </c>
      <c r="AJ1536" t="n">
        <v>1</v>
      </c>
      <c r="AK1536" t="n">
        <v>1</v>
      </c>
      <c r="AL1536" t="n">
        <v>4</v>
      </c>
      <c r="AM1536" t="n">
        <v>4</v>
      </c>
      <c r="AN1536" t="n">
        <v>0</v>
      </c>
      <c r="AO1536" t="n">
        <v>0</v>
      </c>
      <c r="AP1536" t="n">
        <v>0</v>
      </c>
      <c r="AQ1536" t="n">
        <v>0</v>
      </c>
      <c r="AR1536" t="inlineStr">
        <is>
          <t>No</t>
        </is>
      </c>
      <c r="AS1536" t="inlineStr">
        <is>
          <t>Yes</t>
        </is>
      </c>
      <c r="AT1536">
        <f>HYPERLINK("http://catalog.hathitrust.org/Record/000247230","HathiTrust Record")</f>
        <v/>
      </c>
      <c r="AU1536">
        <f>HYPERLINK("https://creighton-primo.hosted.exlibrisgroup.com/primo-explore/search?tab=default_tab&amp;search_scope=EVERYTHING&amp;vid=01CRU&amp;lang=en_US&amp;offset=0&amp;query=any,contains,991000918549702656","Catalog Record")</f>
        <v/>
      </c>
      <c r="AV1536">
        <f>HYPERLINK("http://www.worldcat.org/oclc/9322876","WorldCat Record")</f>
        <v/>
      </c>
      <c r="AW1536" t="inlineStr">
        <is>
          <t>375425047:eng</t>
        </is>
      </c>
      <c r="AX1536" t="inlineStr">
        <is>
          <t>9322876</t>
        </is>
      </c>
      <c r="AY1536" t="inlineStr">
        <is>
          <t>991000918549702656</t>
        </is>
      </c>
      <c r="AZ1536" t="inlineStr">
        <is>
          <t>991000918549702656</t>
        </is>
      </c>
      <c r="BA1536" t="inlineStr">
        <is>
          <t>2260876890002656</t>
        </is>
      </c>
      <c r="BB1536" t="inlineStr">
        <is>
          <t>BOOK</t>
        </is>
      </c>
      <c r="BD1536" t="inlineStr">
        <is>
          <t>9780874892949</t>
        </is>
      </c>
      <c r="BE1536" t="inlineStr">
        <is>
          <t>30001000180226</t>
        </is>
      </c>
      <c r="BF1536" t="inlineStr">
        <is>
          <t>893133970</t>
        </is>
      </c>
    </row>
    <row r="1537">
      <c r="A1537" t="inlineStr">
        <is>
          <t>No</t>
        </is>
      </c>
      <c r="B1537" t="inlineStr">
        <is>
          <t>CUHSL</t>
        </is>
      </c>
      <c r="C1537" t="inlineStr">
        <is>
          <t>SHELVES</t>
        </is>
      </c>
      <c r="D1537" t="inlineStr">
        <is>
          <t>WY 156 C745 1981</t>
        </is>
      </c>
      <c r="E1537" t="inlineStr">
        <is>
          <t>0                      WY 0156000C  745         1981</t>
        </is>
      </c>
      <c r="F1537" t="inlineStr">
        <is>
          <t>Concepts of oncology nursing / Donna L. Vredevoe ... [et al.], with contribution by Carol A. Brainerd.</t>
        </is>
      </c>
      <c r="H1537" t="inlineStr">
        <is>
          <t>No</t>
        </is>
      </c>
      <c r="I1537" t="inlineStr">
        <is>
          <t>1</t>
        </is>
      </c>
      <c r="J1537" t="inlineStr">
        <is>
          <t>No</t>
        </is>
      </c>
      <c r="K1537" t="inlineStr">
        <is>
          <t>No</t>
        </is>
      </c>
      <c r="L1537" t="inlineStr">
        <is>
          <t>0</t>
        </is>
      </c>
      <c r="N1537" t="inlineStr">
        <is>
          <t>Englewood Cliffs, N.J. : Prentice-Hall, c1981.</t>
        </is>
      </c>
      <c r="O1537" t="inlineStr">
        <is>
          <t>1981</t>
        </is>
      </c>
      <c r="Q1537" t="inlineStr">
        <is>
          <t>eng</t>
        </is>
      </c>
      <c r="R1537" t="inlineStr">
        <is>
          <t>xxu</t>
        </is>
      </c>
      <c r="T1537" t="inlineStr">
        <is>
          <t xml:space="preserve">WY </t>
        </is>
      </c>
      <c r="U1537" t="n">
        <v>4</v>
      </c>
      <c r="V1537" t="n">
        <v>4</v>
      </c>
      <c r="W1537" t="inlineStr">
        <is>
          <t>1992-03-04</t>
        </is>
      </c>
      <c r="X1537" t="inlineStr">
        <is>
          <t>1992-03-04</t>
        </is>
      </c>
      <c r="Y1537" t="inlineStr">
        <is>
          <t>1987-12-22</t>
        </is>
      </c>
      <c r="Z1537" t="inlineStr">
        <is>
          <t>1987-12-22</t>
        </is>
      </c>
      <c r="AA1537" t="n">
        <v>230</v>
      </c>
      <c r="AB1537" t="n">
        <v>184</v>
      </c>
      <c r="AC1537" t="n">
        <v>201</v>
      </c>
      <c r="AD1537" t="n">
        <v>3</v>
      </c>
      <c r="AE1537" t="n">
        <v>3</v>
      </c>
      <c r="AF1537" t="n">
        <v>7</v>
      </c>
      <c r="AG1537" t="n">
        <v>9</v>
      </c>
      <c r="AH1537" t="n">
        <v>2</v>
      </c>
      <c r="AI1537" t="n">
        <v>3</v>
      </c>
      <c r="AJ1537" t="n">
        <v>2</v>
      </c>
      <c r="AK1537" t="n">
        <v>3</v>
      </c>
      <c r="AL1537" t="n">
        <v>4</v>
      </c>
      <c r="AM1537" t="n">
        <v>4</v>
      </c>
      <c r="AN1537" t="n">
        <v>2</v>
      </c>
      <c r="AO1537" t="n">
        <v>2</v>
      </c>
      <c r="AP1537" t="n">
        <v>0</v>
      </c>
      <c r="AQ1537" t="n">
        <v>0</v>
      </c>
      <c r="AR1537" t="inlineStr">
        <is>
          <t>No</t>
        </is>
      </c>
      <c r="AS1537" t="inlineStr">
        <is>
          <t>Yes</t>
        </is>
      </c>
      <c r="AT1537">
        <f>HYPERLINK("http://catalog.hathitrust.org/Record/000103086","HathiTrust Record")</f>
        <v/>
      </c>
      <c r="AU1537">
        <f>HYPERLINK("https://creighton-primo.hosted.exlibrisgroup.com/primo-explore/search?tab=default_tab&amp;search_scope=EVERYTHING&amp;vid=01CRU&amp;lang=en_US&amp;offset=0&amp;query=any,contains,991000918589702656","Catalog Record")</f>
        <v/>
      </c>
      <c r="AV1537">
        <f>HYPERLINK("http://www.worldcat.org/oclc/7171077","WorldCat Record")</f>
        <v/>
      </c>
      <c r="AW1537" t="inlineStr">
        <is>
          <t>410507:eng</t>
        </is>
      </c>
      <c r="AX1537" t="inlineStr">
        <is>
          <t>7171077</t>
        </is>
      </c>
      <c r="AY1537" t="inlineStr">
        <is>
          <t>991000918589702656</t>
        </is>
      </c>
      <c r="AZ1537" t="inlineStr">
        <is>
          <t>991000918589702656</t>
        </is>
      </c>
      <c r="BA1537" t="inlineStr">
        <is>
          <t>2269587480002656</t>
        </is>
      </c>
      <c r="BB1537" t="inlineStr">
        <is>
          <t>BOOK</t>
        </is>
      </c>
      <c r="BD1537" t="inlineStr">
        <is>
          <t>9780131665873</t>
        </is>
      </c>
      <c r="BE1537" t="inlineStr">
        <is>
          <t>30001000180234</t>
        </is>
      </c>
      <c r="BF1537" t="inlineStr">
        <is>
          <t>893358011</t>
        </is>
      </c>
    </row>
    <row r="1538">
      <c r="A1538" t="inlineStr">
        <is>
          <t>No</t>
        </is>
      </c>
      <c r="B1538" t="inlineStr">
        <is>
          <t>CUHSL</t>
        </is>
      </c>
      <c r="C1538" t="inlineStr">
        <is>
          <t>SHELVES</t>
        </is>
      </c>
      <c r="D1538" t="inlineStr">
        <is>
          <t>WY 156 C761 2003</t>
        </is>
      </c>
      <c r="E1538" t="inlineStr">
        <is>
          <t>0                      WY 0156000C  761         2003</t>
        </is>
      </c>
      <c r="F1538" t="inlineStr">
        <is>
          <t>Contemporary issues in lung cancer : a nursing perspective / edited by Marilyn Haas.</t>
        </is>
      </c>
      <c r="H1538" t="inlineStr">
        <is>
          <t>No</t>
        </is>
      </c>
      <c r="I1538" t="inlineStr">
        <is>
          <t>1</t>
        </is>
      </c>
      <c r="J1538" t="inlineStr">
        <is>
          <t>No</t>
        </is>
      </c>
      <c r="K1538" t="inlineStr">
        <is>
          <t>No</t>
        </is>
      </c>
      <c r="L1538" t="inlineStr">
        <is>
          <t>0</t>
        </is>
      </c>
      <c r="N1538" t="inlineStr">
        <is>
          <t>Boston : Jones and Bartlett Publishers, c2003.</t>
        </is>
      </c>
      <c r="O1538" t="inlineStr">
        <is>
          <t>2003</t>
        </is>
      </c>
      <c r="Q1538" t="inlineStr">
        <is>
          <t>eng</t>
        </is>
      </c>
      <c r="R1538" t="inlineStr">
        <is>
          <t>mau</t>
        </is>
      </c>
      <c r="S1538" t="inlineStr">
        <is>
          <t>Jones and Bartlett series in oncology</t>
        </is>
      </c>
      <c r="T1538" t="inlineStr">
        <is>
          <t xml:space="preserve">WY </t>
        </is>
      </c>
      <c r="U1538" t="n">
        <v>1</v>
      </c>
      <c r="V1538" t="n">
        <v>1</v>
      </c>
      <c r="W1538" t="inlineStr">
        <is>
          <t>2004-04-08</t>
        </is>
      </c>
      <c r="X1538" t="inlineStr">
        <is>
          <t>2004-04-08</t>
        </is>
      </c>
      <c r="Y1538" t="inlineStr">
        <is>
          <t>2004-04-06</t>
        </is>
      </c>
      <c r="Z1538" t="inlineStr">
        <is>
          <t>2004-04-06</t>
        </is>
      </c>
      <c r="AA1538" t="n">
        <v>148</v>
      </c>
      <c r="AB1538" t="n">
        <v>111</v>
      </c>
      <c r="AC1538" t="n">
        <v>197</v>
      </c>
      <c r="AD1538" t="n">
        <v>1</v>
      </c>
      <c r="AE1538" t="n">
        <v>1</v>
      </c>
      <c r="AF1538" t="n">
        <v>5</v>
      </c>
      <c r="AG1538" t="n">
        <v>7</v>
      </c>
      <c r="AH1538" t="n">
        <v>2</v>
      </c>
      <c r="AI1538" t="n">
        <v>3</v>
      </c>
      <c r="AJ1538" t="n">
        <v>1</v>
      </c>
      <c r="AK1538" t="n">
        <v>1</v>
      </c>
      <c r="AL1538" t="n">
        <v>3</v>
      </c>
      <c r="AM1538" t="n">
        <v>4</v>
      </c>
      <c r="AN1538" t="n">
        <v>0</v>
      </c>
      <c r="AO1538" t="n">
        <v>0</v>
      </c>
      <c r="AP1538" t="n">
        <v>0</v>
      </c>
      <c r="AQ1538" t="n">
        <v>0</v>
      </c>
      <c r="AR1538" t="inlineStr">
        <is>
          <t>No</t>
        </is>
      </c>
      <c r="AS1538" t="inlineStr">
        <is>
          <t>Yes</t>
        </is>
      </c>
      <c r="AT1538">
        <f>HYPERLINK("http://catalog.hathitrust.org/Record/004254126","HathiTrust Record")</f>
        <v/>
      </c>
      <c r="AU1538">
        <f>HYPERLINK("https://creighton-primo.hosted.exlibrisgroup.com/primo-explore/search?tab=default_tab&amp;search_scope=EVERYTHING&amp;vid=01CRU&amp;lang=en_US&amp;offset=0&amp;query=any,contains,991000369799702656","Catalog Record")</f>
        <v/>
      </c>
      <c r="AV1538">
        <f>HYPERLINK("http://www.worldcat.org/oclc/50511375","WorldCat Record")</f>
        <v/>
      </c>
      <c r="AW1538" t="inlineStr">
        <is>
          <t>802946408:eng</t>
        </is>
      </c>
      <c r="AX1538" t="inlineStr">
        <is>
          <t>50511375</t>
        </is>
      </c>
      <c r="AY1538" t="inlineStr">
        <is>
          <t>991000369799702656</t>
        </is>
      </c>
      <c r="AZ1538" t="inlineStr">
        <is>
          <t>991000369799702656</t>
        </is>
      </c>
      <c r="BA1538" t="inlineStr">
        <is>
          <t>2257480880002656</t>
        </is>
      </c>
      <c r="BB1538" t="inlineStr">
        <is>
          <t>BOOK</t>
        </is>
      </c>
      <c r="BD1538" t="inlineStr">
        <is>
          <t>9780763719142</t>
        </is>
      </c>
      <c r="BE1538" t="inlineStr">
        <is>
          <t>30001004218618</t>
        </is>
      </c>
      <c r="BF1538" t="inlineStr">
        <is>
          <t>893150966</t>
        </is>
      </c>
    </row>
    <row r="1539">
      <c r="A1539" t="inlineStr">
        <is>
          <t>No</t>
        </is>
      </c>
      <c r="B1539" t="inlineStr">
        <is>
          <t>CUHSL</t>
        </is>
      </c>
      <c r="C1539" t="inlineStr">
        <is>
          <t>SHELVES</t>
        </is>
      </c>
      <c r="D1539" t="inlineStr">
        <is>
          <t>WY 156 C953p 1962</t>
        </is>
      </c>
      <c r="E1539" t="inlineStr">
        <is>
          <t>0                      WY 0156000C  953p        1962</t>
        </is>
      </c>
      <c r="F1539" t="inlineStr">
        <is>
          <t>Pain and its alleviation / Dorothy M. Crowley.</t>
        </is>
      </c>
      <c r="H1539" t="inlineStr">
        <is>
          <t>No</t>
        </is>
      </c>
      <c r="I1539" t="inlineStr">
        <is>
          <t>1</t>
        </is>
      </c>
      <c r="J1539" t="inlineStr">
        <is>
          <t>No</t>
        </is>
      </c>
      <c r="K1539" t="inlineStr">
        <is>
          <t>No</t>
        </is>
      </c>
      <c r="L1539" t="inlineStr">
        <is>
          <t>0</t>
        </is>
      </c>
      <c r="M1539" t="inlineStr">
        <is>
          <t>Crowley, Dorothy M. (Dorothy Marie), 1919-</t>
        </is>
      </c>
      <c r="N1539" t="inlineStr">
        <is>
          <t>[Los Angeles] : UCLA, School of Nursing, c1962.</t>
        </is>
      </c>
      <c r="O1539" t="inlineStr">
        <is>
          <t>1962</t>
        </is>
      </c>
      <c r="Q1539" t="inlineStr">
        <is>
          <t>eng</t>
        </is>
      </c>
      <c r="R1539" t="inlineStr">
        <is>
          <t xml:space="preserve">xx </t>
        </is>
      </c>
      <c r="T1539" t="inlineStr">
        <is>
          <t xml:space="preserve">WY </t>
        </is>
      </c>
      <c r="U1539" t="n">
        <v>2</v>
      </c>
      <c r="V1539" t="n">
        <v>2</v>
      </c>
      <c r="W1539" t="inlineStr">
        <is>
          <t>2001-09-18</t>
        </is>
      </c>
      <c r="X1539" t="inlineStr">
        <is>
          <t>2001-09-18</t>
        </is>
      </c>
      <c r="Y1539" t="inlineStr">
        <is>
          <t>1992-11-04</t>
        </is>
      </c>
      <c r="Z1539" t="inlineStr">
        <is>
          <t>1992-11-04</t>
        </is>
      </c>
      <c r="AA1539" t="n">
        <v>78</v>
      </c>
      <c r="AB1539" t="n">
        <v>76</v>
      </c>
      <c r="AC1539" t="n">
        <v>84</v>
      </c>
      <c r="AD1539" t="n">
        <v>1</v>
      </c>
      <c r="AE1539" t="n">
        <v>1</v>
      </c>
      <c r="AF1539" t="n">
        <v>5</v>
      </c>
      <c r="AG1539" t="n">
        <v>5</v>
      </c>
      <c r="AH1539" t="n">
        <v>1</v>
      </c>
      <c r="AI1539" t="n">
        <v>1</v>
      </c>
      <c r="AJ1539" t="n">
        <v>1</v>
      </c>
      <c r="AK1539" t="n">
        <v>1</v>
      </c>
      <c r="AL1539" t="n">
        <v>5</v>
      </c>
      <c r="AM1539" t="n">
        <v>5</v>
      </c>
      <c r="AN1539" t="n">
        <v>0</v>
      </c>
      <c r="AO1539" t="n">
        <v>0</v>
      </c>
      <c r="AP1539" t="n">
        <v>0</v>
      </c>
      <c r="AQ1539" t="n">
        <v>0</v>
      </c>
      <c r="AR1539" t="inlineStr">
        <is>
          <t>Yes</t>
        </is>
      </c>
      <c r="AS1539" t="inlineStr">
        <is>
          <t>No</t>
        </is>
      </c>
      <c r="AT1539">
        <f>HYPERLINK("http://catalog.hathitrust.org/Record/001561582","HathiTrust Record")</f>
        <v/>
      </c>
      <c r="AU1539">
        <f>HYPERLINK("https://creighton-primo.hosted.exlibrisgroup.com/primo-explore/search?tab=default_tab&amp;search_scope=EVERYTHING&amp;vid=01CRU&amp;lang=en_US&amp;offset=0&amp;query=any,contains,991000918829702656","Catalog Record")</f>
        <v/>
      </c>
      <c r="AV1539">
        <f>HYPERLINK("http://www.worldcat.org/oclc/14612038","WorldCat Record")</f>
        <v/>
      </c>
      <c r="AW1539" t="inlineStr">
        <is>
          <t>8308014:eng</t>
        </is>
      </c>
      <c r="AX1539" t="inlineStr">
        <is>
          <t>14612038</t>
        </is>
      </c>
      <c r="AY1539" t="inlineStr">
        <is>
          <t>991000918829702656</t>
        </is>
      </c>
      <c r="AZ1539" t="inlineStr">
        <is>
          <t>991000918829702656</t>
        </is>
      </c>
      <c r="BA1539" t="inlineStr">
        <is>
          <t>2265873030002656</t>
        </is>
      </c>
      <c r="BB1539" t="inlineStr">
        <is>
          <t>BOOK</t>
        </is>
      </c>
      <c r="BE1539" t="inlineStr">
        <is>
          <t>30001000180333</t>
        </is>
      </c>
      <c r="BF1539" t="inlineStr">
        <is>
          <t>893546208</t>
        </is>
      </c>
    </row>
    <row r="1540">
      <c r="A1540" t="inlineStr">
        <is>
          <t>No</t>
        </is>
      </c>
      <c r="B1540" t="inlineStr">
        <is>
          <t>CUHSL</t>
        </is>
      </c>
      <c r="C1540" t="inlineStr">
        <is>
          <t>SHELVES</t>
        </is>
      </c>
      <c r="D1540" t="inlineStr">
        <is>
          <t>WY 156 D997 1976</t>
        </is>
      </c>
      <c r="E1540" t="inlineStr">
        <is>
          <t>0                      WY 0156000D  997         1976</t>
        </is>
      </c>
      <c r="F1540" t="inlineStr">
        <is>
          <t>Dynamics of problem-oriented approaches : patient care and documentation / edited by Judith Bloom Walter, Geraldine P. Pardee, Doris M. Molbo ; contributors, Judith G. Atwood ... [et al.].</t>
        </is>
      </c>
      <c r="H1540" t="inlineStr">
        <is>
          <t>No</t>
        </is>
      </c>
      <c r="I1540" t="inlineStr">
        <is>
          <t>1</t>
        </is>
      </c>
      <c r="J1540" t="inlineStr">
        <is>
          <t>No</t>
        </is>
      </c>
      <c r="K1540" t="inlineStr">
        <is>
          <t>No</t>
        </is>
      </c>
      <c r="L1540" t="inlineStr">
        <is>
          <t>0</t>
        </is>
      </c>
      <c r="N1540" t="inlineStr">
        <is>
          <t>Philadelphia : Lippincott, c1976.</t>
        </is>
      </c>
      <c r="O1540" t="inlineStr">
        <is>
          <t>1976</t>
        </is>
      </c>
      <c r="Q1540" t="inlineStr">
        <is>
          <t>eng</t>
        </is>
      </c>
      <c r="R1540" t="inlineStr">
        <is>
          <t>pau</t>
        </is>
      </c>
      <c r="T1540" t="inlineStr">
        <is>
          <t xml:space="preserve">WY </t>
        </is>
      </c>
      <c r="U1540" t="n">
        <v>1</v>
      </c>
      <c r="V1540" t="n">
        <v>1</v>
      </c>
      <c r="W1540" t="inlineStr">
        <is>
          <t>1989-12-10</t>
        </is>
      </c>
      <c r="X1540" t="inlineStr">
        <is>
          <t>1989-12-10</t>
        </is>
      </c>
      <c r="Y1540" t="inlineStr">
        <is>
          <t>1987-12-22</t>
        </is>
      </c>
      <c r="Z1540" t="inlineStr">
        <is>
          <t>1987-12-22</t>
        </is>
      </c>
      <c r="AA1540" t="n">
        <v>186</v>
      </c>
      <c r="AB1540" t="n">
        <v>143</v>
      </c>
      <c r="AC1540" t="n">
        <v>145</v>
      </c>
      <c r="AD1540" t="n">
        <v>2</v>
      </c>
      <c r="AE1540" t="n">
        <v>2</v>
      </c>
      <c r="AF1540" t="n">
        <v>6</v>
      </c>
      <c r="AG1540" t="n">
        <v>6</v>
      </c>
      <c r="AH1540" t="n">
        <v>1</v>
      </c>
      <c r="AI1540" t="n">
        <v>1</v>
      </c>
      <c r="AJ1540" t="n">
        <v>0</v>
      </c>
      <c r="AK1540" t="n">
        <v>0</v>
      </c>
      <c r="AL1540" t="n">
        <v>4</v>
      </c>
      <c r="AM1540" t="n">
        <v>4</v>
      </c>
      <c r="AN1540" t="n">
        <v>1</v>
      </c>
      <c r="AO1540" t="n">
        <v>1</v>
      </c>
      <c r="AP1540" t="n">
        <v>0</v>
      </c>
      <c r="AQ1540" t="n">
        <v>0</v>
      </c>
      <c r="AR1540" t="inlineStr">
        <is>
          <t>No</t>
        </is>
      </c>
      <c r="AS1540" t="inlineStr">
        <is>
          <t>Yes</t>
        </is>
      </c>
      <c r="AT1540">
        <f>HYPERLINK("http://catalog.hathitrust.org/Record/000682905","HathiTrust Record")</f>
        <v/>
      </c>
      <c r="AU1540">
        <f>HYPERLINK("https://creighton-primo.hosted.exlibrisgroup.com/primo-explore/search?tab=default_tab&amp;search_scope=EVERYTHING&amp;vid=01CRU&amp;lang=en_US&amp;offset=0&amp;query=any,contains,991000918789702656","Catalog Record")</f>
        <v/>
      </c>
      <c r="AV1540">
        <f>HYPERLINK("http://www.worldcat.org/oclc/2151124","WorldCat Record")</f>
        <v/>
      </c>
      <c r="AW1540" t="inlineStr">
        <is>
          <t>890629785:eng</t>
        </is>
      </c>
      <c r="AX1540" t="inlineStr">
        <is>
          <t>2151124</t>
        </is>
      </c>
      <c r="AY1540" t="inlineStr">
        <is>
          <t>991000918789702656</t>
        </is>
      </c>
      <c r="AZ1540" t="inlineStr">
        <is>
          <t>991000918789702656</t>
        </is>
      </c>
      <c r="BA1540" t="inlineStr">
        <is>
          <t>2261436890002656</t>
        </is>
      </c>
      <c r="BB1540" t="inlineStr">
        <is>
          <t>BOOK</t>
        </is>
      </c>
      <c r="BD1540" t="inlineStr">
        <is>
          <t>9780397541874</t>
        </is>
      </c>
      <c r="BE1540" t="inlineStr">
        <is>
          <t>30001000180341</t>
        </is>
      </c>
      <c r="BF1540" t="inlineStr">
        <is>
          <t>893460133</t>
        </is>
      </c>
    </row>
    <row r="1541">
      <c r="A1541" t="inlineStr">
        <is>
          <t>No</t>
        </is>
      </c>
      <c r="B1541" t="inlineStr">
        <is>
          <t>CUHSL</t>
        </is>
      </c>
      <c r="C1541" t="inlineStr">
        <is>
          <t>SHELVES</t>
        </is>
      </c>
      <c r="D1541" t="inlineStr">
        <is>
          <t>WY 156 E58 1990</t>
        </is>
      </c>
      <c r="E1541" t="inlineStr">
        <is>
          <t>0                      WY 0156000E  58          1990</t>
        </is>
      </c>
      <c r="F1541" t="inlineStr">
        <is>
          <t>Enhancing the role of cancer nursing / editors, Carol Reed Ash, Jean F. Jenkins.</t>
        </is>
      </c>
      <c r="H1541" t="inlineStr">
        <is>
          <t>No</t>
        </is>
      </c>
      <c r="I1541" t="inlineStr">
        <is>
          <t>1</t>
        </is>
      </c>
      <c r="J1541" t="inlineStr">
        <is>
          <t>No</t>
        </is>
      </c>
      <c r="K1541" t="inlineStr">
        <is>
          <t>No</t>
        </is>
      </c>
      <c r="L1541" t="inlineStr">
        <is>
          <t>0</t>
        </is>
      </c>
      <c r="N1541" t="inlineStr">
        <is>
          <t>New York : Raven Press, c1990.</t>
        </is>
      </c>
      <c r="O1541" t="inlineStr">
        <is>
          <t>1990</t>
        </is>
      </c>
      <c r="Q1541" t="inlineStr">
        <is>
          <t>eng</t>
        </is>
      </c>
      <c r="R1541" t="inlineStr">
        <is>
          <t>xxu</t>
        </is>
      </c>
      <c r="T1541" t="inlineStr">
        <is>
          <t xml:space="preserve">WY </t>
        </is>
      </c>
      <c r="U1541" t="n">
        <v>4</v>
      </c>
      <c r="V1541" t="n">
        <v>4</v>
      </c>
      <c r="W1541" t="inlineStr">
        <is>
          <t>1992-03-04</t>
        </is>
      </c>
      <c r="X1541" t="inlineStr">
        <is>
          <t>1992-03-04</t>
        </is>
      </c>
      <c r="Y1541" t="inlineStr">
        <is>
          <t>1990-08-16</t>
        </is>
      </c>
      <c r="Z1541" t="inlineStr">
        <is>
          <t>1990-08-16</t>
        </is>
      </c>
      <c r="AA1541" t="n">
        <v>154</v>
      </c>
      <c r="AB1541" t="n">
        <v>112</v>
      </c>
      <c r="AC1541" t="n">
        <v>115</v>
      </c>
      <c r="AD1541" t="n">
        <v>1</v>
      </c>
      <c r="AE1541" t="n">
        <v>1</v>
      </c>
      <c r="AF1541" t="n">
        <v>9</v>
      </c>
      <c r="AG1541" t="n">
        <v>9</v>
      </c>
      <c r="AH1541" t="n">
        <v>3</v>
      </c>
      <c r="AI1541" t="n">
        <v>3</v>
      </c>
      <c r="AJ1541" t="n">
        <v>2</v>
      </c>
      <c r="AK1541" t="n">
        <v>2</v>
      </c>
      <c r="AL1541" t="n">
        <v>6</v>
      </c>
      <c r="AM1541" t="n">
        <v>6</v>
      </c>
      <c r="AN1541" t="n">
        <v>0</v>
      </c>
      <c r="AO1541" t="n">
        <v>0</v>
      </c>
      <c r="AP1541" t="n">
        <v>0</v>
      </c>
      <c r="AQ1541" t="n">
        <v>0</v>
      </c>
      <c r="AR1541" t="inlineStr">
        <is>
          <t>No</t>
        </is>
      </c>
      <c r="AS1541" t="inlineStr">
        <is>
          <t>Yes</t>
        </is>
      </c>
      <c r="AT1541">
        <f>HYPERLINK("http://catalog.hathitrust.org/Record/001827272","HathiTrust Record")</f>
        <v/>
      </c>
      <c r="AU1541">
        <f>HYPERLINK("https://creighton-primo.hosted.exlibrisgroup.com/primo-explore/search?tab=default_tab&amp;search_scope=EVERYTHING&amp;vid=01CRU&amp;lang=en_US&amp;offset=0&amp;query=any,contains,991001453079702656","Catalog Record")</f>
        <v/>
      </c>
      <c r="AV1541">
        <f>HYPERLINK("http://www.worldcat.org/oclc/20356902","WorldCat Record")</f>
        <v/>
      </c>
      <c r="AW1541" t="inlineStr">
        <is>
          <t>22051519:eng</t>
        </is>
      </c>
      <c r="AX1541" t="inlineStr">
        <is>
          <t>20356902</t>
        </is>
      </c>
      <c r="AY1541" t="inlineStr">
        <is>
          <t>991001453079702656</t>
        </is>
      </c>
      <c r="AZ1541" t="inlineStr">
        <is>
          <t>991001453079702656</t>
        </is>
      </c>
      <c r="BA1541" t="inlineStr">
        <is>
          <t>2267665770002656</t>
        </is>
      </c>
      <c r="BB1541" t="inlineStr">
        <is>
          <t>BOOK</t>
        </is>
      </c>
      <c r="BD1541" t="inlineStr">
        <is>
          <t>9780881675658</t>
        </is>
      </c>
      <c r="BE1541" t="inlineStr">
        <is>
          <t>30001001883885</t>
        </is>
      </c>
      <c r="BF1541" t="inlineStr">
        <is>
          <t>893364164</t>
        </is>
      </c>
    </row>
    <row r="1542">
      <c r="A1542" t="inlineStr">
        <is>
          <t>No</t>
        </is>
      </c>
      <c r="B1542" t="inlineStr">
        <is>
          <t>CUHSL</t>
        </is>
      </c>
      <c r="C1542" t="inlineStr">
        <is>
          <t>SHELVES</t>
        </is>
      </c>
      <c r="D1542" t="inlineStr">
        <is>
          <t>WY156 E93 2006</t>
        </is>
      </c>
      <c r="E1542" t="inlineStr">
        <is>
          <t>0                      WY 0156000E  93          2006</t>
        </is>
      </c>
      <c r="F1542" t="inlineStr">
        <is>
          <t>An evidence-based approach to the treatment and care of the older adult with cancer / edited by Diane G. Cope, Anne M. Reb.</t>
        </is>
      </c>
      <c r="H1542" t="inlineStr">
        <is>
          <t>No</t>
        </is>
      </c>
      <c r="I1542" t="inlineStr">
        <is>
          <t>1</t>
        </is>
      </c>
      <c r="J1542" t="inlineStr">
        <is>
          <t>No</t>
        </is>
      </c>
      <c r="K1542" t="inlineStr">
        <is>
          <t>No</t>
        </is>
      </c>
      <c r="L1542" t="inlineStr">
        <is>
          <t>0</t>
        </is>
      </c>
      <c r="N1542" t="inlineStr">
        <is>
          <t>Pittsburgh, Pa. : Oncology Nursing Society, c2006.</t>
        </is>
      </c>
      <c r="O1542" t="inlineStr">
        <is>
          <t>2006</t>
        </is>
      </c>
      <c r="Q1542" t="inlineStr">
        <is>
          <t>eng</t>
        </is>
      </c>
      <c r="R1542" t="inlineStr">
        <is>
          <t>pau</t>
        </is>
      </c>
      <c r="T1542" t="inlineStr">
        <is>
          <t xml:space="preserve">WY </t>
        </is>
      </c>
      <c r="U1542" t="n">
        <v>5</v>
      </c>
      <c r="V1542" t="n">
        <v>5</v>
      </c>
      <c r="W1542" t="inlineStr">
        <is>
          <t>2008-12-22</t>
        </is>
      </c>
      <c r="X1542" t="inlineStr">
        <is>
          <t>2008-12-22</t>
        </is>
      </c>
      <c r="Y1542" t="inlineStr">
        <is>
          <t>2008-01-24</t>
        </is>
      </c>
      <c r="Z1542" t="inlineStr">
        <is>
          <t>2008-01-24</t>
        </is>
      </c>
      <c r="AA1542" t="n">
        <v>217</v>
      </c>
      <c r="AB1542" t="n">
        <v>180</v>
      </c>
      <c r="AC1542" t="n">
        <v>215</v>
      </c>
      <c r="AD1542" t="n">
        <v>2</v>
      </c>
      <c r="AE1542" t="n">
        <v>2</v>
      </c>
      <c r="AF1542" t="n">
        <v>12</v>
      </c>
      <c r="AG1542" t="n">
        <v>14</v>
      </c>
      <c r="AH1542" t="n">
        <v>6</v>
      </c>
      <c r="AI1542" t="n">
        <v>7</v>
      </c>
      <c r="AJ1542" t="n">
        <v>3</v>
      </c>
      <c r="AK1542" t="n">
        <v>3</v>
      </c>
      <c r="AL1542" t="n">
        <v>3</v>
      </c>
      <c r="AM1542" t="n">
        <v>5</v>
      </c>
      <c r="AN1542" t="n">
        <v>1</v>
      </c>
      <c r="AO1542" t="n">
        <v>1</v>
      </c>
      <c r="AP1542" t="n">
        <v>0</v>
      </c>
      <c r="AQ1542" t="n">
        <v>0</v>
      </c>
      <c r="AR1542" t="inlineStr">
        <is>
          <t>No</t>
        </is>
      </c>
      <c r="AS1542" t="inlineStr">
        <is>
          <t>No</t>
        </is>
      </c>
      <c r="AU1542">
        <f>HYPERLINK("https://creighton-primo.hosted.exlibrisgroup.com/primo-explore/search?tab=default_tab&amp;search_scope=EVERYTHING&amp;vid=01CRU&amp;lang=en_US&amp;offset=0&amp;query=any,contains,991000674499702656","Catalog Record")</f>
        <v/>
      </c>
      <c r="AV1542">
        <f>HYPERLINK("http://www.worldcat.org/oclc/64384319","WorldCat Record")</f>
        <v/>
      </c>
      <c r="AW1542" t="inlineStr">
        <is>
          <t>480127314:eng</t>
        </is>
      </c>
      <c r="AX1542" t="inlineStr">
        <is>
          <t>64384319</t>
        </is>
      </c>
      <c r="AY1542" t="inlineStr">
        <is>
          <t>991000674499702656</t>
        </is>
      </c>
      <c r="AZ1542" t="inlineStr">
        <is>
          <t>991000674499702656</t>
        </is>
      </c>
      <c r="BA1542" t="inlineStr">
        <is>
          <t>2268120390002656</t>
        </is>
      </c>
      <c r="BB1542" t="inlineStr">
        <is>
          <t>BOOK</t>
        </is>
      </c>
      <c r="BD1542" t="inlineStr">
        <is>
          <t>9781890504588</t>
        </is>
      </c>
      <c r="BE1542" t="inlineStr">
        <is>
          <t>30001004915247</t>
        </is>
      </c>
      <c r="BF1542" t="inlineStr">
        <is>
          <t>893464523</t>
        </is>
      </c>
    </row>
    <row r="1543">
      <c r="A1543" t="inlineStr">
        <is>
          <t>No</t>
        </is>
      </c>
      <c r="B1543" t="inlineStr">
        <is>
          <t>CUHSL</t>
        </is>
      </c>
      <c r="C1543" t="inlineStr">
        <is>
          <t>SHELVES</t>
        </is>
      </c>
      <c r="D1543" t="inlineStr">
        <is>
          <t>WY 156 G9466 1985</t>
        </is>
      </c>
      <c r="E1543" t="inlineStr">
        <is>
          <t>0                      WY 0156000G  9466        1985</t>
        </is>
      </c>
      <c r="F1543" t="inlineStr">
        <is>
          <t>Guidelines for cancer nursing practice / edited by Oncology Nursing Society Clinical Practice Subcommittee on Guidelines, Joan C. McNally, Joy Campbell Stair, Eileen T. Somerville.</t>
        </is>
      </c>
      <c r="H1543" t="inlineStr">
        <is>
          <t>No</t>
        </is>
      </c>
      <c r="I1543" t="inlineStr">
        <is>
          <t>1</t>
        </is>
      </c>
      <c r="J1543" t="inlineStr">
        <is>
          <t>No</t>
        </is>
      </c>
      <c r="K1543" t="inlineStr">
        <is>
          <t>No</t>
        </is>
      </c>
      <c r="L1543" t="inlineStr">
        <is>
          <t>0</t>
        </is>
      </c>
      <c r="N1543" t="inlineStr">
        <is>
          <t>Orlando : Grune &amp; Stratton, c1985.</t>
        </is>
      </c>
      <c r="O1543" t="inlineStr">
        <is>
          <t>1985</t>
        </is>
      </c>
      <c r="Q1543" t="inlineStr">
        <is>
          <t>eng</t>
        </is>
      </c>
      <c r="R1543" t="inlineStr">
        <is>
          <t>xxu</t>
        </is>
      </c>
      <c r="T1543" t="inlineStr">
        <is>
          <t xml:space="preserve">WY </t>
        </is>
      </c>
      <c r="U1543" t="n">
        <v>3</v>
      </c>
      <c r="V1543" t="n">
        <v>3</v>
      </c>
      <c r="W1543" t="inlineStr">
        <is>
          <t>1990-12-12</t>
        </is>
      </c>
      <c r="X1543" t="inlineStr">
        <is>
          <t>1990-12-12</t>
        </is>
      </c>
      <c r="Y1543" t="inlineStr">
        <is>
          <t>1987-12-22</t>
        </is>
      </c>
      <c r="Z1543" t="inlineStr">
        <is>
          <t>1987-12-22</t>
        </is>
      </c>
      <c r="AA1543" t="n">
        <v>183</v>
      </c>
      <c r="AB1543" t="n">
        <v>151</v>
      </c>
      <c r="AC1543" t="n">
        <v>154</v>
      </c>
      <c r="AD1543" t="n">
        <v>2</v>
      </c>
      <c r="AE1543" t="n">
        <v>2</v>
      </c>
      <c r="AF1543" t="n">
        <v>6</v>
      </c>
      <c r="AG1543" t="n">
        <v>6</v>
      </c>
      <c r="AH1543" t="n">
        <v>1</v>
      </c>
      <c r="AI1543" t="n">
        <v>1</v>
      </c>
      <c r="AJ1543" t="n">
        <v>2</v>
      </c>
      <c r="AK1543" t="n">
        <v>2</v>
      </c>
      <c r="AL1543" t="n">
        <v>4</v>
      </c>
      <c r="AM1543" t="n">
        <v>4</v>
      </c>
      <c r="AN1543" t="n">
        <v>1</v>
      </c>
      <c r="AO1543" t="n">
        <v>1</v>
      </c>
      <c r="AP1543" t="n">
        <v>0</v>
      </c>
      <c r="AQ1543" t="n">
        <v>0</v>
      </c>
      <c r="AR1543" t="inlineStr">
        <is>
          <t>No</t>
        </is>
      </c>
      <c r="AS1543" t="inlineStr">
        <is>
          <t>Yes</t>
        </is>
      </c>
      <c r="AT1543">
        <f>HYPERLINK("http://catalog.hathitrust.org/Record/000573657","HathiTrust Record")</f>
        <v/>
      </c>
      <c r="AU1543">
        <f>HYPERLINK("https://creighton-primo.hosted.exlibrisgroup.com/primo-explore/search?tab=default_tab&amp;search_scope=EVERYTHING&amp;vid=01CRU&amp;lang=en_US&amp;offset=0&amp;query=any,contains,991000918939702656","Catalog Record")</f>
        <v/>
      </c>
      <c r="AV1543">
        <f>HYPERLINK("http://www.worldcat.org/oclc/11371866","WorldCat Record")</f>
        <v/>
      </c>
      <c r="AW1543" t="inlineStr">
        <is>
          <t>3934351:eng</t>
        </is>
      </c>
      <c r="AX1543" t="inlineStr">
        <is>
          <t>11371866</t>
        </is>
      </c>
      <c r="AY1543" t="inlineStr">
        <is>
          <t>991000918939702656</t>
        </is>
      </c>
      <c r="AZ1543" t="inlineStr">
        <is>
          <t>991000918939702656</t>
        </is>
      </c>
      <c r="BA1543" t="inlineStr">
        <is>
          <t>2268568290002656</t>
        </is>
      </c>
      <c r="BB1543" t="inlineStr">
        <is>
          <t>BOOK</t>
        </is>
      </c>
      <c r="BD1543" t="inlineStr">
        <is>
          <t>9780808917083</t>
        </is>
      </c>
      <c r="BE1543" t="inlineStr">
        <is>
          <t>30001000180432</t>
        </is>
      </c>
      <c r="BF1543" t="inlineStr">
        <is>
          <t>893632499</t>
        </is>
      </c>
    </row>
    <row r="1544">
      <c r="A1544" t="inlineStr">
        <is>
          <t>No</t>
        </is>
      </c>
      <c r="B1544" t="inlineStr">
        <is>
          <t>CUHSL</t>
        </is>
      </c>
      <c r="C1544" t="inlineStr">
        <is>
          <t>SHELVES</t>
        </is>
      </c>
      <c r="D1544" t="inlineStr">
        <is>
          <t>WY 156 H299p 1973</t>
        </is>
      </c>
      <c r="E1544" t="inlineStr">
        <is>
          <t>0                      WY 0156000H  299p        1973</t>
        </is>
      </c>
      <c r="F1544" t="inlineStr">
        <is>
          <t>Patient care in renal failure / Joan DeLong Harrington [and] Etta Rae Brener.</t>
        </is>
      </c>
      <c r="G1544" t="inlineStr">
        <is>
          <t>V.5</t>
        </is>
      </c>
      <c r="H1544" t="inlineStr">
        <is>
          <t>No</t>
        </is>
      </c>
      <c r="I1544" t="inlineStr">
        <is>
          <t>1</t>
        </is>
      </c>
      <c r="J1544" t="inlineStr">
        <is>
          <t>No</t>
        </is>
      </c>
      <c r="K1544" t="inlineStr">
        <is>
          <t>No</t>
        </is>
      </c>
      <c r="L1544" t="inlineStr">
        <is>
          <t>0</t>
        </is>
      </c>
      <c r="M1544" t="inlineStr">
        <is>
          <t>Harrington, Joan DeLong.</t>
        </is>
      </c>
      <c r="N1544" t="inlineStr">
        <is>
          <t>Philadelphia : Saunders, 1973.</t>
        </is>
      </c>
      <c r="O1544" t="inlineStr">
        <is>
          <t>1973</t>
        </is>
      </c>
      <c r="Q1544" t="inlineStr">
        <is>
          <t>eng</t>
        </is>
      </c>
      <c r="R1544" t="inlineStr">
        <is>
          <t>pau</t>
        </is>
      </c>
      <c r="S1544" t="inlineStr">
        <is>
          <t>Saunders monographs in clinical nursing ; 5</t>
        </is>
      </c>
      <c r="T1544" t="inlineStr">
        <is>
          <t xml:space="preserve">WY </t>
        </is>
      </c>
      <c r="U1544" t="n">
        <v>1</v>
      </c>
      <c r="V1544" t="n">
        <v>1</v>
      </c>
      <c r="W1544" t="inlineStr">
        <is>
          <t>1990-11-15</t>
        </is>
      </c>
      <c r="X1544" t="inlineStr">
        <is>
          <t>1990-11-15</t>
        </is>
      </c>
      <c r="Y1544" t="inlineStr">
        <is>
          <t>1988-01-09</t>
        </is>
      </c>
      <c r="Z1544" t="inlineStr">
        <is>
          <t>1988-01-09</t>
        </is>
      </c>
      <c r="AA1544" t="n">
        <v>232</v>
      </c>
      <c r="AB1544" t="n">
        <v>191</v>
      </c>
      <c r="AC1544" t="n">
        <v>198</v>
      </c>
      <c r="AD1544" t="n">
        <v>2</v>
      </c>
      <c r="AE1544" t="n">
        <v>2</v>
      </c>
      <c r="AF1544" t="n">
        <v>11</v>
      </c>
      <c r="AG1544" t="n">
        <v>11</v>
      </c>
      <c r="AH1544" t="n">
        <v>4</v>
      </c>
      <c r="AI1544" t="n">
        <v>4</v>
      </c>
      <c r="AJ1544" t="n">
        <v>2</v>
      </c>
      <c r="AK1544" t="n">
        <v>2</v>
      </c>
      <c r="AL1544" t="n">
        <v>6</v>
      </c>
      <c r="AM1544" t="n">
        <v>6</v>
      </c>
      <c r="AN1544" t="n">
        <v>1</v>
      </c>
      <c r="AO1544" t="n">
        <v>1</v>
      </c>
      <c r="AP1544" t="n">
        <v>0</v>
      </c>
      <c r="AQ1544" t="n">
        <v>0</v>
      </c>
      <c r="AR1544" t="inlineStr">
        <is>
          <t>No</t>
        </is>
      </c>
      <c r="AS1544" t="inlineStr">
        <is>
          <t>Yes</t>
        </is>
      </c>
      <c r="AT1544">
        <f>HYPERLINK("http://catalog.hathitrust.org/Record/000746807","HathiTrust Record")</f>
        <v/>
      </c>
      <c r="AU1544">
        <f>HYPERLINK("https://creighton-primo.hosted.exlibrisgroup.com/primo-explore/search?tab=default_tab&amp;search_scope=EVERYTHING&amp;vid=01CRU&amp;lang=en_US&amp;offset=0&amp;query=any,contains,991000919049702656","Catalog Record")</f>
        <v/>
      </c>
      <c r="AV1544">
        <f>HYPERLINK("http://www.worldcat.org/oclc/754595","WorldCat Record")</f>
        <v/>
      </c>
      <c r="AW1544" t="inlineStr">
        <is>
          <t>1610565:eng</t>
        </is>
      </c>
      <c r="AX1544" t="inlineStr">
        <is>
          <t>754595</t>
        </is>
      </c>
      <c r="AY1544" t="inlineStr">
        <is>
          <t>991000919049702656</t>
        </is>
      </c>
      <c r="AZ1544" t="inlineStr">
        <is>
          <t>991000919049702656</t>
        </is>
      </c>
      <c r="BA1544" t="inlineStr">
        <is>
          <t>2267647120002656</t>
        </is>
      </c>
      <c r="BB1544" t="inlineStr">
        <is>
          <t>BOOK</t>
        </is>
      </c>
      <c r="BD1544" t="inlineStr">
        <is>
          <t>9780721645285</t>
        </is>
      </c>
      <c r="BE1544" t="inlineStr">
        <is>
          <t>30001000180473</t>
        </is>
      </c>
      <c r="BF1544" t="inlineStr">
        <is>
          <t>893358012</t>
        </is>
      </c>
    </row>
    <row r="1545">
      <c r="A1545" t="inlineStr">
        <is>
          <t>No</t>
        </is>
      </c>
      <c r="B1545" t="inlineStr">
        <is>
          <t>CUHSL</t>
        </is>
      </c>
      <c r="C1545" t="inlineStr">
        <is>
          <t>SHELVES</t>
        </is>
      </c>
      <c r="D1545" t="inlineStr">
        <is>
          <t>WY 156 K39c 1970</t>
        </is>
      </c>
      <c r="E1545" t="inlineStr">
        <is>
          <t>0                      WY 0156000K  39c         1970</t>
        </is>
      </c>
      <c r="F1545" t="inlineStr">
        <is>
          <t>Cardiovascular nursing : rationale for therapy and nursing approach / Jeanette Kernicki, Barbara L. Bullock, Joan Matthews.</t>
        </is>
      </c>
      <c r="H1545" t="inlineStr">
        <is>
          <t>No</t>
        </is>
      </c>
      <c r="I1545" t="inlineStr">
        <is>
          <t>1</t>
        </is>
      </c>
      <c r="J1545" t="inlineStr">
        <is>
          <t>No</t>
        </is>
      </c>
      <c r="K1545" t="inlineStr">
        <is>
          <t>No</t>
        </is>
      </c>
      <c r="L1545" t="inlineStr">
        <is>
          <t>0</t>
        </is>
      </c>
      <c r="M1545" t="inlineStr">
        <is>
          <t>Kernicki, Jeanette.</t>
        </is>
      </c>
      <c r="N1545" t="inlineStr">
        <is>
          <t>New York : Putnam, [c1970]</t>
        </is>
      </c>
      <c r="O1545" t="inlineStr">
        <is>
          <t>1970</t>
        </is>
      </c>
      <c r="Q1545" t="inlineStr">
        <is>
          <t>eng</t>
        </is>
      </c>
      <c r="R1545" t="inlineStr">
        <is>
          <t>nyu</t>
        </is>
      </c>
      <c r="T1545" t="inlineStr">
        <is>
          <t xml:space="preserve">WY </t>
        </is>
      </c>
      <c r="U1545" t="n">
        <v>3</v>
      </c>
      <c r="V1545" t="n">
        <v>3</v>
      </c>
      <c r="W1545" t="inlineStr">
        <is>
          <t>1990-10-17</t>
        </is>
      </c>
      <c r="X1545" t="inlineStr">
        <is>
          <t>1990-10-17</t>
        </is>
      </c>
      <c r="Y1545" t="inlineStr">
        <is>
          <t>1988-01-09</t>
        </is>
      </c>
      <c r="Z1545" t="inlineStr">
        <is>
          <t>1988-01-09</t>
        </is>
      </c>
      <c r="AA1545" t="n">
        <v>144</v>
      </c>
      <c r="AB1545" t="n">
        <v>127</v>
      </c>
      <c r="AC1545" t="n">
        <v>129</v>
      </c>
      <c r="AD1545" t="n">
        <v>1</v>
      </c>
      <c r="AE1545" t="n">
        <v>1</v>
      </c>
      <c r="AF1545" t="n">
        <v>5</v>
      </c>
      <c r="AG1545" t="n">
        <v>5</v>
      </c>
      <c r="AH1545" t="n">
        <v>2</v>
      </c>
      <c r="AI1545" t="n">
        <v>2</v>
      </c>
      <c r="AJ1545" t="n">
        <v>1</v>
      </c>
      <c r="AK1545" t="n">
        <v>1</v>
      </c>
      <c r="AL1545" t="n">
        <v>3</v>
      </c>
      <c r="AM1545" t="n">
        <v>3</v>
      </c>
      <c r="AN1545" t="n">
        <v>0</v>
      </c>
      <c r="AO1545" t="n">
        <v>0</v>
      </c>
      <c r="AP1545" t="n">
        <v>0</v>
      </c>
      <c r="AQ1545" t="n">
        <v>0</v>
      </c>
      <c r="AR1545" t="inlineStr">
        <is>
          <t>No</t>
        </is>
      </c>
      <c r="AS1545" t="inlineStr">
        <is>
          <t>Yes</t>
        </is>
      </c>
      <c r="AT1545">
        <f>HYPERLINK("http://catalog.hathitrust.org/Record/001565946","HathiTrust Record")</f>
        <v/>
      </c>
      <c r="AU1545">
        <f>HYPERLINK("https://creighton-primo.hosted.exlibrisgroup.com/primo-explore/search?tab=default_tab&amp;search_scope=EVERYTHING&amp;vid=01CRU&amp;lang=en_US&amp;offset=0&amp;query=any,contains,991000919099702656","Catalog Record")</f>
        <v/>
      </c>
      <c r="AV1545">
        <f>HYPERLINK("http://www.worldcat.org/oclc/135958","WorldCat Record")</f>
        <v/>
      </c>
      <c r="AW1545" t="inlineStr">
        <is>
          <t>1284818:eng</t>
        </is>
      </c>
      <c r="AX1545" t="inlineStr">
        <is>
          <t>135958</t>
        </is>
      </c>
      <c r="AY1545" t="inlineStr">
        <is>
          <t>991000919099702656</t>
        </is>
      </c>
      <c r="AZ1545" t="inlineStr">
        <is>
          <t>991000919099702656</t>
        </is>
      </c>
      <c r="BA1545" t="inlineStr">
        <is>
          <t>2263902890002656</t>
        </is>
      </c>
      <c r="BB1545" t="inlineStr">
        <is>
          <t>BOOK</t>
        </is>
      </c>
      <c r="BE1545" t="inlineStr">
        <is>
          <t>30001000180531</t>
        </is>
      </c>
      <c r="BF1545" t="inlineStr">
        <is>
          <t>893831724</t>
        </is>
      </c>
    </row>
    <row r="1546">
      <c r="A1546" t="inlineStr">
        <is>
          <t>No</t>
        </is>
      </c>
      <c r="B1546" t="inlineStr">
        <is>
          <t>CUHSL</t>
        </is>
      </c>
      <c r="C1546" t="inlineStr">
        <is>
          <t>SHELVES</t>
        </is>
      </c>
      <c r="D1546" t="inlineStr">
        <is>
          <t>WY 156 M294 1990</t>
        </is>
      </c>
      <c r="E1546" t="inlineStr">
        <is>
          <t>0                      WY 0156000M  294         1990</t>
        </is>
      </c>
      <c r="F1546" t="inlineStr">
        <is>
          <t>Manual of oncology nursing practice : nursing diagnoses and care / edited by Reidun Juvkam Daeffler, Barbara M. Petrosino.</t>
        </is>
      </c>
      <c r="H1546" t="inlineStr">
        <is>
          <t>No</t>
        </is>
      </c>
      <c r="I1546" t="inlineStr">
        <is>
          <t>1</t>
        </is>
      </c>
      <c r="J1546" t="inlineStr">
        <is>
          <t>No</t>
        </is>
      </c>
      <c r="K1546" t="inlineStr">
        <is>
          <t>No</t>
        </is>
      </c>
      <c r="L1546" t="inlineStr">
        <is>
          <t>0</t>
        </is>
      </c>
      <c r="N1546" t="inlineStr">
        <is>
          <t>Rockville, Md. : Aspen Publishers, c1990.</t>
        </is>
      </c>
      <c r="O1546" t="inlineStr">
        <is>
          <t>1990</t>
        </is>
      </c>
      <c r="Q1546" t="inlineStr">
        <is>
          <t>eng</t>
        </is>
      </c>
      <c r="R1546" t="inlineStr">
        <is>
          <t>xxu</t>
        </is>
      </c>
      <c r="T1546" t="inlineStr">
        <is>
          <t xml:space="preserve">WY </t>
        </is>
      </c>
      <c r="U1546" t="n">
        <v>8</v>
      </c>
      <c r="V1546" t="n">
        <v>8</v>
      </c>
      <c r="W1546" t="inlineStr">
        <is>
          <t>1995-06-20</t>
        </is>
      </c>
      <c r="X1546" t="inlineStr">
        <is>
          <t>1995-06-20</t>
        </is>
      </c>
      <c r="Y1546" t="inlineStr">
        <is>
          <t>1990-07-03</t>
        </is>
      </c>
      <c r="Z1546" t="inlineStr">
        <is>
          <t>1990-07-03</t>
        </is>
      </c>
      <c r="AA1546" t="n">
        <v>86</v>
      </c>
      <c r="AB1546" t="n">
        <v>75</v>
      </c>
      <c r="AC1546" t="n">
        <v>75</v>
      </c>
      <c r="AD1546" t="n">
        <v>1</v>
      </c>
      <c r="AE1546" t="n">
        <v>1</v>
      </c>
      <c r="AF1546" t="n">
        <v>2</v>
      </c>
      <c r="AG1546" t="n">
        <v>2</v>
      </c>
      <c r="AH1546" t="n">
        <v>0</v>
      </c>
      <c r="AI1546" t="n">
        <v>0</v>
      </c>
      <c r="AJ1546" t="n">
        <v>1</v>
      </c>
      <c r="AK1546" t="n">
        <v>1</v>
      </c>
      <c r="AL1546" t="n">
        <v>2</v>
      </c>
      <c r="AM1546" t="n">
        <v>2</v>
      </c>
      <c r="AN1546" t="n">
        <v>0</v>
      </c>
      <c r="AO1546" t="n">
        <v>0</v>
      </c>
      <c r="AP1546" t="n">
        <v>0</v>
      </c>
      <c r="AQ1546" t="n">
        <v>0</v>
      </c>
      <c r="AR1546" t="inlineStr">
        <is>
          <t>No</t>
        </is>
      </c>
      <c r="AS1546" t="inlineStr">
        <is>
          <t>No</t>
        </is>
      </c>
      <c r="AU1546">
        <f>HYPERLINK("https://creighton-primo.hosted.exlibrisgroup.com/primo-explore/search?tab=default_tab&amp;search_scope=EVERYTHING&amp;vid=01CRU&amp;lang=en_US&amp;offset=0&amp;query=any,contains,991001450959702656","Catalog Record")</f>
        <v/>
      </c>
      <c r="AV1546">
        <f>HYPERLINK("http://www.worldcat.org/oclc/20320466","WorldCat Record")</f>
        <v/>
      </c>
      <c r="AW1546" t="inlineStr">
        <is>
          <t>1102508266:eng</t>
        </is>
      </c>
      <c r="AX1546" t="inlineStr">
        <is>
          <t>20320466</t>
        </is>
      </c>
      <c r="AY1546" t="inlineStr">
        <is>
          <t>991001450959702656</t>
        </is>
      </c>
      <c r="AZ1546" t="inlineStr">
        <is>
          <t>991001450959702656</t>
        </is>
      </c>
      <c r="BA1546" t="inlineStr">
        <is>
          <t>2264554640002656</t>
        </is>
      </c>
      <c r="BB1546" t="inlineStr">
        <is>
          <t>BOOK</t>
        </is>
      </c>
      <c r="BD1546" t="inlineStr">
        <is>
          <t>9780834201149</t>
        </is>
      </c>
      <c r="BE1546" t="inlineStr">
        <is>
          <t>30001001882952</t>
        </is>
      </c>
      <c r="BF1546" t="inlineStr">
        <is>
          <t>893162018</t>
        </is>
      </c>
    </row>
    <row r="1547">
      <c r="A1547" t="inlineStr">
        <is>
          <t>No</t>
        </is>
      </c>
      <c r="B1547" t="inlineStr">
        <is>
          <t>CUHSL</t>
        </is>
      </c>
      <c r="C1547" t="inlineStr">
        <is>
          <t>SHELVES</t>
        </is>
      </c>
      <c r="D1547" t="inlineStr">
        <is>
          <t>WY 156 M449c 1987</t>
        </is>
      </c>
      <c r="E1547" t="inlineStr">
        <is>
          <t>0                      WY 0156000M  449c        1987</t>
        </is>
      </c>
      <c r="F1547" t="inlineStr">
        <is>
          <t>Childhood cancer : a nursing overview / Susan K. Maul-Mellott, Jeanette Adams.</t>
        </is>
      </c>
      <c r="H1547" t="inlineStr">
        <is>
          <t>No</t>
        </is>
      </c>
      <c r="I1547" t="inlineStr">
        <is>
          <t>1</t>
        </is>
      </c>
      <c r="J1547" t="inlineStr">
        <is>
          <t>No</t>
        </is>
      </c>
      <c r="K1547" t="inlineStr">
        <is>
          <t>No</t>
        </is>
      </c>
      <c r="L1547" t="inlineStr">
        <is>
          <t>0</t>
        </is>
      </c>
      <c r="M1547" t="inlineStr">
        <is>
          <t>Maul-Mellott, Susan K.</t>
        </is>
      </c>
      <c r="N1547" t="inlineStr">
        <is>
          <t>Boston : Jones and Bartlett, 1987.</t>
        </is>
      </c>
      <c r="O1547" t="inlineStr">
        <is>
          <t>1987</t>
        </is>
      </c>
      <c r="Q1547" t="inlineStr">
        <is>
          <t>eng</t>
        </is>
      </c>
      <c r="R1547" t="inlineStr">
        <is>
          <t>xxu</t>
        </is>
      </c>
      <c r="T1547" t="inlineStr">
        <is>
          <t xml:space="preserve">WY </t>
        </is>
      </c>
      <c r="U1547" t="n">
        <v>2</v>
      </c>
      <c r="V1547" t="n">
        <v>2</v>
      </c>
      <c r="W1547" t="inlineStr">
        <is>
          <t>2004-03-22</t>
        </is>
      </c>
      <c r="X1547" t="inlineStr">
        <is>
          <t>2004-03-22</t>
        </is>
      </c>
      <c r="Y1547" t="inlineStr">
        <is>
          <t>1987-12-22</t>
        </is>
      </c>
      <c r="Z1547" t="inlineStr">
        <is>
          <t>1987-12-22</t>
        </is>
      </c>
      <c r="AA1547" t="n">
        <v>202</v>
      </c>
      <c r="AB1547" t="n">
        <v>177</v>
      </c>
      <c r="AC1547" t="n">
        <v>179</v>
      </c>
      <c r="AD1547" t="n">
        <v>1</v>
      </c>
      <c r="AE1547" t="n">
        <v>1</v>
      </c>
      <c r="AF1547" t="n">
        <v>8</v>
      </c>
      <c r="AG1547" t="n">
        <v>8</v>
      </c>
      <c r="AH1547" t="n">
        <v>3</v>
      </c>
      <c r="AI1547" t="n">
        <v>3</v>
      </c>
      <c r="AJ1547" t="n">
        <v>1</v>
      </c>
      <c r="AK1547" t="n">
        <v>1</v>
      </c>
      <c r="AL1547" t="n">
        <v>6</v>
      </c>
      <c r="AM1547" t="n">
        <v>6</v>
      </c>
      <c r="AN1547" t="n">
        <v>0</v>
      </c>
      <c r="AO1547" t="n">
        <v>0</v>
      </c>
      <c r="AP1547" t="n">
        <v>0</v>
      </c>
      <c r="AQ1547" t="n">
        <v>0</v>
      </c>
      <c r="AR1547" t="inlineStr">
        <is>
          <t>No</t>
        </is>
      </c>
      <c r="AS1547" t="inlineStr">
        <is>
          <t>Yes</t>
        </is>
      </c>
      <c r="AT1547">
        <f>HYPERLINK("http://catalog.hathitrust.org/Record/000828502","HathiTrust Record")</f>
        <v/>
      </c>
      <c r="AU1547">
        <f>HYPERLINK("https://creighton-primo.hosted.exlibrisgroup.com/primo-explore/search?tab=default_tab&amp;search_scope=EVERYTHING&amp;vid=01CRU&amp;lang=en_US&amp;offset=0&amp;query=any,contains,991001264839702656","Catalog Record")</f>
        <v/>
      </c>
      <c r="AV1547">
        <f>HYPERLINK("http://www.worldcat.org/oclc/14586527","WorldCat Record")</f>
        <v/>
      </c>
      <c r="AW1547" t="inlineStr">
        <is>
          <t>442071324:eng</t>
        </is>
      </c>
      <c r="AX1547" t="inlineStr">
        <is>
          <t>14586527</t>
        </is>
      </c>
      <c r="AY1547" t="inlineStr">
        <is>
          <t>991001264839702656</t>
        </is>
      </c>
      <c r="AZ1547" t="inlineStr">
        <is>
          <t>991001264839702656</t>
        </is>
      </c>
      <c r="BA1547" t="inlineStr">
        <is>
          <t>2271105570002656</t>
        </is>
      </c>
      <c r="BB1547" t="inlineStr">
        <is>
          <t>BOOK</t>
        </is>
      </c>
      <c r="BD1547" t="inlineStr">
        <is>
          <t>9780867203813</t>
        </is>
      </c>
      <c r="BE1547" t="inlineStr">
        <is>
          <t>30001000352452</t>
        </is>
      </c>
      <c r="BF1547" t="inlineStr">
        <is>
          <t>893740917</t>
        </is>
      </c>
    </row>
    <row r="1548">
      <c r="A1548" t="inlineStr">
        <is>
          <t>No</t>
        </is>
      </c>
      <c r="B1548" t="inlineStr">
        <is>
          <t>CUHSL</t>
        </is>
      </c>
      <c r="C1548" t="inlineStr">
        <is>
          <t>SHELVES</t>
        </is>
      </c>
      <c r="D1548" t="inlineStr">
        <is>
          <t>WY 156 N9727 2002</t>
        </is>
      </c>
      <c r="E1548" t="inlineStr">
        <is>
          <t>0                      WY 0156000N  9727        2002</t>
        </is>
      </c>
      <c r="F1548" t="inlineStr">
        <is>
          <t>Nursing care of children and adolescents with cancer / Association of Pediatric Oncology Nurses ; [edited by] Christina Rasco Baggott ... [et al.].</t>
        </is>
      </c>
      <c r="H1548" t="inlineStr">
        <is>
          <t>No</t>
        </is>
      </c>
      <c r="I1548" t="inlineStr">
        <is>
          <t>1</t>
        </is>
      </c>
      <c r="J1548" t="inlineStr">
        <is>
          <t>No</t>
        </is>
      </c>
      <c r="K1548" t="inlineStr">
        <is>
          <t>No</t>
        </is>
      </c>
      <c r="L1548" t="inlineStr">
        <is>
          <t>0</t>
        </is>
      </c>
      <c r="N1548" t="inlineStr">
        <is>
          <t>Philadelphia : Saunders, c2002.</t>
        </is>
      </c>
      <c r="O1548" t="inlineStr">
        <is>
          <t>2002</t>
        </is>
      </c>
      <c r="P1548" t="inlineStr">
        <is>
          <t>3rd ed.</t>
        </is>
      </c>
      <c r="Q1548" t="inlineStr">
        <is>
          <t>eng</t>
        </is>
      </c>
      <c r="R1548" t="inlineStr">
        <is>
          <t>pau</t>
        </is>
      </c>
      <c r="T1548" t="inlineStr">
        <is>
          <t xml:space="preserve">WY </t>
        </is>
      </c>
      <c r="U1548" t="n">
        <v>11</v>
      </c>
      <c r="V1548" t="n">
        <v>11</v>
      </c>
      <c r="W1548" t="inlineStr">
        <is>
          <t>2006-11-21</t>
        </is>
      </c>
      <c r="X1548" t="inlineStr">
        <is>
          <t>2006-11-21</t>
        </is>
      </c>
      <c r="Y1548" t="inlineStr">
        <is>
          <t>2002-06-14</t>
        </is>
      </c>
      <c r="Z1548" t="inlineStr">
        <is>
          <t>2002-06-14</t>
        </is>
      </c>
      <c r="AA1548" t="n">
        <v>245</v>
      </c>
      <c r="AB1548" t="n">
        <v>182</v>
      </c>
      <c r="AC1548" t="n">
        <v>195</v>
      </c>
      <c r="AD1548" t="n">
        <v>1</v>
      </c>
      <c r="AE1548" t="n">
        <v>1</v>
      </c>
      <c r="AF1548" t="n">
        <v>7</v>
      </c>
      <c r="AG1548" t="n">
        <v>8</v>
      </c>
      <c r="AH1548" t="n">
        <v>1</v>
      </c>
      <c r="AI1548" t="n">
        <v>2</v>
      </c>
      <c r="AJ1548" t="n">
        <v>2</v>
      </c>
      <c r="AK1548" t="n">
        <v>2</v>
      </c>
      <c r="AL1548" t="n">
        <v>5</v>
      </c>
      <c r="AM1548" t="n">
        <v>5</v>
      </c>
      <c r="AN1548" t="n">
        <v>0</v>
      </c>
      <c r="AO1548" t="n">
        <v>0</v>
      </c>
      <c r="AP1548" t="n">
        <v>0</v>
      </c>
      <c r="AQ1548" t="n">
        <v>0</v>
      </c>
      <c r="AR1548" t="inlineStr">
        <is>
          <t>No</t>
        </is>
      </c>
      <c r="AS1548" t="inlineStr">
        <is>
          <t>Yes</t>
        </is>
      </c>
      <c r="AT1548">
        <f>HYPERLINK("http://catalog.hathitrust.org/Record/004212882","HathiTrust Record")</f>
        <v/>
      </c>
      <c r="AU1548">
        <f>HYPERLINK("https://creighton-primo.hosted.exlibrisgroup.com/primo-explore/search?tab=default_tab&amp;search_scope=EVERYTHING&amp;vid=01CRU&amp;lang=en_US&amp;offset=0&amp;query=any,contains,991000315549702656","Catalog Record")</f>
        <v/>
      </c>
      <c r="AV1548">
        <f>HYPERLINK("http://www.worldcat.org/oclc/47522469","WorldCat Record")</f>
        <v/>
      </c>
      <c r="AW1548" t="inlineStr">
        <is>
          <t>475921308:eng</t>
        </is>
      </c>
      <c r="AX1548" t="inlineStr">
        <is>
          <t>47522469</t>
        </is>
      </c>
      <c r="AY1548" t="inlineStr">
        <is>
          <t>991000315549702656</t>
        </is>
      </c>
      <c r="AZ1548" t="inlineStr">
        <is>
          <t>991000315549702656</t>
        </is>
      </c>
      <c r="BA1548" t="inlineStr">
        <is>
          <t>2262269430002656</t>
        </is>
      </c>
      <c r="BB1548" t="inlineStr">
        <is>
          <t>BOOK</t>
        </is>
      </c>
      <c r="BD1548" t="inlineStr">
        <is>
          <t>9780721687186</t>
        </is>
      </c>
      <c r="BE1548" t="inlineStr">
        <is>
          <t>30001004238863</t>
        </is>
      </c>
      <c r="BF1548" t="inlineStr">
        <is>
          <t>893737219</t>
        </is>
      </c>
    </row>
    <row r="1549">
      <c r="A1549" t="inlineStr">
        <is>
          <t>No</t>
        </is>
      </c>
      <c r="B1549" t="inlineStr">
        <is>
          <t>CUHSL</t>
        </is>
      </c>
      <c r="C1549" t="inlineStr">
        <is>
          <t>SHELVES</t>
        </is>
      </c>
      <c r="D1549" t="inlineStr">
        <is>
          <t>WY 156 N9734 1971</t>
        </is>
      </c>
      <c r="E1549" t="inlineStr">
        <is>
          <t>0                      WY 0156000N  9734        1971</t>
        </is>
      </c>
      <c r="F1549" t="inlineStr">
        <is>
          <t>Nursing care of the patient with medical-surgical disorders / Edited by Harriet Coston Moidel [and others]</t>
        </is>
      </c>
      <c r="H1549" t="inlineStr">
        <is>
          <t>No</t>
        </is>
      </c>
      <c r="I1549" t="inlineStr">
        <is>
          <t>1</t>
        </is>
      </c>
      <c r="J1549" t="inlineStr">
        <is>
          <t>No</t>
        </is>
      </c>
      <c r="K1549" t="inlineStr">
        <is>
          <t>No</t>
        </is>
      </c>
      <c r="L1549" t="inlineStr">
        <is>
          <t>0</t>
        </is>
      </c>
      <c r="N1549" t="inlineStr">
        <is>
          <t>New York : McGraw-Hill, [1971]</t>
        </is>
      </c>
      <c r="O1549" t="inlineStr">
        <is>
          <t>1971</t>
        </is>
      </c>
      <c r="Q1549" t="inlineStr">
        <is>
          <t>eng</t>
        </is>
      </c>
      <c r="R1549" t="inlineStr">
        <is>
          <t>nyu</t>
        </is>
      </c>
      <c r="T1549" t="inlineStr">
        <is>
          <t xml:space="preserve">WY </t>
        </is>
      </c>
      <c r="U1549" t="n">
        <v>0</v>
      </c>
      <c r="V1549" t="n">
        <v>0</v>
      </c>
      <c r="W1549" t="inlineStr">
        <is>
          <t>2002-09-05</t>
        </is>
      </c>
      <c r="X1549" t="inlineStr">
        <is>
          <t>2002-09-05</t>
        </is>
      </c>
      <c r="Y1549" t="inlineStr">
        <is>
          <t>1988-01-05</t>
        </is>
      </c>
      <c r="Z1549" t="inlineStr">
        <is>
          <t>1988-01-05</t>
        </is>
      </c>
      <c r="AA1549" t="n">
        <v>121</v>
      </c>
      <c r="AB1549" t="n">
        <v>103</v>
      </c>
      <c r="AC1549" t="n">
        <v>189</v>
      </c>
      <c r="AD1549" t="n">
        <v>1</v>
      </c>
      <c r="AE1549" t="n">
        <v>3</v>
      </c>
      <c r="AF1549" t="n">
        <v>4</v>
      </c>
      <c r="AG1549" t="n">
        <v>7</v>
      </c>
      <c r="AH1549" t="n">
        <v>0</v>
      </c>
      <c r="AI1549" t="n">
        <v>0</v>
      </c>
      <c r="AJ1549" t="n">
        <v>1</v>
      </c>
      <c r="AK1549" t="n">
        <v>1</v>
      </c>
      <c r="AL1549" t="n">
        <v>3</v>
      </c>
      <c r="AM1549" t="n">
        <v>4</v>
      </c>
      <c r="AN1549" t="n">
        <v>0</v>
      </c>
      <c r="AO1549" t="n">
        <v>2</v>
      </c>
      <c r="AP1549" t="n">
        <v>0</v>
      </c>
      <c r="AQ1549" t="n">
        <v>0</v>
      </c>
      <c r="AR1549" t="inlineStr">
        <is>
          <t>No</t>
        </is>
      </c>
      <c r="AS1549" t="inlineStr">
        <is>
          <t>Yes</t>
        </is>
      </c>
      <c r="AT1549">
        <f>HYPERLINK("http://catalog.hathitrust.org/Record/001574469","HathiTrust Record")</f>
        <v/>
      </c>
      <c r="AU1549">
        <f>HYPERLINK("https://creighton-primo.hosted.exlibrisgroup.com/primo-explore/search?tab=default_tab&amp;search_scope=EVERYTHING&amp;vid=01CRU&amp;lang=en_US&amp;offset=0&amp;query=any,contains,991000919229702656","Catalog Record")</f>
        <v/>
      </c>
      <c r="AV1549">
        <f>HYPERLINK("http://www.worldcat.org/oclc/119863","WorldCat Record")</f>
        <v/>
      </c>
      <c r="AW1549" t="inlineStr">
        <is>
          <t>53938343:eng</t>
        </is>
      </c>
      <c r="AX1549" t="inlineStr">
        <is>
          <t>119863</t>
        </is>
      </c>
      <c r="AY1549" t="inlineStr">
        <is>
          <t>991000919229702656</t>
        </is>
      </c>
      <c r="AZ1549" t="inlineStr">
        <is>
          <t>991000919229702656</t>
        </is>
      </c>
      <c r="BA1549" t="inlineStr">
        <is>
          <t>2264162110002656</t>
        </is>
      </c>
      <c r="BB1549" t="inlineStr">
        <is>
          <t>BOOK</t>
        </is>
      </c>
      <c r="BD1549" t="inlineStr">
        <is>
          <t>9780070426535</t>
        </is>
      </c>
      <c r="BE1549" t="inlineStr">
        <is>
          <t>30001000180614</t>
        </is>
      </c>
      <c r="BF1549" t="inlineStr">
        <is>
          <t>893540820</t>
        </is>
      </c>
    </row>
    <row r="1550">
      <c r="A1550" t="inlineStr">
        <is>
          <t>No</t>
        </is>
      </c>
      <c r="B1550" t="inlineStr">
        <is>
          <t>CUHSL</t>
        </is>
      </c>
      <c r="C1550" t="inlineStr">
        <is>
          <t>SHELVES</t>
        </is>
      </c>
      <c r="D1550" t="inlineStr">
        <is>
          <t>WY 156 N9737 1971</t>
        </is>
      </c>
      <c r="E1550" t="inlineStr">
        <is>
          <t>0                      WY 0156000N  9737        1971</t>
        </is>
      </c>
      <c r="F1550" t="inlineStr">
        <is>
          <t>Nursing in cardiovascular diseases / Compiled by Edith P. Lewis.</t>
        </is>
      </c>
      <c r="H1550" t="inlineStr">
        <is>
          <t>No</t>
        </is>
      </c>
      <c r="I1550" t="inlineStr">
        <is>
          <t>1</t>
        </is>
      </c>
      <c r="J1550" t="inlineStr">
        <is>
          <t>No</t>
        </is>
      </c>
      <c r="K1550" t="inlineStr">
        <is>
          <t>No</t>
        </is>
      </c>
      <c r="L1550" t="inlineStr">
        <is>
          <t>0</t>
        </is>
      </c>
      <c r="N1550" t="inlineStr">
        <is>
          <t>-- New York : American Journal of Nursing, c1971.</t>
        </is>
      </c>
      <c r="O1550" t="inlineStr">
        <is>
          <t>1971</t>
        </is>
      </c>
      <c r="Q1550" t="inlineStr">
        <is>
          <t>eng</t>
        </is>
      </c>
      <c r="R1550" t="inlineStr">
        <is>
          <t>nyu</t>
        </is>
      </c>
      <c r="S1550" t="inlineStr">
        <is>
          <t>Contemporary nursing series</t>
        </is>
      </c>
      <c r="T1550" t="inlineStr">
        <is>
          <t xml:space="preserve">WY </t>
        </is>
      </c>
      <c r="U1550" t="n">
        <v>8</v>
      </c>
      <c r="V1550" t="n">
        <v>8</v>
      </c>
      <c r="W1550" t="inlineStr">
        <is>
          <t>1991-11-29</t>
        </is>
      </c>
      <c r="X1550" t="inlineStr">
        <is>
          <t>1991-11-29</t>
        </is>
      </c>
      <c r="Y1550" t="inlineStr">
        <is>
          <t>1987-12-22</t>
        </is>
      </c>
      <c r="Z1550" t="inlineStr">
        <is>
          <t>1987-12-22</t>
        </is>
      </c>
      <c r="AA1550" t="n">
        <v>114</v>
      </c>
      <c r="AB1550" t="n">
        <v>103</v>
      </c>
      <c r="AC1550" t="n">
        <v>120</v>
      </c>
      <c r="AD1550" t="n">
        <v>2</v>
      </c>
      <c r="AE1550" t="n">
        <v>2</v>
      </c>
      <c r="AF1550" t="n">
        <v>3</v>
      </c>
      <c r="AG1550" t="n">
        <v>3</v>
      </c>
      <c r="AH1550" t="n">
        <v>0</v>
      </c>
      <c r="AI1550" t="n">
        <v>0</v>
      </c>
      <c r="AJ1550" t="n">
        <v>0</v>
      </c>
      <c r="AK1550" t="n">
        <v>0</v>
      </c>
      <c r="AL1550" t="n">
        <v>2</v>
      </c>
      <c r="AM1550" t="n">
        <v>2</v>
      </c>
      <c r="AN1550" t="n">
        <v>1</v>
      </c>
      <c r="AO1550" t="n">
        <v>1</v>
      </c>
      <c r="AP1550" t="n">
        <v>0</v>
      </c>
      <c r="AQ1550" t="n">
        <v>0</v>
      </c>
      <c r="AR1550" t="inlineStr">
        <is>
          <t>No</t>
        </is>
      </c>
      <c r="AS1550" t="inlineStr">
        <is>
          <t>Yes</t>
        </is>
      </c>
      <c r="AT1550">
        <f>HYPERLINK("http://catalog.hathitrust.org/Record/001565947","HathiTrust Record")</f>
        <v/>
      </c>
      <c r="AU1550">
        <f>HYPERLINK("https://creighton-primo.hosted.exlibrisgroup.com/primo-explore/search?tab=default_tab&amp;search_scope=EVERYTHING&amp;vid=01CRU&amp;lang=en_US&amp;offset=0&amp;query=any,contains,991000919309702656","Catalog Record")</f>
        <v/>
      </c>
      <c r="AV1550">
        <f>HYPERLINK("http://www.worldcat.org/oclc/211498","WorldCat Record")</f>
        <v/>
      </c>
      <c r="AW1550" t="inlineStr">
        <is>
          <t>1287692:eng</t>
        </is>
      </c>
      <c r="AX1550" t="inlineStr">
        <is>
          <t>211498</t>
        </is>
      </c>
      <c r="AY1550" t="inlineStr">
        <is>
          <t>991000919309702656</t>
        </is>
      </c>
      <c r="AZ1550" t="inlineStr">
        <is>
          <t>991000919309702656</t>
        </is>
      </c>
      <c r="BA1550" t="inlineStr">
        <is>
          <t>2264093780002656</t>
        </is>
      </c>
      <c r="BB1550" t="inlineStr">
        <is>
          <t>BOOK</t>
        </is>
      </c>
      <c r="BE1550" t="inlineStr">
        <is>
          <t>30001000180630</t>
        </is>
      </c>
      <c r="BF1550" t="inlineStr">
        <is>
          <t>893120732</t>
        </is>
      </c>
    </row>
    <row r="1551">
      <c r="A1551" t="inlineStr">
        <is>
          <t>No</t>
        </is>
      </c>
      <c r="B1551" t="inlineStr">
        <is>
          <t>CUHSL</t>
        </is>
      </c>
      <c r="C1551" t="inlineStr">
        <is>
          <t>SHELVES</t>
        </is>
      </c>
      <c r="D1551" t="inlineStr">
        <is>
          <t>WY 156 P371 1986</t>
        </is>
      </c>
      <c r="E1551" t="inlineStr">
        <is>
          <t>0                      WY 0156000P  371         1986</t>
        </is>
      </c>
      <c r="F1551" t="inlineStr">
        <is>
          <t>Pediatric oncology and hematology : perspectives on care / edited by Marilyn J. Hockenberry, Deborah K. Coody.</t>
        </is>
      </c>
      <c r="H1551" t="inlineStr">
        <is>
          <t>No</t>
        </is>
      </c>
      <c r="I1551" t="inlineStr">
        <is>
          <t>1</t>
        </is>
      </c>
      <c r="J1551" t="inlineStr">
        <is>
          <t>No</t>
        </is>
      </c>
      <c r="K1551" t="inlineStr">
        <is>
          <t>No</t>
        </is>
      </c>
      <c r="L1551" t="inlineStr">
        <is>
          <t>0</t>
        </is>
      </c>
      <c r="N1551" t="inlineStr">
        <is>
          <t>St. Louis : Mosby, c1986.</t>
        </is>
      </c>
      <c r="O1551" t="inlineStr">
        <is>
          <t>1986</t>
        </is>
      </c>
      <c r="Q1551" t="inlineStr">
        <is>
          <t>eng</t>
        </is>
      </c>
      <c r="R1551" t="inlineStr">
        <is>
          <t>xxu</t>
        </is>
      </c>
      <c r="T1551" t="inlineStr">
        <is>
          <t xml:space="preserve">WY </t>
        </is>
      </c>
      <c r="U1551" t="n">
        <v>2</v>
      </c>
      <c r="V1551" t="n">
        <v>2</v>
      </c>
      <c r="W1551" t="inlineStr">
        <is>
          <t>2004-03-22</t>
        </is>
      </c>
      <c r="X1551" t="inlineStr">
        <is>
          <t>2004-03-22</t>
        </is>
      </c>
      <c r="Y1551" t="inlineStr">
        <is>
          <t>1987-12-22</t>
        </is>
      </c>
      <c r="Z1551" t="inlineStr">
        <is>
          <t>1987-12-22</t>
        </is>
      </c>
      <c r="AA1551" t="n">
        <v>240</v>
      </c>
      <c r="AB1551" t="n">
        <v>209</v>
      </c>
      <c r="AC1551" t="n">
        <v>216</v>
      </c>
      <c r="AD1551" t="n">
        <v>2</v>
      </c>
      <c r="AE1551" t="n">
        <v>2</v>
      </c>
      <c r="AF1551" t="n">
        <v>10</v>
      </c>
      <c r="AG1551" t="n">
        <v>10</v>
      </c>
      <c r="AH1551" t="n">
        <v>3</v>
      </c>
      <c r="AI1551" t="n">
        <v>3</v>
      </c>
      <c r="AJ1551" t="n">
        <v>3</v>
      </c>
      <c r="AK1551" t="n">
        <v>3</v>
      </c>
      <c r="AL1551" t="n">
        <v>8</v>
      </c>
      <c r="AM1551" t="n">
        <v>8</v>
      </c>
      <c r="AN1551" t="n">
        <v>0</v>
      </c>
      <c r="AO1551" t="n">
        <v>0</v>
      </c>
      <c r="AP1551" t="n">
        <v>0</v>
      </c>
      <c r="AQ1551" t="n">
        <v>0</v>
      </c>
      <c r="AR1551" t="inlineStr">
        <is>
          <t>No</t>
        </is>
      </c>
      <c r="AS1551" t="inlineStr">
        <is>
          <t>Yes</t>
        </is>
      </c>
      <c r="AT1551">
        <f>HYPERLINK("http://catalog.hathitrust.org/Record/000432524","HathiTrust Record")</f>
        <v/>
      </c>
      <c r="AU1551">
        <f>HYPERLINK("https://creighton-primo.hosted.exlibrisgroup.com/primo-explore/search?tab=default_tab&amp;search_scope=EVERYTHING&amp;vid=01CRU&amp;lang=en_US&amp;offset=0&amp;query=any,contains,991000919349702656","Catalog Record")</f>
        <v/>
      </c>
      <c r="AV1551">
        <f>HYPERLINK("http://www.worldcat.org/oclc/12558046","WorldCat Record")</f>
        <v/>
      </c>
      <c r="AW1551" t="inlineStr">
        <is>
          <t>4942166:eng</t>
        </is>
      </c>
      <c r="AX1551" t="inlineStr">
        <is>
          <t>12558046</t>
        </is>
      </c>
      <c r="AY1551" t="inlineStr">
        <is>
          <t>991000919349702656</t>
        </is>
      </c>
      <c r="AZ1551" t="inlineStr">
        <is>
          <t>991000919349702656</t>
        </is>
      </c>
      <c r="BA1551" t="inlineStr">
        <is>
          <t>2256567320002656</t>
        </is>
      </c>
      <c r="BB1551" t="inlineStr">
        <is>
          <t>BOOK</t>
        </is>
      </c>
      <c r="BD1551" t="inlineStr">
        <is>
          <t>9780801622533</t>
        </is>
      </c>
      <c r="BE1551" t="inlineStr">
        <is>
          <t>30001000180663</t>
        </is>
      </c>
      <c r="BF1551" t="inlineStr">
        <is>
          <t>893831725</t>
        </is>
      </c>
    </row>
    <row r="1552">
      <c r="A1552" t="inlineStr">
        <is>
          <t>No</t>
        </is>
      </c>
      <c r="B1552" t="inlineStr">
        <is>
          <t>CUHSL</t>
        </is>
      </c>
      <c r="C1552" t="inlineStr">
        <is>
          <t>SHELVES</t>
        </is>
      </c>
      <c r="D1552" t="inlineStr">
        <is>
          <t>WY 156 P9742 1998</t>
        </is>
      </c>
      <c r="E1552" t="inlineStr">
        <is>
          <t>0                      WY 0156000P  9742        1998</t>
        </is>
      </c>
      <c r="F1552" t="inlineStr">
        <is>
          <t>Psychosocial dimensions of oncology nursing care / Catherine C. Burke, editor.</t>
        </is>
      </c>
      <c r="H1552" t="inlineStr">
        <is>
          <t>No</t>
        </is>
      </c>
      <c r="I1552" t="inlineStr">
        <is>
          <t>1</t>
        </is>
      </c>
      <c r="J1552" t="inlineStr">
        <is>
          <t>No</t>
        </is>
      </c>
      <c r="K1552" t="inlineStr">
        <is>
          <t>No</t>
        </is>
      </c>
      <c r="L1552" t="inlineStr">
        <is>
          <t>0</t>
        </is>
      </c>
      <c r="N1552" t="inlineStr">
        <is>
          <t>Pittsburgh, PA : Oncology Nursing Press, c1998.</t>
        </is>
      </c>
      <c r="O1552" t="inlineStr">
        <is>
          <t>1998</t>
        </is>
      </c>
      <c r="Q1552" t="inlineStr">
        <is>
          <t>eng</t>
        </is>
      </c>
      <c r="R1552" t="inlineStr">
        <is>
          <t>pau</t>
        </is>
      </c>
      <c r="T1552" t="inlineStr">
        <is>
          <t xml:space="preserve">WY </t>
        </is>
      </c>
      <c r="U1552" t="n">
        <v>1</v>
      </c>
      <c r="V1552" t="n">
        <v>1</v>
      </c>
      <c r="W1552" t="inlineStr">
        <is>
          <t>2000-03-22</t>
        </is>
      </c>
      <c r="X1552" t="inlineStr">
        <is>
          <t>2000-03-22</t>
        </is>
      </c>
      <c r="Y1552" t="inlineStr">
        <is>
          <t>2000-03-22</t>
        </is>
      </c>
      <c r="Z1552" t="inlineStr">
        <is>
          <t>2000-03-22</t>
        </is>
      </c>
      <c r="AA1552" t="n">
        <v>51</v>
      </c>
      <c r="AB1552" t="n">
        <v>40</v>
      </c>
      <c r="AC1552" t="n">
        <v>63</v>
      </c>
      <c r="AD1552" t="n">
        <v>1</v>
      </c>
      <c r="AE1552" t="n">
        <v>2</v>
      </c>
      <c r="AF1552" t="n">
        <v>1</v>
      </c>
      <c r="AG1552" t="n">
        <v>2</v>
      </c>
      <c r="AH1552" t="n">
        <v>0</v>
      </c>
      <c r="AI1552" t="n">
        <v>0</v>
      </c>
      <c r="AJ1552" t="n">
        <v>1</v>
      </c>
      <c r="AK1552" t="n">
        <v>1</v>
      </c>
      <c r="AL1552" t="n">
        <v>1</v>
      </c>
      <c r="AM1552" t="n">
        <v>1</v>
      </c>
      <c r="AN1552" t="n">
        <v>0</v>
      </c>
      <c r="AO1552" t="n">
        <v>1</v>
      </c>
      <c r="AP1552" t="n">
        <v>0</v>
      </c>
      <c r="AQ1552" t="n">
        <v>0</v>
      </c>
      <c r="AR1552" t="inlineStr">
        <is>
          <t>No</t>
        </is>
      </c>
      <c r="AS1552" t="inlineStr">
        <is>
          <t>Yes</t>
        </is>
      </c>
      <c r="AT1552">
        <f>HYPERLINK("http://catalog.hathitrust.org/Record/004043810","HathiTrust Record")</f>
        <v/>
      </c>
      <c r="AU1552">
        <f>HYPERLINK("https://creighton-primo.hosted.exlibrisgroup.com/primo-explore/search?tab=default_tab&amp;search_scope=EVERYTHING&amp;vid=01CRU&amp;lang=en_US&amp;offset=0&amp;query=any,contains,991001442729702656","Catalog Record")</f>
        <v/>
      </c>
      <c r="AV1552">
        <f>HYPERLINK("http://www.worldcat.org/oclc/40782945","WorldCat Record")</f>
        <v/>
      </c>
      <c r="AW1552" t="inlineStr">
        <is>
          <t>25861329:eng</t>
        </is>
      </c>
      <c r="AX1552" t="inlineStr">
        <is>
          <t>40782945</t>
        </is>
      </c>
      <c r="AY1552" t="inlineStr">
        <is>
          <t>991001442729702656</t>
        </is>
      </c>
      <c r="AZ1552" t="inlineStr">
        <is>
          <t>991001442729702656</t>
        </is>
      </c>
      <c r="BA1552" t="inlineStr">
        <is>
          <t>2261852010002656</t>
        </is>
      </c>
      <c r="BB1552" t="inlineStr">
        <is>
          <t>BOOK</t>
        </is>
      </c>
      <c r="BD1552" t="inlineStr">
        <is>
          <t>9781890504069</t>
        </is>
      </c>
      <c r="BE1552" t="inlineStr">
        <is>
          <t>30001003883230</t>
        </is>
      </c>
      <c r="BF1552" t="inlineStr">
        <is>
          <t>893364161</t>
        </is>
      </c>
    </row>
    <row r="1553">
      <c r="A1553" t="inlineStr">
        <is>
          <t>No</t>
        </is>
      </c>
      <c r="B1553" t="inlineStr">
        <is>
          <t>CUHSL</t>
        </is>
      </c>
      <c r="C1553" t="inlineStr">
        <is>
          <t>SHELVES</t>
        </is>
      </c>
      <c r="D1553" t="inlineStr">
        <is>
          <t>WY 156 P9743 1998</t>
        </is>
      </c>
      <c r="E1553" t="inlineStr">
        <is>
          <t>0                      WY 0156000P  9743        1998</t>
        </is>
      </c>
      <c r="F1553" t="inlineStr">
        <is>
          <t>Psychosocial nursing care along the cancer continuum / [edited by] Rose Mary Carroll-Johnson, Linda M. Gorman, Nancy Jo Bush.</t>
        </is>
      </c>
      <c r="H1553" t="inlineStr">
        <is>
          <t>No</t>
        </is>
      </c>
      <c r="I1553" t="inlineStr">
        <is>
          <t>1</t>
        </is>
      </c>
      <c r="J1553" t="inlineStr">
        <is>
          <t>No</t>
        </is>
      </c>
      <c r="K1553" t="inlineStr">
        <is>
          <t>No</t>
        </is>
      </c>
      <c r="L1553" t="inlineStr">
        <is>
          <t>0</t>
        </is>
      </c>
      <c r="N1553" t="inlineStr">
        <is>
          <t>Pittsburgh, PA : Oncology Nursing Press, c1998.</t>
        </is>
      </c>
      <c r="O1553" t="inlineStr">
        <is>
          <t>1998</t>
        </is>
      </c>
      <c r="Q1553" t="inlineStr">
        <is>
          <t>eng</t>
        </is>
      </c>
      <c r="R1553" t="inlineStr">
        <is>
          <t>pau</t>
        </is>
      </c>
      <c r="T1553" t="inlineStr">
        <is>
          <t xml:space="preserve">WY </t>
        </is>
      </c>
      <c r="U1553" t="n">
        <v>2</v>
      </c>
      <c r="V1553" t="n">
        <v>2</v>
      </c>
      <c r="W1553" t="inlineStr">
        <is>
          <t>2000-02-04</t>
        </is>
      </c>
      <c r="X1553" t="inlineStr">
        <is>
          <t>2000-02-04</t>
        </is>
      </c>
      <c r="Y1553" t="inlineStr">
        <is>
          <t>2000-02-01</t>
        </is>
      </c>
      <c r="Z1553" t="inlineStr">
        <is>
          <t>2000-02-01</t>
        </is>
      </c>
      <c r="AA1553" t="n">
        <v>58</v>
      </c>
      <c r="AB1553" t="n">
        <v>47</v>
      </c>
      <c r="AC1553" t="n">
        <v>252</v>
      </c>
      <c r="AD1553" t="n">
        <v>1</v>
      </c>
      <c r="AE1553" t="n">
        <v>2</v>
      </c>
      <c r="AF1553" t="n">
        <v>1</v>
      </c>
      <c r="AG1553" t="n">
        <v>16</v>
      </c>
      <c r="AH1553" t="n">
        <v>0</v>
      </c>
      <c r="AI1553" t="n">
        <v>6</v>
      </c>
      <c r="AJ1553" t="n">
        <v>0</v>
      </c>
      <c r="AK1553" t="n">
        <v>3</v>
      </c>
      <c r="AL1553" t="n">
        <v>1</v>
      </c>
      <c r="AM1553" t="n">
        <v>8</v>
      </c>
      <c r="AN1553" t="n">
        <v>0</v>
      </c>
      <c r="AO1553" t="n">
        <v>1</v>
      </c>
      <c r="AP1553" t="n">
        <v>0</v>
      </c>
      <c r="AQ1553" t="n">
        <v>0</v>
      </c>
      <c r="AR1553" t="inlineStr">
        <is>
          <t>No</t>
        </is>
      </c>
      <c r="AS1553" t="inlineStr">
        <is>
          <t>No</t>
        </is>
      </c>
      <c r="AU1553">
        <f>HYPERLINK("https://creighton-primo.hosted.exlibrisgroup.com/primo-explore/search?tab=default_tab&amp;search_scope=EVERYTHING&amp;vid=01CRU&amp;lang=en_US&amp;offset=0&amp;query=any,contains,991001440159702656","Catalog Record")</f>
        <v/>
      </c>
      <c r="AV1553">
        <f>HYPERLINK("http://www.worldcat.org/oclc/39543301","WorldCat Record")</f>
        <v/>
      </c>
      <c r="AW1553" t="inlineStr">
        <is>
          <t>436594402:eng</t>
        </is>
      </c>
      <c r="AX1553" t="inlineStr">
        <is>
          <t>39543301</t>
        </is>
      </c>
      <c r="AY1553" t="inlineStr">
        <is>
          <t>991001440159702656</t>
        </is>
      </c>
      <c r="AZ1553" t="inlineStr">
        <is>
          <t>991001440159702656</t>
        </is>
      </c>
      <c r="BA1553" t="inlineStr">
        <is>
          <t>2255740720002656</t>
        </is>
      </c>
      <c r="BB1553" t="inlineStr">
        <is>
          <t>BOOK</t>
        </is>
      </c>
      <c r="BD1553" t="inlineStr">
        <is>
          <t>9781890504045</t>
        </is>
      </c>
      <c r="BE1553" t="inlineStr">
        <is>
          <t>30001003880905</t>
        </is>
      </c>
      <c r="BF1553" t="inlineStr">
        <is>
          <t>893287427</t>
        </is>
      </c>
    </row>
    <row r="1554">
      <c r="A1554" t="inlineStr">
        <is>
          <t>No</t>
        </is>
      </c>
      <c r="B1554" t="inlineStr">
        <is>
          <t>CUHSL</t>
        </is>
      </c>
      <c r="C1554" t="inlineStr">
        <is>
          <t>SHELVES</t>
        </is>
      </c>
      <c r="D1554" t="inlineStr">
        <is>
          <t>WY156 Q14 2003</t>
        </is>
      </c>
      <c r="E1554" t="inlineStr">
        <is>
          <t>0                      WY 0156000Q  14          2003</t>
        </is>
      </c>
      <c r="F1554" t="inlineStr">
        <is>
          <t>Quality of life : from nursing and patient perspectives : theory, research, practice / Cynthia R. King &amp; Pamela S. Hinds, editors.</t>
        </is>
      </c>
      <c r="H1554" t="inlineStr">
        <is>
          <t>No</t>
        </is>
      </c>
      <c r="I1554" t="inlineStr">
        <is>
          <t>1</t>
        </is>
      </c>
      <c r="J1554" t="inlineStr">
        <is>
          <t>No</t>
        </is>
      </c>
      <c r="K1554" t="inlineStr">
        <is>
          <t>No</t>
        </is>
      </c>
      <c r="L1554" t="inlineStr">
        <is>
          <t>0</t>
        </is>
      </c>
      <c r="N1554" t="inlineStr">
        <is>
          <t>Sudbury, Mass. : Jones and Bartlett Publishers, c2003.</t>
        </is>
      </c>
      <c r="O1554" t="inlineStr">
        <is>
          <t>2003</t>
        </is>
      </c>
      <c r="P1554" t="inlineStr">
        <is>
          <t>2nd ed.</t>
        </is>
      </c>
      <c r="Q1554" t="inlineStr">
        <is>
          <t>eng</t>
        </is>
      </c>
      <c r="R1554" t="inlineStr">
        <is>
          <t>mau</t>
        </is>
      </c>
      <c r="S1554" t="inlineStr">
        <is>
          <t>Jones and Bartlett series in oncology</t>
        </is>
      </c>
      <c r="T1554" t="inlineStr">
        <is>
          <t xml:space="preserve">WY </t>
        </is>
      </c>
      <c r="U1554" t="n">
        <v>2</v>
      </c>
      <c r="V1554" t="n">
        <v>2</v>
      </c>
      <c r="W1554" t="inlineStr">
        <is>
          <t>2003-06-30</t>
        </is>
      </c>
      <c r="X1554" t="inlineStr">
        <is>
          <t>2003-06-30</t>
        </is>
      </c>
      <c r="Y1554" t="inlineStr">
        <is>
          <t>2003-06-30</t>
        </is>
      </c>
      <c r="Z1554" t="inlineStr">
        <is>
          <t>2003-06-30</t>
        </is>
      </c>
      <c r="AA1554" t="n">
        <v>360</v>
      </c>
      <c r="AB1554" t="n">
        <v>278</v>
      </c>
      <c r="AC1554" t="n">
        <v>1305</v>
      </c>
      <c r="AD1554" t="n">
        <v>4</v>
      </c>
      <c r="AE1554" t="n">
        <v>6</v>
      </c>
      <c r="AF1554" t="n">
        <v>17</v>
      </c>
      <c r="AG1554" t="n">
        <v>36</v>
      </c>
      <c r="AH1554" t="n">
        <v>6</v>
      </c>
      <c r="AI1554" t="n">
        <v>16</v>
      </c>
      <c r="AJ1554" t="n">
        <v>3</v>
      </c>
      <c r="AK1554" t="n">
        <v>7</v>
      </c>
      <c r="AL1554" t="n">
        <v>7</v>
      </c>
      <c r="AM1554" t="n">
        <v>14</v>
      </c>
      <c r="AN1554" t="n">
        <v>3</v>
      </c>
      <c r="AO1554" t="n">
        <v>5</v>
      </c>
      <c r="AP1554" t="n">
        <v>0</v>
      </c>
      <c r="AQ1554" t="n">
        <v>0</v>
      </c>
      <c r="AR1554" t="inlineStr">
        <is>
          <t>No</t>
        </is>
      </c>
      <c r="AS1554" t="inlineStr">
        <is>
          <t>Yes</t>
        </is>
      </c>
      <c r="AT1554">
        <f>HYPERLINK("http://catalog.hathitrust.org/Record/004323233","HathiTrust Record")</f>
        <v/>
      </c>
      <c r="AU1554">
        <f>HYPERLINK("https://creighton-primo.hosted.exlibrisgroup.com/primo-explore/search?tab=default_tab&amp;search_scope=EVERYTHING&amp;vid=01CRU&amp;lang=en_US&amp;offset=0&amp;query=any,contains,991001723359702656","Catalog Record")</f>
        <v/>
      </c>
      <c r="AV1554">
        <f>HYPERLINK("http://www.worldcat.org/oclc/51258166","WorldCat Record")</f>
        <v/>
      </c>
      <c r="AW1554" t="inlineStr">
        <is>
          <t>194970164:eng</t>
        </is>
      </c>
      <c r="AX1554" t="inlineStr">
        <is>
          <t>51258166</t>
        </is>
      </c>
      <c r="AY1554" t="inlineStr">
        <is>
          <t>991001723359702656</t>
        </is>
      </c>
      <c r="AZ1554" t="inlineStr">
        <is>
          <t>991001723359702656</t>
        </is>
      </c>
      <c r="BA1554" t="inlineStr">
        <is>
          <t>2268281680002656</t>
        </is>
      </c>
      <c r="BB1554" t="inlineStr">
        <is>
          <t>BOOK</t>
        </is>
      </c>
      <c r="BD1554" t="inlineStr">
        <is>
          <t>9780763722357</t>
        </is>
      </c>
      <c r="BE1554" t="inlineStr">
        <is>
          <t>30001004504991</t>
        </is>
      </c>
      <c r="BF1554" t="inlineStr">
        <is>
          <t>893134771</t>
        </is>
      </c>
    </row>
    <row r="1555">
      <c r="A1555" t="inlineStr">
        <is>
          <t>No</t>
        </is>
      </c>
      <c r="B1555" t="inlineStr">
        <is>
          <t>CUHSL</t>
        </is>
      </c>
      <c r="C1555" t="inlineStr">
        <is>
          <t>SHELVES</t>
        </is>
      </c>
      <c r="D1555" t="inlineStr">
        <is>
          <t>WY 156 R128 2007</t>
        </is>
      </c>
      <c r="E1555" t="inlineStr">
        <is>
          <t>0                      WY 0156000R  128         2007</t>
        </is>
      </c>
      <c r="F1555" t="inlineStr">
        <is>
          <t>Radiation therapy : a guide to patient care / Marilyn L. Haas ... [et al.].</t>
        </is>
      </c>
      <c r="H1555" t="inlineStr">
        <is>
          <t>No</t>
        </is>
      </c>
      <c r="I1555" t="inlineStr">
        <is>
          <t>1</t>
        </is>
      </c>
      <c r="J1555" t="inlineStr">
        <is>
          <t>No</t>
        </is>
      </c>
      <c r="K1555" t="inlineStr">
        <is>
          <t>No</t>
        </is>
      </c>
      <c r="L1555" t="inlineStr">
        <is>
          <t>0</t>
        </is>
      </c>
      <c r="N1555" t="inlineStr">
        <is>
          <t>St. Louis, Mo. : Mosby/Elsevier, c2007.</t>
        </is>
      </c>
      <c r="O1555" t="inlineStr">
        <is>
          <t>2007</t>
        </is>
      </c>
      <c r="Q1555" t="inlineStr">
        <is>
          <t>eng</t>
        </is>
      </c>
      <c r="R1555" t="inlineStr">
        <is>
          <t>mou</t>
        </is>
      </c>
      <c r="T1555" t="inlineStr">
        <is>
          <t xml:space="preserve">WY </t>
        </is>
      </c>
      <c r="U1555" t="n">
        <v>0</v>
      </c>
      <c r="V1555" t="n">
        <v>0</v>
      </c>
      <c r="W1555" t="inlineStr">
        <is>
          <t>2009-08-11</t>
        </is>
      </c>
      <c r="X1555" t="inlineStr">
        <is>
          <t>2009-08-11</t>
        </is>
      </c>
      <c r="Y1555" t="inlineStr">
        <is>
          <t>2009-08-11</t>
        </is>
      </c>
      <c r="Z1555" t="inlineStr">
        <is>
          <t>2009-08-11</t>
        </is>
      </c>
      <c r="AA1555" t="n">
        <v>205</v>
      </c>
      <c r="AB1555" t="n">
        <v>138</v>
      </c>
      <c r="AC1555" t="n">
        <v>149</v>
      </c>
      <c r="AD1555" t="n">
        <v>1</v>
      </c>
      <c r="AE1555" t="n">
        <v>1</v>
      </c>
      <c r="AF1555" t="n">
        <v>5</v>
      </c>
      <c r="AG1555" t="n">
        <v>5</v>
      </c>
      <c r="AH1555" t="n">
        <v>1</v>
      </c>
      <c r="AI1555" t="n">
        <v>1</v>
      </c>
      <c r="AJ1555" t="n">
        <v>3</v>
      </c>
      <c r="AK1555" t="n">
        <v>3</v>
      </c>
      <c r="AL1555" t="n">
        <v>2</v>
      </c>
      <c r="AM1555" t="n">
        <v>2</v>
      </c>
      <c r="AN1555" t="n">
        <v>0</v>
      </c>
      <c r="AO1555" t="n">
        <v>0</v>
      </c>
      <c r="AP1555" t="n">
        <v>0</v>
      </c>
      <c r="AQ1555" t="n">
        <v>0</v>
      </c>
      <c r="AR1555" t="inlineStr">
        <is>
          <t>No</t>
        </is>
      </c>
      <c r="AS1555" t="inlineStr">
        <is>
          <t>No</t>
        </is>
      </c>
      <c r="AU1555">
        <f>HYPERLINK("https://creighton-primo.hosted.exlibrisgroup.com/primo-explore/search?tab=default_tab&amp;search_scope=EVERYTHING&amp;vid=01CRU&amp;lang=en_US&amp;offset=0&amp;query=any,contains,991001486109702656","Catalog Record")</f>
        <v/>
      </c>
      <c r="AV1555">
        <f>HYPERLINK("http://www.worldcat.org/oclc/127113523","WorldCat Record")</f>
        <v/>
      </c>
      <c r="AW1555" t="inlineStr">
        <is>
          <t>863875992:eng</t>
        </is>
      </c>
      <c r="AX1555" t="inlineStr">
        <is>
          <t>127113523</t>
        </is>
      </c>
      <c r="AY1555" t="inlineStr">
        <is>
          <t>991001486109702656</t>
        </is>
      </c>
      <c r="AZ1555" t="inlineStr">
        <is>
          <t>991001486109702656</t>
        </is>
      </c>
      <c r="BA1555" t="inlineStr">
        <is>
          <t>2261932530002656</t>
        </is>
      </c>
      <c r="BB1555" t="inlineStr">
        <is>
          <t>BOOK</t>
        </is>
      </c>
      <c r="BD1555" t="inlineStr">
        <is>
          <t>9780323040303</t>
        </is>
      </c>
      <c r="BE1555" t="inlineStr">
        <is>
          <t>30001004918993</t>
        </is>
      </c>
      <c r="BF1555" t="inlineStr">
        <is>
          <t>893121544</t>
        </is>
      </c>
    </row>
    <row r="1556">
      <c r="A1556" t="inlineStr">
        <is>
          <t>No</t>
        </is>
      </c>
      <c r="B1556" t="inlineStr">
        <is>
          <t>CUHSL</t>
        </is>
      </c>
      <c r="C1556" t="inlineStr">
        <is>
          <t>SHELVES</t>
        </is>
      </c>
      <c r="D1556" t="inlineStr">
        <is>
          <t>WY 156 R647b 1976</t>
        </is>
      </c>
      <c r="E1556" t="inlineStr">
        <is>
          <t>0                      WY 0156000R  647b        1976</t>
        </is>
      </c>
      <c r="F1556" t="inlineStr">
        <is>
          <t>Behavioral concepts and the critically ill patient / Sharon L. Roberts.</t>
        </is>
      </c>
      <c r="H1556" t="inlineStr">
        <is>
          <t>No</t>
        </is>
      </c>
      <c r="I1556" t="inlineStr">
        <is>
          <t>1</t>
        </is>
      </c>
      <c r="J1556" t="inlineStr">
        <is>
          <t>No</t>
        </is>
      </c>
      <c r="K1556" t="inlineStr">
        <is>
          <t>No</t>
        </is>
      </c>
      <c r="L1556" t="inlineStr">
        <is>
          <t>0</t>
        </is>
      </c>
      <c r="M1556" t="inlineStr">
        <is>
          <t>Roberts, Sharon L., 1942-</t>
        </is>
      </c>
      <c r="N1556" t="inlineStr">
        <is>
          <t>-- Englewood Cliffs, N.J. : Prentice-Hall, c1976.</t>
        </is>
      </c>
      <c r="O1556" t="inlineStr">
        <is>
          <t>1976</t>
        </is>
      </c>
      <c r="Q1556" t="inlineStr">
        <is>
          <t>eng</t>
        </is>
      </c>
      <c r="R1556" t="inlineStr">
        <is>
          <t>nju</t>
        </is>
      </c>
      <c r="T1556" t="inlineStr">
        <is>
          <t xml:space="preserve">WY </t>
        </is>
      </c>
      <c r="U1556" t="n">
        <v>4</v>
      </c>
      <c r="V1556" t="n">
        <v>4</v>
      </c>
      <c r="W1556" t="inlineStr">
        <is>
          <t>1994-11-28</t>
        </is>
      </c>
      <c r="X1556" t="inlineStr">
        <is>
          <t>1994-11-28</t>
        </is>
      </c>
      <c r="Y1556" t="inlineStr">
        <is>
          <t>1987-10-23</t>
        </is>
      </c>
      <c r="Z1556" t="inlineStr">
        <is>
          <t>1987-10-23</t>
        </is>
      </c>
      <c r="AA1556" t="n">
        <v>343</v>
      </c>
      <c r="AB1556" t="n">
        <v>288</v>
      </c>
      <c r="AC1556" t="n">
        <v>354</v>
      </c>
      <c r="AD1556" t="n">
        <v>4</v>
      </c>
      <c r="AE1556" t="n">
        <v>4</v>
      </c>
      <c r="AF1556" t="n">
        <v>11</v>
      </c>
      <c r="AG1556" t="n">
        <v>13</v>
      </c>
      <c r="AH1556" t="n">
        <v>2</v>
      </c>
      <c r="AI1556" t="n">
        <v>3</v>
      </c>
      <c r="AJ1556" t="n">
        <v>2</v>
      </c>
      <c r="AK1556" t="n">
        <v>3</v>
      </c>
      <c r="AL1556" t="n">
        <v>6</v>
      </c>
      <c r="AM1556" t="n">
        <v>7</v>
      </c>
      <c r="AN1556" t="n">
        <v>2</v>
      </c>
      <c r="AO1556" t="n">
        <v>2</v>
      </c>
      <c r="AP1556" t="n">
        <v>0</v>
      </c>
      <c r="AQ1556" t="n">
        <v>0</v>
      </c>
      <c r="AR1556" t="inlineStr">
        <is>
          <t>No</t>
        </is>
      </c>
      <c r="AS1556" t="inlineStr">
        <is>
          <t>Yes</t>
        </is>
      </c>
      <c r="AT1556">
        <f>HYPERLINK("http://catalog.hathitrust.org/Record/000045199","HathiTrust Record")</f>
        <v/>
      </c>
      <c r="AU1556">
        <f>HYPERLINK("https://creighton-primo.hosted.exlibrisgroup.com/primo-explore/search?tab=default_tab&amp;search_scope=EVERYTHING&amp;vid=01CRU&amp;lang=en_US&amp;offset=0&amp;query=any,contains,991000733759702656","Catalog Record")</f>
        <v/>
      </c>
      <c r="AV1556">
        <f>HYPERLINK("http://www.worldcat.org/oclc/1529311","WorldCat Record")</f>
        <v/>
      </c>
      <c r="AW1556" t="inlineStr">
        <is>
          <t>2392007:eng</t>
        </is>
      </c>
      <c r="AX1556" t="inlineStr">
        <is>
          <t>1529311</t>
        </is>
      </c>
      <c r="AY1556" t="inlineStr">
        <is>
          <t>991000733759702656</t>
        </is>
      </c>
      <c r="AZ1556" t="inlineStr">
        <is>
          <t>991000733759702656</t>
        </is>
      </c>
      <c r="BA1556" t="inlineStr">
        <is>
          <t>2256871030002656</t>
        </is>
      </c>
      <c r="BB1556" t="inlineStr">
        <is>
          <t>BOOK</t>
        </is>
      </c>
      <c r="BD1556" t="inlineStr">
        <is>
          <t>9780130744760</t>
        </is>
      </c>
      <c r="BE1556" t="inlineStr">
        <is>
          <t>30001000040925</t>
        </is>
      </c>
      <c r="BF1556" t="inlineStr">
        <is>
          <t>893735449</t>
        </is>
      </c>
    </row>
    <row r="1557">
      <c r="A1557" t="inlineStr">
        <is>
          <t>No</t>
        </is>
      </c>
      <c r="B1557" t="inlineStr">
        <is>
          <t>CUHSL</t>
        </is>
      </c>
      <c r="C1557" t="inlineStr">
        <is>
          <t>SHELVES</t>
        </is>
      </c>
      <c r="D1557" t="inlineStr">
        <is>
          <t>WY 156 S216c 1972</t>
        </is>
      </c>
      <c r="E1557" t="inlineStr">
        <is>
          <t>0                      WY 0156000S  216c        1972</t>
        </is>
      </c>
      <c r="F1557" t="inlineStr">
        <is>
          <t>The cardiac patient : a comprehensive approach / [edited by] Richard G. Sanderson : with contributions by Cynthia L. Becker ... [et al.]</t>
        </is>
      </c>
      <c r="H1557" t="inlineStr">
        <is>
          <t>No</t>
        </is>
      </c>
      <c r="I1557" t="inlineStr">
        <is>
          <t>1</t>
        </is>
      </c>
      <c r="J1557" t="inlineStr">
        <is>
          <t>No</t>
        </is>
      </c>
      <c r="K1557" t="inlineStr">
        <is>
          <t>Yes</t>
        </is>
      </c>
      <c r="L1557" t="inlineStr">
        <is>
          <t>0</t>
        </is>
      </c>
      <c r="M1557" t="inlineStr">
        <is>
          <t>Sanderson, Richard G.</t>
        </is>
      </c>
      <c r="N1557" t="inlineStr">
        <is>
          <t>-- Philadelphia : Saunders, 1972.</t>
        </is>
      </c>
      <c r="O1557" t="inlineStr">
        <is>
          <t>1972</t>
        </is>
      </c>
      <c r="Q1557" t="inlineStr">
        <is>
          <t>eng</t>
        </is>
      </c>
      <c r="R1557" t="inlineStr">
        <is>
          <t>pau</t>
        </is>
      </c>
      <c r="S1557" t="inlineStr">
        <is>
          <t>Saunders monographs in clinical nursing ; 2</t>
        </is>
      </c>
      <c r="T1557" t="inlineStr">
        <is>
          <t xml:space="preserve">WY </t>
        </is>
      </c>
      <c r="U1557" t="n">
        <v>3</v>
      </c>
      <c r="V1557" t="n">
        <v>3</v>
      </c>
      <c r="W1557" t="inlineStr">
        <is>
          <t>1990-03-21</t>
        </is>
      </c>
      <c r="X1557" t="inlineStr">
        <is>
          <t>1990-03-21</t>
        </is>
      </c>
      <c r="Y1557" t="inlineStr">
        <is>
          <t>1987-12-22</t>
        </is>
      </c>
      <c r="Z1557" t="inlineStr">
        <is>
          <t>1987-12-22</t>
        </is>
      </c>
      <c r="AA1557" t="n">
        <v>201</v>
      </c>
      <c r="AB1557" t="n">
        <v>159</v>
      </c>
      <c r="AC1557" t="n">
        <v>270</v>
      </c>
      <c r="AD1557" t="n">
        <v>2</v>
      </c>
      <c r="AE1557" t="n">
        <v>2</v>
      </c>
      <c r="AF1557" t="n">
        <v>7</v>
      </c>
      <c r="AG1557" t="n">
        <v>11</v>
      </c>
      <c r="AH1557" t="n">
        <v>0</v>
      </c>
      <c r="AI1557" t="n">
        <v>2</v>
      </c>
      <c r="AJ1557" t="n">
        <v>3</v>
      </c>
      <c r="AK1557" t="n">
        <v>4</v>
      </c>
      <c r="AL1557" t="n">
        <v>4</v>
      </c>
      <c r="AM1557" t="n">
        <v>6</v>
      </c>
      <c r="AN1557" t="n">
        <v>1</v>
      </c>
      <c r="AO1557" t="n">
        <v>1</v>
      </c>
      <c r="AP1557" t="n">
        <v>0</v>
      </c>
      <c r="AQ1557" t="n">
        <v>0</v>
      </c>
      <c r="AR1557" t="inlineStr">
        <is>
          <t>No</t>
        </is>
      </c>
      <c r="AS1557" t="inlineStr">
        <is>
          <t>Yes</t>
        </is>
      </c>
      <c r="AT1557">
        <f>HYPERLINK("http://catalog.hathitrust.org/Record/001565950","HathiTrust Record")</f>
        <v/>
      </c>
      <c r="AU1557">
        <f>HYPERLINK("https://creighton-primo.hosted.exlibrisgroup.com/primo-explore/search?tab=default_tab&amp;search_scope=EVERYTHING&amp;vid=01CRU&amp;lang=en_US&amp;offset=0&amp;query=any,contains,991000919659702656","Catalog Record")</f>
        <v/>
      </c>
      <c r="AV1557">
        <f>HYPERLINK("http://www.worldcat.org/oclc/363894","WorldCat Record")</f>
        <v/>
      </c>
      <c r="AW1557" t="inlineStr">
        <is>
          <t>1420815:eng</t>
        </is>
      </c>
      <c r="AX1557" t="inlineStr">
        <is>
          <t>363894</t>
        </is>
      </c>
      <c r="AY1557" t="inlineStr">
        <is>
          <t>991000919659702656</t>
        </is>
      </c>
      <c r="AZ1557" t="inlineStr">
        <is>
          <t>991000919659702656</t>
        </is>
      </c>
      <c r="BA1557" t="inlineStr">
        <is>
          <t>2261865180002656</t>
        </is>
      </c>
      <c r="BB1557" t="inlineStr">
        <is>
          <t>BOOK</t>
        </is>
      </c>
      <c r="BD1557" t="inlineStr">
        <is>
          <t>9780721670959</t>
        </is>
      </c>
      <c r="BE1557" t="inlineStr">
        <is>
          <t>30001000180713</t>
        </is>
      </c>
      <c r="BF1557" t="inlineStr">
        <is>
          <t>893643020</t>
        </is>
      </c>
    </row>
    <row r="1558">
      <c r="A1558" t="inlineStr">
        <is>
          <t>No</t>
        </is>
      </c>
      <c r="B1558" t="inlineStr">
        <is>
          <t>CUHSL</t>
        </is>
      </c>
      <c r="C1558" t="inlineStr">
        <is>
          <t>SHELVES</t>
        </is>
      </c>
      <c r="D1558" t="inlineStr">
        <is>
          <t>WY 156 S785 1986</t>
        </is>
      </c>
      <c r="E1558" t="inlineStr">
        <is>
          <t>0                      WY 0156000S  785         1986</t>
        </is>
      </c>
      <c r="F1558" t="inlineStr">
        <is>
          <t>Standards of oncology nursing practice / edited by Mary H. Brown ... [et al.] ; sponsored by the Division of Nursing, Memorial Sloan-Kettering Cancer Center.</t>
        </is>
      </c>
      <c r="H1558" t="inlineStr">
        <is>
          <t>No</t>
        </is>
      </c>
      <c r="I1558" t="inlineStr">
        <is>
          <t>1</t>
        </is>
      </c>
      <c r="J1558" t="inlineStr">
        <is>
          <t>No</t>
        </is>
      </c>
      <c r="K1558" t="inlineStr">
        <is>
          <t>No</t>
        </is>
      </c>
      <c r="L1558" t="inlineStr">
        <is>
          <t>0</t>
        </is>
      </c>
      <c r="N1558" t="inlineStr">
        <is>
          <t>New York : Wiley, c1986.</t>
        </is>
      </c>
      <c r="O1558" t="inlineStr">
        <is>
          <t>1986</t>
        </is>
      </c>
      <c r="Q1558" t="inlineStr">
        <is>
          <t>eng</t>
        </is>
      </c>
      <c r="R1558" t="inlineStr">
        <is>
          <t>xxu</t>
        </is>
      </c>
      <c r="S1558" t="inlineStr">
        <is>
          <t>A Wiley medical publication</t>
        </is>
      </c>
      <c r="T1558" t="inlineStr">
        <is>
          <t xml:space="preserve">WY </t>
        </is>
      </c>
      <c r="U1558" t="n">
        <v>27</v>
      </c>
      <c r="V1558" t="n">
        <v>27</v>
      </c>
      <c r="W1558" t="inlineStr">
        <is>
          <t>1994-08-09</t>
        </is>
      </c>
      <c r="X1558" t="inlineStr">
        <is>
          <t>1994-08-09</t>
        </is>
      </c>
      <c r="Y1558" t="inlineStr">
        <is>
          <t>1987-10-23</t>
        </is>
      </c>
      <c r="Z1558" t="inlineStr">
        <is>
          <t>1987-10-23</t>
        </is>
      </c>
      <c r="AA1558" t="n">
        <v>225</v>
      </c>
      <c r="AB1558" t="n">
        <v>182</v>
      </c>
      <c r="AC1558" t="n">
        <v>189</v>
      </c>
      <c r="AD1558" t="n">
        <v>3</v>
      </c>
      <c r="AE1558" t="n">
        <v>3</v>
      </c>
      <c r="AF1558" t="n">
        <v>8</v>
      </c>
      <c r="AG1558" t="n">
        <v>8</v>
      </c>
      <c r="AH1558" t="n">
        <v>1</v>
      </c>
      <c r="AI1558" t="n">
        <v>1</v>
      </c>
      <c r="AJ1558" t="n">
        <v>3</v>
      </c>
      <c r="AK1558" t="n">
        <v>3</v>
      </c>
      <c r="AL1558" t="n">
        <v>5</v>
      </c>
      <c r="AM1558" t="n">
        <v>5</v>
      </c>
      <c r="AN1558" t="n">
        <v>1</v>
      </c>
      <c r="AO1558" t="n">
        <v>1</v>
      </c>
      <c r="AP1558" t="n">
        <v>0</v>
      </c>
      <c r="AQ1558" t="n">
        <v>0</v>
      </c>
      <c r="AR1558" t="inlineStr">
        <is>
          <t>No</t>
        </is>
      </c>
      <c r="AS1558" t="inlineStr">
        <is>
          <t>Yes</t>
        </is>
      </c>
      <c r="AT1558">
        <f>HYPERLINK("http://catalog.hathitrust.org/Record/000632744","HathiTrust Record")</f>
        <v/>
      </c>
      <c r="AU1558">
        <f>HYPERLINK("https://creighton-primo.hosted.exlibrisgroup.com/primo-explore/search?tab=default_tab&amp;search_scope=EVERYTHING&amp;vid=01CRU&amp;lang=en_US&amp;offset=0&amp;query=any,contains,991000733709702656","Catalog Record")</f>
        <v/>
      </c>
      <c r="AV1558">
        <f>HYPERLINK("http://www.worldcat.org/oclc/13580393","WorldCat Record")</f>
        <v/>
      </c>
      <c r="AW1558" t="inlineStr">
        <is>
          <t>439630539:eng</t>
        </is>
      </c>
      <c r="AX1558" t="inlineStr">
        <is>
          <t>13580393</t>
        </is>
      </c>
      <c r="AY1558" t="inlineStr">
        <is>
          <t>991000733709702656</t>
        </is>
      </c>
      <c r="AZ1558" t="inlineStr">
        <is>
          <t>991000733709702656</t>
        </is>
      </c>
      <c r="BA1558" t="inlineStr">
        <is>
          <t>2271018090002656</t>
        </is>
      </c>
      <c r="BB1558" t="inlineStr">
        <is>
          <t>BOOK</t>
        </is>
      </c>
      <c r="BD1558" t="inlineStr">
        <is>
          <t>9780471842835</t>
        </is>
      </c>
      <c r="BE1558" t="inlineStr">
        <is>
          <t>30001000040917</t>
        </is>
      </c>
      <c r="BF1558" t="inlineStr">
        <is>
          <t>893467548</t>
        </is>
      </c>
    </row>
    <row r="1559">
      <c r="A1559" t="inlineStr">
        <is>
          <t>No</t>
        </is>
      </c>
      <c r="B1559" t="inlineStr">
        <is>
          <t>CUHSL</t>
        </is>
      </c>
      <c r="C1559" t="inlineStr">
        <is>
          <t>SHELVES</t>
        </is>
      </c>
      <c r="D1559" t="inlineStr">
        <is>
          <t>WY 156 T198s 1987</t>
        </is>
      </c>
      <c r="E1559" t="inlineStr">
        <is>
          <t>0                      WY 0156000T  198s        1987</t>
        </is>
      </c>
      <c r="F1559" t="inlineStr">
        <is>
          <t>Standards of oncology nursing practice / American Nurses' Association and Oncology Nursing Society.</t>
        </is>
      </c>
      <c r="H1559" t="inlineStr">
        <is>
          <t>No</t>
        </is>
      </c>
      <c r="I1559" t="inlineStr">
        <is>
          <t>1</t>
        </is>
      </c>
      <c r="J1559" t="inlineStr">
        <is>
          <t>No</t>
        </is>
      </c>
      <c r="K1559" t="inlineStr">
        <is>
          <t>Yes</t>
        </is>
      </c>
      <c r="L1559" t="inlineStr">
        <is>
          <t>0</t>
        </is>
      </c>
      <c r="M1559" t="inlineStr">
        <is>
          <t>Task Force to Develop Standards of Oncology Nursing Practice.</t>
        </is>
      </c>
      <c r="N1559" t="inlineStr">
        <is>
          <t>Kansas City, Mo. (2420 Pershing Rd., Kansas City 64108) : The Association, c1987.</t>
        </is>
      </c>
      <c r="O1559" t="inlineStr">
        <is>
          <t>1987</t>
        </is>
      </c>
      <c r="Q1559" t="inlineStr">
        <is>
          <t>eng</t>
        </is>
      </c>
      <c r="R1559" t="inlineStr">
        <is>
          <t>xxu</t>
        </is>
      </c>
      <c r="S1559" t="inlineStr">
        <is>
          <t>ANA pub ; no. MS-16</t>
        </is>
      </c>
      <c r="T1559" t="inlineStr">
        <is>
          <t xml:space="preserve">WY </t>
        </is>
      </c>
      <c r="U1559" t="n">
        <v>1</v>
      </c>
      <c r="V1559" t="n">
        <v>1</v>
      </c>
      <c r="W1559" t="inlineStr">
        <is>
          <t>1990-12-01</t>
        </is>
      </c>
      <c r="X1559" t="inlineStr">
        <is>
          <t>1990-12-01</t>
        </is>
      </c>
      <c r="Y1559" t="inlineStr">
        <is>
          <t>1988-06-10</t>
        </is>
      </c>
      <c r="Z1559" t="inlineStr">
        <is>
          <t>1988-06-10</t>
        </is>
      </c>
      <c r="AA1559" t="n">
        <v>151</v>
      </c>
      <c r="AB1559" t="n">
        <v>141</v>
      </c>
      <c r="AC1559" t="n">
        <v>315</v>
      </c>
      <c r="AD1559" t="n">
        <v>1</v>
      </c>
      <c r="AE1559" t="n">
        <v>2</v>
      </c>
      <c r="AF1559" t="n">
        <v>4</v>
      </c>
      <c r="AG1559" t="n">
        <v>12</v>
      </c>
      <c r="AH1559" t="n">
        <v>0</v>
      </c>
      <c r="AI1559" t="n">
        <v>4</v>
      </c>
      <c r="AJ1559" t="n">
        <v>2</v>
      </c>
      <c r="AK1559" t="n">
        <v>2</v>
      </c>
      <c r="AL1559" t="n">
        <v>3</v>
      </c>
      <c r="AM1559" t="n">
        <v>9</v>
      </c>
      <c r="AN1559" t="n">
        <v>0</v>
      </c>
      <c r="AO1559" t="n">
        <v>0</v>
      </c>
      <c r="AP1559" t="n">
        <v>0</v>
      </c>
      <c r="AQ1559" t="n">
        <v>0</v>
      </c>
      <c r="AR1559" t="inlineStr">
        <is>
          <t>No</t>
        </is>
      </c>
      <c r="AS1559" t="inlineStr">
        <is>
          <t>Yes</t>
        </is>
      </c>
      <c r="AT1559">
        <f>HYPERLINK("http://catalog.hathitrust.org/Record/004399542","HathiTrust Record")</f>
        <v/>
      </c>
      <c r="AU1559">
        <f>HYPERLINK("https://creighton-primo.hosted.exlibrisgroup.com/primo-explore/search?tab=default_tab&amp;search_scope=EVERYTHING&amp;vid=01CRU&amp;lang=en_US&amp;offset=0&amp;query=any,contains,991001415079702656","Catalog Record")</f>
        <v/>
      </c>
      <c r="AV1559">
        <f>HYPERLINK("http://www.worldcat.org/oclc/17105281","WorldCat Record")</f>
        <v/>
      </c>
      <c r="AW1559" t="inlineStr">
        <is>
          <t>998719:eng</t>
        </is>
      </c>
      <c r="AX1559" t="inlineStr">
        <is>
          <t>17105281</t>
        </is>
      </c>
      <c r="AY1559" t="inlineStr">
        <is>
          <t>991001415079702656</t>
        </is>
      </c>
      <c r="AZ1559" t="inlineStr">
        <is>
          <t>991001415079702656</t>
        </is>
      </c>
      <c r="BA1559" t="inlineStr">
        <is>
          <t>2259518730002656</t>
        </is>
      </c>
      <c r="BB1559" t="inlineStr">
        <is>
          <t>BOOK</t>
        </is>
      </c>
      <c r="BE1559" t="inlineStr">
        <is>
          <t>30001001180225</t>
        </is>
      </c>
      <c r="BF1559" t="inlineStr">
        <is>
          <t>893741105</t>
        </is>
      </c>
    </row>
    <row r="1560">
      <c r="A1560" t="inlineStr">
        <is>
          <t>No</t>
        </is>
      </c>
      <c r="B1560" t="inlineStr">
        <is>
          <t>CUHSL</t>
        </is>
      </c>
      <c r="C1560" t="inlineStr">
        <is>
          <t>SHELVES</t>
        </is>
      </c>
      <c r="D1560" t="inlineStr">
        <is>
          <t>WY 156 T292c 1989</t>
        </is>
      </c>
      <c r="E1560" t="inlineStr">
        <is>
          <t>0                      WY 0156000T  292c        1989</t>
        </is>
      </c>
      <c r="F1560" t="inlineStr">
        <is>
          <t>Cancer chemotherapy / Linda Tenenbaum.</t>
        </is>
      </c>
      <c r="H1560" t="inlineStr">
        <is>
          <t>No</t>
        </is>
      </c>
      <c r="I1560" t="inlineStr">
        <is>
          <t>1</t>
        </is>
      </c>
      <c r="J1560" t="inlineStr">
        <is>
          <t>No</t>
        </is>
      </c>
      <c r="K1560" t="inlineStr">
        <is>
          <t>No</t>
        </is>
      </c>
      <c r="L1560" t="inlineStr">
        <is>
          <t>0</t>
        </is>
      </c>
      <c r="M1560" t="inlineStr">
        <is>
          <t>Tenenbaum, Linda.</t>
        </is>
      </c>
      <c r="N1560" t="inlineStr">
        <is>
          <t>Philadelphia : Saunders, c1989.</t>
        </is>
      </c>
      <c r="O1560" t="inlineStr">
        <is>
          <t>1989</t>
        </is>
      </c>
      <c r="Q1560" t="inlineStr">
        <is>
          <t>eng</t>
        </is>
      </c>
      <c r="R1560" t="inlineStr">
        <is>
          <t>xxu</t>
        </is>
      </c>
      <c r="T1560" t="inlineStr">
        <is>
          <t xml:space="preserve">WY </t>
        </is>
      </c>
      <c r="U1560" t="n">
        <v>2</v>
      </c>
      <c r="V1560" t="n">
        <v>2</v>
      </c>
      <c r="W1560" t="inlineStr">
        <is>
          <t>1989-11-27</t>
        </is>
      </c>
      <c r="X1560" t="inlineStr">
        <is>
          <t>1989-11-27</t>
        </is>
      </c>
      <c r="Y1560" t="inlineStr">
        <is>
          <t>1989-05-02</t>
        </is>
      </c>
      <c r="Z1560" t="inlineStr">
        <is>
          <t>1989-05-02</t>
        </is>
      </c>
      <c r="AA1560" t="n">
        <v>241</v>
      </c>
      <c r="AB1560" t="n">
        <v>195</v>
      </c>
      <c r="AC1560" t="n">
        <v>281</v>
      </c>
      <c r="AD1560" t="n">
        <v>2</v>
      </c>
      <c r="AE1560" t="n">
        <v>2</v>
      </c>
      <c r="AF1560" t="n">
        <v>6</v>
      </c>
      <c r="AG1560" t="n">
        <v>9</v>
      </c>
      <c r="AH1560" t="n">
        <v>1</v>
      </c>
      <c r="AI1560" t="n">
        <v>2</v>
      </c>
      <c r="AJ1560" t="n">
        <v>3</v>
      </c>
      <c r="AK1560" t="n">
        <v>3</v>
      </c>
      <c r="AL1560" t="n">
        <v>3</v>
      </c>
      <c r="AM1560" t="n">
        <v>5</v>
      </c>
      <c r="AN1560" t="n">
        <v>1</v>
      </c>
      <c r="AO1560" t="n">
        <v>1</v>
      </c>
      <c r="AP1560" t="n">
        <v>0</v>
      </c>
      <c r="AQ1560" t="n">
        <v>0</v>
      </c>
      <c r="AR1560" t="inlineStr">
        <is>
          <t>No</t>
        </is>
      </c>
      <c r="AS1560" t="inlineStr">
        <is>
          <t>Yes</t>
        </is>
      </c>
      <c r="AT1560">
        <f>HYPERLINK("http://catalog.hathitrust.org/Record/002204098","HathiTrust Record")</f>
        <v/>
      </c>
      <c r="AU1560">
        <f>HYPERLINK("https://creighton-primo.hosted.exlibrisgroup.com/primo-explore/search?tab=default_tab&amp;search_scope=EVERYTHING&amp;vid=01CRU&amp;lang=en_US&amp;offset=0&amp;query=any,contains,991001247099702656","Catalog Record")</f>
        <v/>
      </c>
      <c r="AV1560">
        <f>HYPERLINK("http://www.worldcat.org/oclc/17675422","WorldCat Record")</f>
        <v/>
      </c>
      <c r="AW1560" t="inlineStr">
        <is>
          <t>836840232:eng</t>
        </is>
      </c>
      <c r="AX1560" t="inlineStr">
        <is>
          <t>17675422</t>
        </is>
      </c>
      <c r="AY1560" t="inlineStr">
        <is>
          <t>991001247099702656</t>
        </is>
      </c>
      <c r="AZ1560" t="inlineStr">
        <is>
          <t>991001247099702656</t>
        </is>
      </c>
      <c r="BA1560" t="inlineStr">
        <is>
          <t>2259942310002656</t>
        </is>
      </c>
      <c r="BB1560" t="inlineStr">
        <is>
          <t>BOOK</t>
        </is>
      </c>
      <c r="BD1560" t="inlineStr">
        <is>
          <t>9780721624853</t>
        </is>
      </c>
      <c r="BE1560" t="inlineStr">
        <is>
          <t>30001001677717</t>
        </is>
      </c>
      <c r="BF1560" t="inlineStr">
        <is>
          <t>893638140</t>
        </is>
      </c>
    </row>
    <row r="1561">
      <c r="A1561" t="inlineStr">
        <is>
          <t>No</t>
        </is>
      </c>
      <c r="B1561" t="inlineStr">
        <is>
          <t>CUHSL</t>
        </is>
      </c>
      <c r="C1561" t="inlineStr">
        <is>
          <t>SHELVES</t>
        </is>
      </c>
      <c r="D1561" t="inlineStr">
        <is>
          <t>WY 156 W119r 1982</t>
        </is>
      </c>
      <c r="E1561" t="inlineStr">
        <is>
          <t>0                      WY 0156000W  119r        1982</t>
        </is>
      </c>
      <c r="F1561" t="inlineStr">
        <is>
          <t>Comprehensive respiratory care : physiology and technique / Jacqueline F. Wade.</t>
        </is>
      </c>
      <c r="H1561" t="inlineStr">
        <is>
          <t>No</t>
        </is>
      </c>
      <c r="I1561" t="inlineStr">
        <is>
          <t>1</t>
        </is>
      </c>
      <c r="J1561" t="inlineStr">
        <is>
          <t>No</t>
        </is>
      </c>
      <c r="K1561" t="inlineStr">
        <is>
          <t>No</t>
        </is>
      </c>
      <c r="L1561" t="inlineStr">
        <is>
          <t>0</t>
        </is>
      </c>
      <c r="M1561" t="inlineStr">
        <is>
          <t>Wade, Jacqueline F., 1939-</t>
        </is>
      </c>
      <c r="N1561" t="inlineStr">
        <is>
          <t>St. Louis : Mosby, c1982.</t>
        </is>
      </c>
      <c r="O1561" t="inlineStr">
        <is>
          <t>1982</t>
        </is>
      </c>
      <c r="P1561" t="inlineStr">
        <is>
          <t>3rd ed.</t>
        </is>
      </c>
      <c r="Q1561" t="inlineStr">
        <is>
          <t>eng</t>
        </is>
      </c>
      <c r="R1561" t="inlineStr">
        <is>
          <t>xxu</t>
        </is>
      </c>
      <c r="T1561" t="inlineStr">
        <is>
          <t xml:space="preserve">WY </t>
        </is>
      </c>
      <c r="U1561" t="n">
        <v>2</v>
      </c>
      <c r="V1561" t="n">
        <v>2</v>
      </c>
      <c r="W1561" t="inlineStr">
        <is>
          <t>1989-03-03</t>
        </is>
      </c>
      <c r="X1561" t="inlineStr">
        <is>
          <t>1989-03-03</t>
        </is>
      </c>
      <c r="Y1561" t="inlineStr">
        <is>
          <t>1987-12-22</t>
        </is>
      </c>
      <c r="Z1561" t="inlineStr">
        <is>
          <t>1987-12-22</t>
        </is>
      </c>
      <c r="AA1561" t="n">
        <v>342</v>
      </c>
      <c r="AB1561" t="n">
        <v>290</v>
      </c>
      <c r="AC1561" t="n">
        <v>297</v>
      </c>
      <c r="AD1561" t="n">
        <v>1</v>
      </c>
      <c r="AE1561" t="n">
        <v>1</v>
      </c>
      <c r="AF1561" t="n">
        <v>6</v>
      </c>
      <c r="AG1561" t="n">
        <v>6</v>
      </c>
      <c r="AH1561" t="n">
        <v>3</v>
      </c>
      <c r="AI1561" t="n">
        <v>3</v>
      </c>
      <c r="AJ1561" t="n">
        <v>2</v>
      </c>
      <c r="AK1561" t="n">
        <v>2</v>
      </c>
      <c r="AL1561" t="n">
        <v>4</v>
      </c>
      <c r="AM1561" t="n">
        <v>4</v>
      </c>
      <c r="AN1561" t="n">
        <v>0</v>
      </c>
      <c r="AO1561" t="n">
        <v>0</v>
      </c>
      <c r="AP1561" t="n">
        <v>0</v>
      </c>
      <c r="AQ1561" t="n">
        <v>0</v>
      </c>
      <c r="AR1561" t="inlineStr">
        <is>
          <t>No</t>
        </is>
      </c>
      <c r="AS1561" t="inlineStr">
        <is>
          <t>Yes</t>
        </is>
      </c>
      <c r="AT1561">
        <f>HYPERLINK("http://catalog.hathitrust.org/Record/000103720","HathiTrust Record")</f>
        <v/>
      </c>
      <c r="AU1561">
        <f>HYPERLINK("https://creighton-primo.hosted.exlibrisgroup.com/primo-explore/search?tab=default_tab&amp;search_scope=EVERYTHING&amp;vid=01CRU&amp;lang=en_US&amp;offset=0&amp;query=any,contains,991000919909702656","Catalog Record")</f>
        <v/>
      </c>
      <c r="AV1561">
        <f>HYPERLINK("http://www.worldcat.org/oclc/8306842","WorldCat Record")</f>
        <v/>
      </c>
      <c r="AW1561" t="inlineStr">
        <is>
          <t>375694783:eng</t>
        </is>
      </c>
      <c r="AX1561" t="inlineStr">
        <is>
          <t>8306842</t>
        </is>
      </c>
      <c r="AY1561" t="inlineStr">
        <is>
          <t>991000919909702656</t>
        </is>
      </c>
      <c r="AZ1561" t="inlineStr">
        <is>
          <t>991000919909702656</t>
        </is>
      </c>
      <c r="BA1561" t="inlineStr">
        <is>
          <t>2265212030002656</t>
        </is>
      </c>
      <c r="BB1561" t="inlineStr">
        <is>
          <t>BOOK</t>
        </is>
      </c>
      <c r="BD1561" t="inlineStr">
        <is>
          <t>9780801652820</t>
        </is>
      </c>
      <c r="BE1561" t="inlineStr">
        <is>
          <t>30001000180861</t>
        </is>
      </c>
      <c r="BF1561" t="inlineStr">
        <is>
          <t>893560769</t>
        </is>
      </c>
    </row>
    <row r="1562">
      <c r="A1562" t="inlineStr">
        <is>
          <t>No</t>
        </is>
      </c>
      <c r="B1562" t="inlineStr">
        <is>
          <t>CUHSL</t>
        </is>
      </c>
      <c r="C1562" t="inlineStr">
        <is>
          <t>SHELVES</t>
        </is>
      </c>
      <c r="D1562" t="inlineStr">
        <is>
          <t>WY 156.5 G539g 1984</t>
        </is>
      </c>
      <c r="E1562" t="inlineStr">
        <is>
          <t>0                      WY 0156500G  539g        1984</t>
        </is>
      </c>
      <c r="F1562" t="inlineStr">
        <is>
          <t>Gastroenterology in clinical nursing / Barbara A. Given, Sandra J. Simmons.</t>
        </is>
      </c>
      <c r="H1562" t="inlineStr">
        <is>
          <t>No</t>
        </is>
      </c>
      <c r="I1562" t="inlineStr">
        <is>
          <t>1</t>
        </is>
      </c>
      <c r="J1562" t="inlineStr">
        <is>
          <t>No</t>
        </is>
      </c>
      <c r="K1562" t="inlineStr">
        <is>
          <t>No</t>
        </is>
      </c>
      <c r="L1562" t="inlineStr">
        <is>
          <t>0</t>
        </is>
      </c>
      <c r="M1562" t="inlineStr">
        <is>
          <t>Given, Barbara A.</t>
        </is>
      </c>
      <c r="N1562" t="inlineStr">
        <is>
          <t>St. Louis : Mosby, c1984.</t>
        </is>
      </c>
      <c r="O1562" t="inlineStr">
        <is>
          <t>1984</t>
        </is>
      </c>
      <c r="P1562" t="inlineStr">
        <is>
          <t>4th ed.</t>
        </is>
      </c>
      <c r="Q1562" t="inlineStr">
        <is>
          <t>eng</t>
        </is>
      </c>
      <c r="R1562" t="inlineStr">
        <is>
          <t>xxu</t>
        </is>
      </c>
      <c r="T1562" t="inlineStr">
        <is>
          <t xml:space="preserve">WY </t>
        </is>
      </c>
      <c r="U1562" t="n">
        <v>4</v>
      </c>
      <c r="V1562" t="n">
        <v>4</v>
      </c>
      <c r="W1562" t="inlineStr">
        <is>
          <t>1993-02-17</t>
        </is>
      </c>
      <c r="X1562" t="inlineStr">
        <is>
          <t>1993-02-17</t>
        </is>
      </c>
      <c r="Y1562" t="inlineStr">
        <is>
          <t>1987-10-23</t>
        </is>
      </c>
      <c r="Z1562" t="inlineStr">
        <is>
          <t>1987-10-23</t>
        </is>
      </c>
      <c r="AA1562" t="n">
        <v>249</v>
      </c>
      <c r="AB1562" t="n">
        <v>204</v>
      </c>
      <c r="AC1562" t="n">
        <v>346</v>
      </c>
      <c r="AD1562" t="n">
        <v>2</v>
      </c>
      <c r="AE1562" t="n">
        <v>4</v>
      </c>
      <c r="AF1562" t="n">
        <v>8</v>
      </c>
      <c r="AG1562" t="n">
        <v>13</v>
      </c>
      <c r="AH1562" t="n">
        <v>3</v>
      </c>
      <c r="AI1562" t="n">
        <v>5</v>
      </c>
      <c r="AJ1562" t="n">
        <v>2</v>
      </c>
      <c r="AK1562" t="n">
        <v>2</v>
      </c>
      <c r="AL1562" t="n">
        <v>6</v>
      </c>
      <c r="AM1562" t="n">
        <v>8</v>
      </c>
      <c r="AN1562" t="n">
        <v>0</v>
      </c>
      <c r="AO1562" t="n">
        <v>2</v>
      </c>
      <c r="AP1562" t="n">
        <v>0</v>
      </c>
      <c r="AQ1562" t="n">
        <v>0</v>
      </c>
      <c r="AR1562" t="inlineStr">
        <is>
          <t>No</t>
        </is>
      </c>
      <c r="AS1562" t="inlineStr">
        <is>
          <t>Yes</t>
        </is>
      </c>
      <c r="AT1562">
        <f>HYPERLINK("http://catalog.hathitrust.org/Record/000325372","HathiTrust Record")</f>
        <v/>
      </c>
      <c r="AU1562">
        <f>HYPERLINK("https://creighton-primo.hosted.exlibrisgroup.com/primo-explore/search?tab=default_tab&amp;search_scope=EVERYTHING&amp;vid=01CRU&amp;lang=en_US&amp;offset=0&amp;query=any,contains,991000733659702656","Catalog Record")</f>
        <v/>
      </c>
      <c r="AV1562">
        <f>HYPERLINK("http://www.worldcat.org/oclc/9533560","WorldCat Record")</f>
        <v/>
      </c>
      <c r="AW1562" t="inlineStr">
        <is>
          <t>1974683:eng</t>
        </is>
      </c>
      <c r="AX1562" t="inlineStr">
        <is>
          <t>9533560</t>
        </is>
      </c>
      <c r="AY1562" t="inlineStr">
        <is>
          <t>991000733659702656</t>
        </is>
      </c>
      <c r="AZ1562" t="inlineStr">
        <is>
          <t>991000733659702656</t>
        </is>
      </c>
      <c r="BA1562" t="inlineStr">
        <is>
          <t>2259033140002656</t>
        </is>
      </c>
      <c r="BB1562" t="inlineStr">
        <is>
          <t>BOOK</t>
        </is>
      </c>
      <c r="BD1562" t="inlineStr">
        <is>
          <t>9780801618697</t>
        </is>
      </c>
      <c r="BE1562" t="inlineStr">
        <is>
          <t>30001000040909</t>
        </is>
      </c>
      <c r="BF1562" t="inlineStr">
        <is>
          <t>893820129</t>
        </is>
      </c>
    </row>
    <row r="1563">
      <c r="A1563" t="inlineStr">
        <is>
          <t>No</t>
        </is>
      </c>
      <c r="B1563" t="inlineStr">
        <is>
          <t>CUHSL</t>
        </is>
      </c>
      <c r="C1563" t="inlineStr">
        <is>
          <t>SHELVES</t>
        </is>
      </c>
      <c r="D1563" t="inlineStr">
        <is>
          <t>WY 156.5 P957 1982</t>
        </is>
      </c>
      <c r="E1563" t="inlineStr">
        <is>
          <t>0                      WY 0156500P  957         1982</t>
        </is>
      </c>
      <c r="F1563" t="inlineStr">
        <is>
          <t>Principles of ostomy care / edited by Debra C. Broadwell, Bettie S. Jackson.</t>
        </is>
      </c>
      <c r="H1563" t="inlineStr">
        <is>
          <t>No</t>
        </is>
      </c>
      <c r="I1563" t="inlineStr">
        <is>
          <t>1</t>
        </is>
      </c>
      <c r="J1563" t="inlineStr">
        <is>
          <t>No</t>
        </is>
      </c>
      <c r="K1563" t="inlineStr">
        <is>
          <t>No</t>
        </is>
      </c>
      <c r="L1563" t="inlineStr">
        <is>
          <t>0</t>
        </is>
      </c>
      <c r="N1563" t="inlineStr">
        <is>
          <t>St. Louis : Mosby, c1982.</t>
        </is>
      </c>
      <c r="O1563" t="inlineStr">
        <is>
          <t>1982</t>
        </is>
      </c>
      <c r="Q1563" t="inlineStr">
        <is>
          <t>eng</t>
        </is>
      </c>
      <c r="R1563" t="inlineStr">
        <is>
          <t>xxu</t>
        </is>
      </c>
      <c r="T1563" t="inlineStr">
        <is>
          <t xml:space="preserve">WY </t>
        </is>
      </c>
      <c r="U1563" t="n">
        <v>7</v>
      </c>
      <c r="V1563" t="n">
        <v>7</v>
      </c>
      <c r="W1563" t="inlineStr">
        <is>
          <t>1995-04-02</t>
        </is>
      </c>
      <c r="X1563" t="inlineStr">
        <is>
          <t>1995-04-02</t>
        </is>
      </c>
      <c r="Y1563" t="inlineStr">
        <is>
          <t>1987-12-22</t>
        </is>
      </c>
      <c r="Z1563" t="inlineStr">
        <is>
          <t>1987-12-22</t>
        </is>
      </c>
      <c r="AA1563" t="n">
        <v>313</v>
      </c>
      <c r="AB1563" t="n">
        <v>261</v>
      </c>
      <c r="AC1563" t="n">
        <v>268</v>
      </c>
      <c r="AD1563" t="n">
        <v>3</v>
      </c>
      <c r="AE1563" t="n">
        <v>3</v>
      </c>
      <c r="AF1563" t="n">
        <v>11</v>
      </c>
      <c r="AG1563" t="n">
        <v>11</v>
      </c>
      <c r="AH1563" t="n">
        <v>4</v>
      </c>
      <c r="AI1563" t="n">
        <v>4</v>
      </c>
      <c r="AJ1563" t="n">
        <v>3</v>
      </c>
      <c r="AK1563" t="n">
        <v>3</v>
      </c>
      <c r="AL1563" t="n">
        <v>6</v>
      </c>
      <c r="AM1563" t="n">
        <v>6</v>
      </c>
      <c r="AN1563" t="n">
        <v>1</v>
      </c>
      <c r="AO1563" t="n">
        <v>1</v>
      </c>
      <c r="AP1563" t="n">
        <v>0</v>
      </c>
      <c r="AQ1563" t="n">
        <v>0</v>
      </c>
      <c r="AR1563" t="inlineStr">
        <is>
          <t>No</t>
        </is>
      </c>
      <c r="AS1563" t="inlineStr">
        <is>
          <t>Yes</t>
        </is>
      </c>
      <c r="AT1563">
        <f>HYPERLINK("http://catalog.hathitrust.org/Record/000762408","HathiTrust Record")</f>
        <v/>
      </c>
      <c r="AU1563">
        <f>HYPERLINK("https://creighton-primo.hosted.exlibrisgroup.com/primo-explore/search?tab=default_tab&amp;search_scope=EVERYTHING&amp;vid=01CRU&amp;lang=en_US&amp;offset=0&amp;query=any,contains,991000920019702656","Catalog Record")</f>
        <v/>
      </c>
      <c r="AV1563">
        <f>HYPERLINK("http://www.worldcat.org/oclc/7773997","WorldCat Record")</f>
        <v/>
      </c>
      <c r="AW1563" t="inlineStr">
        <is>
          <t>443369945:eng</t>
        </is>
      </c>
      <c r="AX1563" t="inlineStr">
        <is>
          <t>7773997</t>
        </is>
      </c>
      <c r="AY1563" t="inlineStr">
        <is>
          <t>991000920019702656</t>
        </is>
      </c>
      <c r="AZ1563" t="inlineStr">
        <is>
          <t>991000920019702656</t>
        </is>
      </c>
      <c r="BA1563" t="inlineStr">
        <is>
          <t>2272653070002656</t>
        </is>
      </c>
      <c r="BB1563" t="inlineStr">
        <is>
          <t>BOOK</t>
        </is>
      </c>
      <c r="BD1563" t="inlineStr">
        <is>
          <t>9780801623783</t>
        </is>
      </c>
      <c r="BE1563" t="inlineStr">
        <is>
          <t>30001000180887</t>
        </is>
      </c>
      <c r="BF1563" t="inlineStr">
        <is>
          <t>893643021</t>
        </is>
      </c>
    </row>
    <row r="1564">
      <c r="A1564" t="inlineStr">
        <is>
          <t>No</t>
        </is>
      </c>
      <c r="B1564" t="inlineStr">
        <is>
          <t>CUHSL</t>
        </is>
      </c>
      <c r="C1564" t="inlineStr">
        <is>
          <t>SHELVES</t>
        </is>
      </c>
      <c r="D1564" t="inlineStr">
        <is>
          <t>WY 156.7 C641 2008</t>
        </is>
      </c>
      <c r="E1564" t="inlineStr">
        <is>
          <t>0                      WY 0156700C  641         2008</t>
        </is>
      </c>
      <c r="F1564" t="inlineStr">
        <is>
          <t>Clinical challenges in women's health in the 21st century : a practice handbook for nurse practitioners / edited by Susan Wysocki.</t>
        </is>
      </c>
      <c r="H1564" t="inlineStr">
        <is>
          <t>No</t>
        </is>
      </c>
      <c r="I1564" t="inlineStr">
        <is>
          <t>1</t>
        </is>
      </c>
      <c r="J1564" t="inlineStr">
        <is>
          <t>No</t>
        </is>
      </c>
      <c r="K1564" t="inlineStr">
        <is>
          <t>No</t>
        </is>
      </c>
      <c r="L1564" t="inlineStr">
        <is>
          <t>0</t>
        </is>
      </c>
      <c r="N1564" t="inlineStr">
        <is>
          <t>Cranbury, N.J. : NP Communications, LLC, c2008.</t>
        </is>
      </c>
      <c r="O1564" t="inlineStr">
        <is>
          <t>2008</t>
        </is>
      </c>
      <c r="Q1564" t="inlineStr">
        <is>
          <t>eng</t>
        </is>
      </c>
      <c r="R1564" t="inlineStr">
        <is>
          <t>nju</t>
        </is>
      </c>
      <c r="T1564" t="inlineStr">
        <is>
          <t xml:space="preserve">WY </t>
        </is>
      </c>
      <c r="U1564" t="n">
        <v>0</v>
      </c>
      <c r="V1564" t="n">
        <v>0</v>
      </c>
      <c r="W1564" t="inlineStr">
        <is>
          <t>2009-01-22</t>
        </is>
      </c>
      <c r="X1564" t="inlineStr">
        <is>
          <t>2009-01-22</t>
        </is>
      </c>
      <c r="Y1564" t="inlineStr">
        <is>
          <t>2009-01-22</t>
        </is>
      </c>
      <c r="Z1564" t="inlineStr">
        <is>
          <t>2009-01-22</t>
        </is>
      </c>
      <c r="AA1564" t="n">
        <v>7</v>
      </c>
      <c r="AB1564" t="n">
        <v>7</v>
      </c>
      <c r="AC1564" t="n">
        <v>7</v>
      </c>
      <c r="AD1564" t="n">
        <v>1</v>
      </c>
      <c r="AE1564" t="n">
        <v>1</v>
      </c>
      <c r="AF1564" t="n">
        <v>0</v>
      </c>
      <c r="AG1564" t="n">
        <v>0</v>
      </c>
      <c r="AH1564" t="n">
        <v>0</v>
      </c>
      <c r="AI1564" t="n">
        <v>0</v>
      </c>
      <c r="AJ1564" t="n">
        <v>0</v>
      </c>
      <c r="AK1564" t="n">
        <v>0</v>
      </c>
      <c r="AL1564" t="n">
        <v>0</v>
      </c>
      <c r="AM1564" t="n">
        <v>0</v>
      </c>
      <c r="AN1564" t="n">
        <v>0</v>
      </c>
      <c r="AO1564" t="n">
        <v>0</v>
      </c>
      <c r="AP1564" t="n">
        <v>0</v>
      </c>
      <c r="AQ1564" t="n">
        <v>0</v>
      </c>
      <c r="AR1564" t="inlineStr">
        <is>
          <t>No</t>
        </is>
      </c>
      <c r="AS1564" t="inlineStr">
        <is>
          <t>No</t>
        </is>
      </c>
      <c r="AU1564">
        <f>HYPERLINK("https://creighton-primo.hosted.exlibrisgroup.com/primo-explore/search?tab=default_tab&amp;search_scope=EVERYTHING&amp;vid=01CRU&amp;lang=en_US&amp;offset=0&amp;query=any,contains,991001344799702656","Catalog Record")</f>
        <v/>
      </c>
      <c r="AV1564">
        <f>HYPERLINK("http://www.worldcat.org/oclc/299085589","WorldCat Record")</f>
        <v/>
      </c>
      <c r="AW1564" t="inlineStr">
        <is>
          <t>1808938926:eng</t>
        </is>
      </c>
      <c r="AX1564" t="inlineStr">
        <is>
          <t>299085589</t>
        </is>
      </c>
      <c r="AY1564" t="inlineStr">
        <is>
          <t>991001344799702656</t>
        </is>
      </c>
      <c r="AZ1564" t="inlineStr">
        <is>
          <t>991001344799702656</t>
        </is>
      </c>
      <c r="BA1564" t="inlineStr">
        <is>
          <t>2259711790002656</t>
        </is>
      </c>
      <c r="BB1564" t="inlineStr">
        <is>
          <t>BOOK</t>
        </is>
      </c>
      <c r="BD1564" t="inlineStr">
        <is>
          <t>9780966789027</t>
        </is>
      </c>
      <c r="BE1564" t="inlineStr">
        <is>
          <t>30001005384294</t>
        </is>
      </c>
      <c r="BF1564" t="inlineStr">
        <is>
          <t>893149107</t>
        </is>
      </c>
    </row>
    <row r="1565">
      <c r="A1565" t="inlineStr">
        <is>
          <t>No</t>
        </is>
      </c>
      <c r="B1565" t="inlineStr">
        <is>
          <t>CUHSL</t>
        </is>
      </c>
      <c r="C1565" t="inlineStr">
        <is>
          <t>SHELVES</t>
        </is>
      </c>
      <c r="D1565" t="inlineStr">
        <is>
          <t>WY 156.7 F245g 1979</t>
        </is>
      </c>
      <c r="E1565" t="inlineStr">
        <is>
          <t>0                      WY 0156700F  245g        1979</t>
        </is>
      </c>
      <c r="F1565" t="inlineStr">
        <is>
          <t>Gynecological care / Helen Farrer.</t>
        </is>
      </c>
      <c r="H1565" t="inlineStr">
        <is>
          <t>No</t>
        </is>
      </c>
      <c r="I1565" t="inlineStr">
        <is>
          <t>1</t>
        </is>
      </c>
      <c r="J1565" t="inlineStr">
        <is>
          <t>No</t>
        </is>
      </c>
      <c r="K1565" t="inlineStr">
        <is>
          <t>No</t>
        </is>
      </c>
      <c r="L1565" t="inlineStr">
        <is>
          <t>0</t>
        </is>
      </c>
      <c r="M1565" t="inlineStr">
        <is>
          <t>Farrer, Helen.</t>
        </is>
      </c>
      <c r="N1565" t="inlineStr">
        <is>
          <t>New York : Springer Pub. Co., 1981 printing, c1979.</t>
        </is>
      </c>
      <c r="O1565" t="inlineStr">
        <is>
          <t>1981</t>
        </is>
      </c>
      <c r="Q1565" t="inlineStr">
        <is>
          <t>eng</t>
        </is>
      </c>
      <c r="R1565" t="inlineStr">
        <is>
          <t>nyu</t>
        </is>
      </c>
      <c r="T1565" t="inlineStr">
        <is>
          <t xml:space="preserve">WY </t>
        </is>
      </c>
      <c r="U1565" t="n">
        <v>1</v>
      </c>
      <c r="V1565" t="n">
        <v>1</v>
      </c>
      <c r="W1565" t="inlineStr">
        <is>
          <t>1996-08-12</t>
        </is>
      </c>
      <c r="X1565" t="inlineStr">
        <is>
          <t>1996-08-12</t>
        </is>
      </c>
      <c r="Y1565" t="inlineStr">
        <is>
          <t>1987-12-22</t>
        </is>
      </c>
      <c r="Z1565" t="inlineStr">
        <is>
          <t>1987-12-22</t>
        </is>
      </c>
      <c r="AA1565" t="n">
        <v>56</v>
      </c>
      <c r="AB1565" t="n">
        <v>53</v>
      </c>
      <c r="AC1565" t="n">
        <v>61</v>
      </c>
      <c r="AD1565" t="n">
        <v>1</v>
      </c>
      <c r="AE1565" t="n">
        <v>1</v>
      </c>
      <c r="AF1565" t="n">
        <v>0</v>
      </c>
      <c r="AG1565" t="n">
        <v>0</v>
      </c>
      <c r="AH1565" t="n">
        <v>0</v>
      </c>
      <c r="AI1565" t="n">
        <v>0</v>
      </c>
      <c r="AJ1565" t="n">
        <v>0</v>
      </c>
      <c r="AK1565" t="n">
        <v>0</v>
      </c>
      <c r="AL1565" t="n">
        <v>0</v>
      </c>
      <c r="AM1565" t="n">
        <v>0</v>
      </c>
      <c r="AN1565" t="n">
        <v>0</v>
      </c>
      <c r="AO1565" t="n">
        <v>0</v>
      </c>
      <c r="AP1565" t="n">
        <v>0</v>
      </c>
      <c r="AQ1565" t="n">
        <v>0</v>
      </c>
      <c r="AR1565" t="inlineStr">
        <is>
          <t>No</t>
        </is>
      </c>
      <c r="AS1565" t="inlineStr">
        <is>
          <t>No</t>
        </is>
      </c>
      <c r="AU1565">
        <f>HYPERLINK("https://creighton-primo.hosted.exlibrisgroup.com/primo-explore/search?tab=default_tab&amp;search_scope=EVERYTHING&amp;vid=01CRU&amp;lang=en_US&amp;offset=0&amp;query=any,contains,991000920209702656","Catalog Record")</f>
        <v/>
      </c>
      <c r="AV1565">
        <f>HYPERLINK("http://www.worldcat.org/oclc/7350171","WorldCat Record")</f>
        <v/>
      </c>
      <c r="AW1565" t="inlineStr">
        <is>
          <t>11440776:eng</t>
        </is>
      </c>
      <c r="AX1565" t="inlineStr">
        <is>
          <t>7350171</t>
        </is>
      </c>
      <c r="AY1565" t="inlineStr">
        <is>
          <t>991000920209702656</t>
        </is>
      </c>
      <c r="AZ1565" t="inlineStr">
        <is>
          <t>991000920209702656</t>
        </is>
      </c>
      <c r="BA1565" t="inlineStr">
        <is>
          <t>2261652190002656</t>
        </is>
      </c>
      <c r="BB1565" t="inlineStr">
        <is>
          <t>BOOK</t>
        </is>
      </c>
      <c r="BD1565" t="inlineStr">
        <is>
          <t>9780826136008</t>
        </is>
      </c>
      <c r="BE1565" t="inlineStr">
        <is>
          <t>30001000180937</t>
        </is>
      </c>
      <c r="BF1565" t="inlineStr">
        <is>
          <t>893368896</t>
        </is>
      </c>
    </row>
    <row r="1566">
      <c r="A1566" t="inlineStr">
        <is>
          <t>No</t>
        </is>
      </c>
      <c r="B1566" t="inlineStr">
        <is>
          <t>CUHSL</t>
        </is>
      </c>
      <c r="C1566" t="inlineStr">
        <is>
          <t>SHELVES</t>
        </is>
      </c>
      <c r="D1566" t="inlineStr">
        <is>
          <t>WY 156.7 N379p 1981</t>
        </is>
      </c>
      <c r="E1566" t="inlineStr">
        <is>
          <t>0                      WY 0156700N  379p        1981</t>
        </is>
      </c>
      <c r="F1566" t="inlineStr">
        <is>
          <t>The practitioner's handbook of ambulatory ob/gyn / Jean D. Neeson, Connie R. Stockdale.</t>
        </is>
      </c>
      <c r="H1566" t="inlineStr">
        <is>
          <t>No</t>
        </is>
      </c>
      <c r="I1566" t="inlineStr">
        <is>
          <t>1</t>
        </is>
      </c>
      <c r="J1566" t="inlineStr">
        <is>
          <t>No</t>
        </is>
      </c>
      <c r="K1566" t="inlineStr">
        <is>
          <t>No</t>
        </is>
      </c>
      <c r="L1566" t="inlineStr">
        <is>
          <t>0</t>
        </is>
      </c>
      <c r="M1566" t="inlineStr">
        <is>
          <t>Neeson, Jean D.</t>
        </is>
      </c>
      <c r="N1566" t="inlineStr">
        <is>
          <t>New York : Wiley, c1981.</t>
        </is>
      </c>
      <c r="O1566" t="inlineStr">
        <is>
          <t>1981</t>
        </is>
      </c>
      <c r="Q1566" t="inlineStr">
        <is>
          <t>eng</t>
        </is>
      </c>
      <c r="R1566" t="inlineStr">
        <is>
          <t>nyu</t>
        </is>
      </c>
      <c r="T1566" t="inlineStr">
        <is>
          <t xml:space="preserve">WY </t>
        </is>
      </c>
      <c r="U1566" t="n">
        <v>2</v>
      </c>
      <c r="V1566" t="n">
        <v>2</v>
      </c>
      <c r="W1566" t="inlineStr">
        <is>
          <t>1998-10-08</t>
        </is>
      </c>
      <c r="X1566" t="inlineStr">
        <is>
          <t>1998-10-08</t>
        </is>
      </c>
      <c r="Y1566" t="inlineStr">
        <is>
          <t>1987-10-23</t>
        </is>
      </c>
      <c r="Z1566" t="inlineStr">
        <is>
          <t>1987-10-23</t>
        </is>
      </c>
      <c r="AA1566" t="n">
        <v>151</v>
      </c>
      <c r="AB1566" t="n">
        <v>129</v>
      </c>
      <c r="AC1566" t="n">
        <v>131</v>
      </c>
      <c r="AD1566" t="n">
        <v>1</v>
      </c>
      <c r="AE1566" t="n">
        <v>1</v>
      </c>
      <c r="AF1566" t="n">
        <v>3</v>
      </c>
      <c r="AG1566" t="n">
        <v>3</v>
      </c>
      <c r="AH1566" t="n">
        <v>0</v>
      </c>
      <c r="AI1566" t="n">
        <v>0</v>
      </c>
      <c r="AJ1566" t="n">
        <v>0</v>
      </c>
      <c r="AK1566" t="n">
        <v>0</v>
      </c>
      <c r="AL1566" t="n">
        <v>3</v>
      </c>
      <c r="AM1566" t="n">
        <v>3</v>
      </c>
      <c r="AN1566" t="n">
        <v>0</v>
      </c>
      <c r="AO1566" t="n">
        <v>0</v>
      </c>
      <c r="AP1566" t="n">
        <v>0</v>
      </c>
      <c r="AQ1566" t="n">
        <v>0</v>
      </c>
      <c r="AR1566" t="inlineStr">
        <is>
          <t>No</t>
        </is>
      </c>
      <c r="AS1566" t="inlineStr">
        <is>
          <t>Yes</t>
        </is>
      </c>
      <c r="AT1566">
        <f>HYPERLINK("http://catalog.hathitrust.org/Record/000762625","HathiTrust Record")</f>
        <v/>
      </c>
      <c r="AU1566">
        <f>HYPERLINK("https://creighton-primo.hosted.exlibrisgroup.com/primo-explore/search?tab=default_tab&amp;search_scope=EVERYTHING&amp;vid=01CRU&amp;lang=en_US&amp;offset=0&amp;query=any,contains,991000733409702656","Catalog Record")</f>
        <v/>
      </c>
      <c r="AV1566">
        <f>HYPERLINK("http://www.worldcat.org/oclc/6916886","WorldCat Record")</f>
        <v/>
      </c>
      <c r="AW1566" t="inlineStr">
        <is>
          <t>20529550:eng</t>
        </is>
      </c>
      <c r="AX1566" t="inlineStr">
        <is>
          <t>6916886</t>
        </is>
      </c>
      <c r="AY1566" t="inlineStr">
        <is>
          <t>991000733409702656</t>
        </is>
      </c>
      <c r="AZ1566" t="inlineStr">
        <is>
          <t>991000733409702656</t>
        </is>
      </c>
      <c r="BA1566" t="inlineStr">
        <is>
          <t>2266337070002656</t>
        </is>
      </c>
      <c r="BB1566" t="inlineStr">
        <is>
          <t>BOOK</t>
        </is>
      </c>
      <c r="BD1566" t="inlineStr">
        <is>
          <t>9780471056706</t>
        </is>
      </c>
      <c r="BE1566" t="inlineStr">
        <is>
          <t>30001000040883</t>
        </is>
      </c>
      <c r="BF1566" t="inlineStr">
        <is>
          <t>893362913</t>
        </is>
      </c>
    </row>
    <row r="1567">
      <c r="A1567" t="inlineStr">
        <is>
          <t>No</t>
        </is>
      </c>
      <c r="B1567" t="inlineStr">
        <is>
          <t>CUHSL</t>
        </is>
      </c>
      <c r="C1567" t="inlineStr">
        <is>
          <t>SHELVES</t>
        </is>
      </c>
      <c r="D1567" t="inlineStr">
        <is>
          <t>WY 157 A923n 1984</t>
        </is>
      </c>
      <c r="E1567" t="inlineStr">
        <is>
          <t>0                      WY 0157000A  923n        1984</t>
        </is>
      </c>
      <c r="F1567" t="inlineStr">
        <is>
          <t>Nursing care plans for the childbearing family / Virginia Aukamp.</t>
        </is>
      </c>
      <c r="H1567" t="inlineStr">
        <is>
          <t>No</t>
        </is>
      </c>
      <c r="I1567" t="inlineStr">
        <is>
          <t>1</t>
        </is>
      </c>
      <c r="J1567" t="inlineStr">
        <is>
          <t>No</t>
        </is>
      </c>
      <c r="K1567" t="inlineStr">
        <is>
          <t>No</t>
        </is>
      </c>
      <c r="L1567" t="inlineStr">
        <is>
          <t>0</t>
        </is>
      </c>
      <c r="M1567" t="inlineStr">
        <is>
          <t>Aukamp, Virginia.</t>
        </is>
      </c>
      <c r="N1567" t="inlineStr">
        <is>
          <t>Norwalk, Conn. : Appleton-Century-Crofts, c1984.</t>
        </is>
      </c>
      <c r="O1567" t="inlineStr">
        <is>
          <t>1984</t>
        </is>
      </c>
      <c r="Q1567" t="inlineStr">
        <is>
          <t>eng</t>
        </is>
      </c>
      <c r="R1567" t="inlineStr">
        <is>
          <t xml:space="preserve">aa </t>
        </is>
      </c>
      <c r="T1567" t="inlineStr">
        <is>
          <t xml:space="preserve">WY </t>
        </is>
      </c>
      <c r="U1567" t="n">
        <v>4</v>
      </c>
      <c r="V1567" t="n">
        <v>4</v>
      </c>
      <c r="W1567" t="inlineStr">
        <is>
          <t>1992-06-04</t>
        </is>
      </c>
      <c r="X1567" t="inlineStr">
        <is>
          <t>1992-06-04</t>
        </is>
      </c>
      <c r="Y1567" t="inlineStr">
        <is>
          <t>1987-10-23</t>
        </is>
      </c>
      <c r="Z1567" t="inlineStr">
        <is>
          <t>1987-10-23</t>
        </is>
      </c>
      <c r="AA1567" t="n">
        <v>138</v>
      </c>
      <c r="AB1567" t="n">
        <v>112</v>
      </c>
      <c r="AC1567" t="n">
        <v>114</v>
      </c>
      <c r="AD1567" t="n">
        <v>1</v>
      </c>
      <c r="AE1567" t="n">
        <v>1</v>
      </c>
      <c r="AF1567" t="n">
        <v>7</v>
      </c>
      <c r="AG1567" t="n">
        <v>7</v>
      </c>
      <c r="AH1567" t="n">
        <v>4</v>
      </c>
      <c r="AI1567" t="n">
        <v>4</v>
      </c>
      <c r="AJ1567" t="n">
        <v>1</v>
      </c>
      <c r="AK1567" t="n">
        <v>1</v>
      </c>
      <c r="AL1567" t="n">
        <v>2</v>
      </c>
      <c r="AM1567" t="n">
        <v>2</v>
      </c>
      <c r="AN1567" t="n">
        <v>0</v>
      </c>
      <c r="AO1567" t="n">
        <v>0</v>
      </c>
      <c r="AP1567" t="n">
        <v>0</v>
      </c>
      <c r="AQ1567" t="n">
        <v>0</v>
      </c>
      <c r="AR1567" t="inlineStr">
        <is>
          <t>No</t>
        </is>
      </c>
      <c r="AS1567" t="inlineStr">
        <is>
          <t>Yes</t>
        </is>
      </c>
      <c r="AT1567">
        <f>HYPERLINK("http://catalog.hathitrust.org/Record/000587663","HathiTrust Record")</f>
        <v/>
      </c>
      <c r="AU1567">
        <f>HYPERLINK("https://creighton-primo.hosted.exlibrisgroup.com/primo-explore/search?tab=default_tab&amp;search_scope=EVERYTHING&amp;vid=01CRU&amp;lang=en_US&amp;offset=0&amp;query=any,contains,991000733359702656","Catalog Record")</f>
        <v/>
      </c>
      <c r="AV1567">
        <f>HYPERLINK("http://www.worldcat.org/oclc/10914144","WorldCat Record")</f>
        <v/>
      </c>
      <c r="AW1567" t="inlineStr">
        <is>
          <t>3189057:eng</t>
        </is>
      </c>
      <c r="AX1567" t="inlineStr">
        <is>
          <t>10914144</t>
        </is>
      </c>
      <c r="AY1567" t="inlineStr">
        <is>
          <t>991000733359702656</t>
        </is>
      </c>
      <c r="AZ1567" t="inlineStr">
        <is>
          <t>991000733359702656</t>
        </is>
      </c>
      <c r="BA1567" t="inlineStr">
        <is>
          <t>2256413150002656</t>
        </is>
      </c>
      <c r="BB1567" t="inlineStr">
        <is>
          <t>BOOK</t>
        </is>
      </c>
      <c r="BD1567" t="inlineStr">
        <is>
          <t>9780838570159</t>
        </is>
      </c>
      <c r="BE1567" t="inlineStr">
        <is>
          <t>30001000040875</t>
        </is>
      </c>
      <c r="BF1567" t="inlineStr">
        <is>
          <t>893545724</t>
        </is>
      </c>
    </row>
    <row r="1568">
      <c r="A1568" t="inlineStr">
        <is>
          <t>No</t>
        </is>
      </c>
      <c r="B1568" t="inlineStr">
        <is>
          <t>CUHSL</t>
        </is>
      </c>
      <c r="C1568" t="inlineStr">
        <is>
          <t>SHELVES</t>
        </is>
      </c>
      <c r="D1568" t="inlineStr">
        <is>
          <t>WY 157 B663e 1991</t>
        </is>
      </c>
      <c r="E1568" t="inlineStr">
        <is>
          <t>0                      WY 0157000B  663e        1991</t>
        </is>
      </c>
      <c r="F1568" t="inlineStr">
        <is>
          <t>Essentials of maternity nursing / Irene M. Bobak, Margaret Duncan Jensen.</t>
        </is>
      </c>
      <c r="H1568" t="inlineStr">
        <is>
          <t>No</t>
        </is>
      </c>
      <c r="I1568" t="inlineStr">
        <is>
          <t>1</t>
        </is>
      </c>
      <c r="J1568" t="inlineStr">
        <is>
          <t>No</t>
        </is>
      </c>
      <c r="K1568" t="inlineStr">
        <is>
          <t>Yes</t>
        </is>
      </c>
      <c r="L1568" t="inlineStr">
        <is>
          <t>0</t>
        </is>
      </c>
      <c r="M1568" t="inlineStr">
        <is>
          <t>Bobak, Irene M.</t>
        </is>
      </c>
      <c r="N1568" t="inlineStr">
        <is>
          <t>St. Louis : Mosby-Year Book, c1991.</t>
        </is>
      </c>
      <c r="O1568" t="inlineStr">
        <is>
          <t>1991</t>
        </is>
      </c>
      <c r="P1568" t="inlineStr">
        <is>
          <t>3rd ed.</t>
        </is>
      </c>
      <c r="Q1568" t="inlineStr">
        <is>
          <t>eng</t>
        </is>
      </c>
      <c r="R1568" t="inlineStr">
        <is>
          <t>mou</t>
        </is>
      </c>
      <c r="T1568" t="inlineStr">
        <is>
          <t xml:space="preserve">WY </t>
        </is>
      </c>
      <c r="U1568" t="n">
        <v>49</v>
      </c>
      <c r="V1568" t="n">
        <v>49</v>
      </c>
      <c r="W1568" t="inlineStr">
        <is>
          <t>2008-03-28</t>
        </is>
      </c>
      <c r="X1568" t="inlineStr">
        <is>
          <t>2008-03-28</t>
        </is>
      </c>
      <c r="Y1568" t="inlineStr">
        <is>
          <t>1991-02-01</t>
        </is>
      </c>
      <c r="Z1568" t="inlineStr">
        <is>
          <t>1991-02-01</t>
        </is>
      </c>
      <c r="AA1568" t="n">
        <v>289</v>
      </c>
      <c r="AB1568" t="n">
        <v>234</v>
      </c>
      <c r="AC1568" t="n">
        <v>390</v>
      </c>
      <c r="AD1568" t="n">
        <v>2</v>
      </c>
      <c r="AE1568" t="n">
        <v>2</v>
      </c>
      <c r="AF1568" t="n">
        <v>5</v>
      </c>
      <c r="AG1568" t="n">
        <v>9</v>
      </c>
      <c r="AH1568" t="n">
        <v>2</v>
      </c>
      <c r="AI1568" t="n">
        <v>4</v>
      </c>
      <c r="AJ1568" t="n">
        <v>1</v>
      </c>
      <c r="AK1568" t="n">
        <v>1</v>
      </c>
      <c r="AL1568" t="n">
        <v>3</v>
      </c>
      <c r="AM1568" t="n">
        <v>6</v>
      </c>
      <c r="AN1568" t="n">
        <v>1</v>
      </c>
      <c r="AO1568" t="n">
        <v>1</v>
      </c>
      <c r="AP1568" t="n">
        <v>0</v>
      </c>
      <c r="AQ1568" t="n">
        <v>0</v>
      </c>
      <c r="AR1568" t="inlineStr">
        <is>
          <t>No</t>
        </is>
      </c>
      <c r="AS1568" t="inlineStr">
        <is>
          <t>Yes</t>
        </is>
      </c>
      <c r="AT1568">
        <f>HYPERLINK("http://catalog.hathitrust.org/Record/002441497","HathiTrust Record")</f>
        <v/>
      </c>
      <c r="AU1568">
        <f>HYPERLINK("https://creighton-primo.hosted.exlibrisgroup.com/primo-explore/search?tab=default_tab&amp;search_scope=EVERYTHING&amp;vid=01CRU&amp;lang=en_US&amp;offset=0&amp;query=any,contains,991000817739702656","Catalog Record")</f>
        <v/>
      </c>
      <c r="AV1568">
        <f>HYPERLINK("http://www.worldcat.org/oclc/22243593","WorldCat Record")</f>
        <v/>
      </c>
      <c r="AW1568" t="inlineStr">
        <is>
          <t>2286851784:eng</t>
        </is>
      </c>
      <c r="AX1568" t="inlineStr">
        <is>
          <t>22243593</t>
        </is>
      </c>
      <c r="AY1568" t="inlineStr">
        <is>
          <t>991000817739702656</t>
        </is>
      </c>
      <c r="AZ1568" t="inlineStr">
        <is>
          <t>991000817739702656</t>
        </is>
      </c>
      <c r="BA1568" t="inlineStr">
        <is>
          <t>2271696230002656</t>
        </is>
      </c>
      <c r="BB1568" t="inlineStr">
        <is>
          <t>BOOK</t>
        </is>
      </c>
      <c r="BD1568" t="inlineStr">
        <is>
          <t>9780801602337</t>
        </is>
      </c>
      <c r="BE1568" t="inlineStr">
        <is>
          <t>30001002086801</t>
        </is>
      </c>
      <c r="BF1568" t="inlineStr">
        <is>
          <t>893357709</t>
        </is>
      </c>
    </row>
    <row r="1569">
      <c r="A1569" t="inlineStr">
        <is>
          <t>No</t>
        </is>
      </c>
      <c r="B1569" t="inlineStr">
        <is>
          <t>CUHSL</t>
        </is>
      </c>
      <c r="C1569" t="inlineStr">
        <is>
          <t>SHELVES</t>
        </is>
      </c>
      <c r="D1569" t="inlineStr">
        <is>
          <t>WY 157 C421 1981</t>
        </is>
      </c>
      <c r="E1569" t="inlineStr">
        <is>
          <t>0                      WY 0157000C  421         1981</t>
        </is>
      </c>
      <c r="F1569" t="inlineStr">
        <is>
          <t>The Cesarean experience : theoretical and clinical perspectives for nurses / edited by Carole Fitzgerald Kehoe.</t>
        </is>
      </c>
      <c r="H1569" t="inlineStr">
        <is>
          <t>No</t>
        </is>
      </c>
      <c r="I1569" t="inlineStr">
        <is>
          <t>1</t>
        </is>
      </c>
      <c r="J1569" t="inlineStr">
        <is>
          <t>No</t>
        </is>
      </c>
      <c r="K1569" t="inlineStr">
        <is>
          <t>No</t>
        </is>
      </c>
      <c r="L1569" t="inlineStr">
        <is>
          <t>0</t>
        </is>
      </c>
      <c r="N1569" t="inlineStr">
        <is>
          <t>New York : Appleton-Century-Crofts, c1981.</t>
        </is>
      </c>
      <c r="O1569" t="inlineStr">
        <is>
          <t>1981</t>
        </is>
      </c>
      <c r="Q1569" t="inlineStr">
        <is>
          <t>eng</t>
        </is>
      </c>
      <c r="R1569" t="inlineStr">
        <is>
          <t>xxu</t>
        </is>
      </c>
      <c r="T1569" t="inlineStr">
        <is>
          <t xml:space="preserve">WY </t>
        </is>
      </c>
      <c r="U1569" t="n">
        <v>0</v>
      </c>
      <c r="V1569" t="n">
        <v>0</v>
      </c>
      <c r="W1569" t="inlineStr">
        <is>
          <t>2008-07-25</t>
        </is>
      </c>
      <c r="X1569" t="inlineStr">
        <is>
          <t>2008-07-25</t>
        </is>
      </c>
      <c r="Y1569" t="inlineStr">
        <is>
          <t>1987-10-23</t>
        </is>
      </c>
      <c r="Z1569" t="inlineStr">
        <is>
          <t>1987-10-23</t>
        </is>
      </c>
      <c r="AA1569" t="n">
        <v>211</v>
      </c>
      <c r="AB1569" t="n">
        <v>171</v>
      </c>
      <c r="AC1569" t="n">
        <v>179</v>
      </c>
      <c r="AD1569" t="n">
        <v>2</v>
      </c>
      <c r="AE1569" t="n">
        <v>2</v>
      </c>
      <c r="AF1569" t="n">
        <v>3</v>
      </c>
      <c r="AG1569" t="n">
        <v>3</v>
      </c>
      <c r="AH1569" t="n">
        <v>0</v>
      </c>
      <c r="AI1569" t="n">
        <v>0</v>
      </c>
      <c r="AJ1569" t="n">
        <v>0</v>
      </c>
      <c r="AK1569" t="n">
        <v>0</v>
      </c>
      <c r="AL1569" t="n">
        <v>2</v>
      </c>
      <c r="AM1569" t="n">
        <v>2</v>
      </c>
      <c r="AN1569" t="n">
        <v>1</v>
      </c>
      <c r="AO1569" t="n">
        <v>1</v>
      </c>
      <c r="AP1569" t="n">
        <v>0</v>
      </c>
      <c r="AQ1569" t="n">
        <v>0</v>
      </c>
      <c r="AR1569" t="inlineStr">
        <is>
          <t>No</t>
        </is>
      </c>
      <c r="AS1569" t="inlineStr">
        <is>
          <t>Yes</t>
        </is>
      </c>
      <c r="AT1569">
        <f>HYPERLINK("http://catalog.hathitrust.org/Record/000270283","HathiTrust Record")</f>
        <v/>
      </c>
      <c r="AU1569">
        <f>HYPERLINK("https://creighton-primo.hosted.exlibrisgroup.com/primo-explore/search?tab=default_tab&amp;search_scope=EVERYTHING&amp;vid=01CRU&amp;lang=en_US&amp;offset=0&amp;query=any,contains,991000733159702656","Catalog Record")</f>
        <v/>
      </c>
      <c r="AV1569">
        <f>HYPERLINK("http://www.worldcat.org/oclc/7573786","WorldCat Record")</f>
        <v/>
      </c>
      <c r="AW1569" t="inlineStr">
        <is>
          <t>836674154:eng</t>
        </is>
      </c>
      <c r="AX1569" t="inlineStr">
        <is>
          <t>7573786</t>
        </is>
      </c>
      <c r="AY1569" t="inlineStr">
        <is>
          <t>991000733159702656</t>
        </is>
      </c>
      <c r="AZ1569" t="inlineStr">
        <is>
          <t>991000733159702656</t>
        </is>
      </c>
      <c r="BA1569" t="inlineStr">
        <is>
          <t>2255946310002656</t>
        </is>
      </c>
      <c r="BB1569" t="inlineStr">
        <is>
          <t>BOOK</t>
        </is>
      </c>
      <c r="BD1569" t="inlineStr">
        <is>
          <t>9780838511077</t>
        </is>
      </c>
      <c r="BE1569" t="inlineStr">
        <is>
          <t>30001000040859</t>
        </is>
      </c>
      <c r="BF1569" t="inlineStr">
        <is>
          <t>893450167</t>
        </is>
      </c>
    </row>
    <row r="1570">
      <c r="A1570" t="inlineStr">
        <is>
          <t>No</t>
        </is>
      </c>
      <c r="B1570" t="inlineStr">
        <is>
          <t>CUHSL</t>
        </is>
      </c>
      <c r="C1570" t="inlineStr">
        <is>
          <t>SHELVES</t>
        </is>
      </c>
      <c r="D1570" t="inlineStr">
        <is>
          <t>WY 157 C789a 1987</t>
        </is>
      </c>
      <c r="E1570" t="inlineStr">
        <is>
          <t>0                      WY 0157000C  789a        1987</t>
        </is>
      </c>
      <c r="F1570" t="inlineStr">
        <is>
          <t>The adolescent and pregnancy / Margaret-Ann Corbett, Jerrilyn H. Meyer.</t>
        </is>
      </c>
      <c r="H1570" t="inlineStr">
        <is>
          <t>No</t>
        </is>
      </c>
      <c r="I1570" t="inlineStr">
        <is>
          <t>1</t>
        </is>
      </c>
      <c r="J1570" t="inlineStr">
        <is>
          <t>No</t>
        </is>
      </c>
      <c r="K1570" t="inlineStr">
        <is>
          <t>No</t>
        </is>
      </c>
      <c r="L1570" t="inlineStr">
        <is>
          <t>0</t>
        </is>
      </c>
      <c r="M1570" t="inlineStr">
        <is>
          <t>Corbett, Margaret-Ann, 1933-</t>
        </is>
      </c>
      <c r="N1570" t="inlineStr">
        <is>
          <t>Boston : Blackwell Scientific Publications ; Chicago, Ill. : Distributors USA, Year Book Medical Publishers, c1987.</t>
        </is>
      </c>
      <c r="O1570" t="inlineStr">
        <is>
          <t>1987</t>
        </is>
      </c>
      <c r="Q1570" t="inlineStr">
        <is>
          <t>eng</t>
        </is>
      </c>
      <c r="R1570" t="inlineStr">
        <is>
          <t>mau</t>
        </is>
      </c>
      <c r="T1570" t="inlineStr">
        <is>
          <t xml:space="preserve">WY </t>
        </is>
      </c>
      <c r="U1570" t="n">
        <v>6</v>
      </c>
      <c r="V1570" t="n">
        <v>6</v>
      </c>
      <c r="W1570" t="inlineStr">
        <is>
          <t>1998-03-14</t>
        </is>
      </c>
      <c r="X1570" t="inlineStr">
        <is>
          <t>1998-03-14</t>
        </is>
      </c>
      <c r="Y1570" t="inlineStr">
        <is>
          <t>1989-09-27</t>
        </is>
      </c>
      <c r="Z1570" t="inlineStr">
        <is>
          <t>1989-09-27</t>
        </is>
      </c>
      <c r="AA1570" t="n">
        <v>289</v>
      </c>
      <c r="AB1570" t="n">
        <v>240</v>
      </c>
      <c r="AC1570" t="n">
        <v>241</v>
      </c>
      <c r="AD1570" t="n">
        <v>1</v>
      </c>
      <c r="AE1570" t="n">
        <v>1</v>
      </c>
      <c r="AF1570" t="n">
        <v>11</v>
      </c>
      <c r="AG1570" t="n">
        <v>11</v>
      </c>
      <c r="AH1570" t="n">
        <v>7</v>
      </c>
      <c r="AI1570" t="n">
        <v>7</v>
      </c>
      <c r="AJ1570" t="n">
        <v>1</v>
      </c>
      <c r="AK1570" t="n">
        <v>1</v>
      </c>
      <c r="AL1570" t="n">
        <v>7</v>
      </c>
      <c r="AM1570" t="n">
        <v>7</v>
      </c>
      <c r="AN1570" t="n">
        <v>0</v>
      </c>
      <c r="AO1570" t="n">
        <v>0</v>
      </c>
      <c r="AP1570" t="n">
        <v>0</v>
      </c>
      <c r="AQ1570" t="n">
        <v>0</v>
      </c>
      <c r="AR1570" t="inlineStr">
        <is>
          <t>No</t>
        </is>
      </c>
      <c r="AS1570" t="inlineStr">
        <is>
          <t>No</t>
        </is>
      </c>
      <c r="AU1570">
        <f>HYPERLINK("https://creighton-primo.hosted.exlibrisgroup.com/primo-explore/search?tab=default_tab&amp;search_scope=EVERYTHING&amp;vid=01CRU&amp;lang=en_US&amp;offset=0&amp;query=any,contains,991001323229702656","Catalog Record")</f>
        <v/>
      </c>
      <c r="AV1570">
        <f>HYPERLINK("http://www.worldcat.org/oclc/15196961","WorldCat Record")</f>
        <v/>
      </c>
      <c r="AW1570" t="inlineStr">
        <is>
          <t>9446818:eng</t>
        </is>
      </c>
      <c r="AX1570" t="inlineStr">
        <is>
          <t>15196961</t>
        </is>
      </c>
      <c r="AY1570" t="inlineStr">
        <is>
          <t>991001323229702656</t>
        </is>
      </c>
      <c r="AZ1570" t="inlineStr">
        <is>
          <t>991001323229702656</t>
        </is>
      </c>
      <c r="BA1570" t="inlineStr">
        <is>
          <t>2258325860002656</t>
        </is>
      </c>
      <c r="BB1570" t="inlineStr">
        <is>
          <t>BOOK</t>
        </is>
      </c>
      <c r="BD1570" t="inlineStr">
        <is>
          <t>9780865420137</t>
        </is>
      </c>
      <c r="BE1570" t="inlineStr">
        <is>
          <t>30001001754201</t>
        </is>
      </c>
      <c r="BF1570" t="inlineStr">
        <is>
          <t>893460470</t>
        </is>
      </c>
    </row>
    <row r="1571">
      <c r="A1571" t="inlineStr">
        <is>
          <t>No</t>
        </is>
      </c>
      <c r="B1571" t="inlineStr">
        <is>
          <t>CUHSL</t>
        </is>
      </c>
      <c r="C1571" t="inlineStr">
        <is>
          <t>SHELVES</t>
        </is>
      </c>
      <c r="D1571" t="inlineStr">
        <is>
          <t>WY 157 G464m 1998</t>
        </is>
      </c>
      <c r="E1571" t="inlineStr">
        <is>
          <t>0                      WY 0157000G  464m        1998</t>
        </is>
      </c>
      <c r="F1571" t="inlineStr">
        <is>
          <t>Manual of high risk pregnancy &amp; delivery / Elizabeth Stepp Gilbert, Judith Smith Harmon.</t>
        </is>
      </c>
      <c r="H1571" t="inlineStr">
        <is>
          <t>No</t>
        </is>
      </c>
      <c r="I1571" t="inlineStr">
        <is>
          <t>1</t>
        </is>
      </c>
      <c r="J1571" t="inlineStr">
        <is>
          <t>No</t>
        </is>
      </c>
      <c r="K1571" t="inlineStr">
        <is>
          <t>Yes</t>
        </is>
      </c>
      <c r="L1571" t="inlineStr">
        <is>
          <t>0</t>
        </is>
      </c>
      <c r="M1571" t="inlineStr">
        <is>
          <t>Gilbert, Elizabeth Stepp.</t>
        </is>
      </c>
      <c r="N1571" t="inlineStr">
        <is>
          <t>St. Louis : Mosby, c1998.</t>
        </is>
      </c>
      <c r="O1571" t="inlineStr">
        <is>
          <t>1998</t>
        </is>
      </c>
      <c r="P1571" t="inlineStr">
        <is>
          <t>2nd ed.</t>
        </is>
      </c>
      <c r="Q1571" t="inlineStr">
        <is>
          <t>eng</t>
        </is>
      </c>
      <c r="R1571" t="inlineStr">
        <is>
          <t>mou</t>
        </is>
      </c>
      <c r="T1571" t="inlineStr">
        <is>
          <t xml:space="preserve">WY </t>
        </is>
      </c>
      <c r="U1571" t="n">
        <v>6</v>
      </c>
      <c r="V1571" t="n">
        <v>6</v>
      </c>
      <c r="W1571" t="inlineStr">
        <is>
          <t>2002-11-15</t>
        </is>
      </c>
      <c r="X1571" t="inlineStr">
        <is>
          <t>2002-11-15</t>
        </is>
      </c>
      <c r="Y1571" t="inlineStr">
        <is>
          <t>1998-03-24</t>
        </is>
      </c>
      <c r="Z1571" t="inlineStr">
        <is>
          <t>1998-03-24</t>
        </is>
      </c>
      <c r="AA1571" t="n">
        <v>303</v>
      </c>
      <c r="AB1571" t="n">
        <v>235</v>
      </c>
      <c r="AC1571" t="n">
        <v>853</v>
      </c>
      <c r="AD1571" t="n">
        <v>1</v>
      </c>
      <c r="AE1571" t="n">
        <v>6</v>
      </c>
      <c r="AF1571" t="n">
        <v>6</v>
      </c>
      <c r="AG1571" t="n">
        <v>30</v>
      </c>
      <c r="AH1571" t="n">
        <v>1</v>
      </c>
      <c r="AI1571" t="n">
        <v>10</v>
      </c>
      <c r="AJ1571" t="n">
        <v>2</v>
      </c>
      <c r="AK1571" t="n">
        <v>8</v>
      </c>
      <c r="AL1571" t="n">
        <v>3</v>
      </c>
      <c r="AM1571" t="n">
        <v>13</v>
      </c>
      <c r="AN1571" t="n">
        <v>0</v>
      </c>
      <c r="AO1571" t="n">
        <v>3</v>
      </c>
      <c r="AP1571" t="n">
        <v>0</v>
      </c>
      <c r="AQ1571" t="n">
        <v>0</v>
      </c>
      <c r="AR1571" t="inlineStr">
        <is>
          <t>No</t>
        </is>
      </c>
      <c r="AS1571" t="inlineStr">
        <is>
          <t>Yes</t>
        </is>
      </c>
      <c r="AT1571">
        <f>HYPERLINK("http://catalog.hathitrust.org/Record/003966188","HathiTrust Record")</f>
        <v/>
      </c>
      <c r="AU1571">
        <f>HYPERLINK("https://creighton-primo.hosted.exlibrisgroup.com/primo-explore/search?tab=default_tab&amp;search_scope=EVERYTHING&amp;vid=01CRU&amp;lang=en_US&amp;offset=0&amp;query=any,contains,991001427179702656","Catalog Record")</f>
        <v/>
      </c>
      <c r="AV1571">
        <f>HYPERLINK("http://www.worldcat.org/oclc/37993228","WorldCat Record")</f>
        <v/>
      </c>
      <c r="AW1571" t="inlineStr">
        <is>
          <t>1004849:eng</t>
        </is>
      </c>
      <c r="AX1571" t="inlineStr">
        <is>
          <t>37993228</t>
        </is>
      </c>
      <c r="AY1571" t="inlineStr">
        <is>
          <t>991001427179702656</t>
        </is>
      </c>
      <c r="AZ1571" t="inlineStr">
        <is>
          <t>991001427179702656</t>
        </is>
      </c>
      <c r="BA1571" t="inlineStr">
        <is>
          <t>2262978110002656</t>
        </is>
      </c>
      <c r="BB1571" t="inlineStr">
        <is>
          <t>BOOK</t>
        </is>
      </c>
      <c r="BD1571" t="inlineStr">
        <is>
          <t>9780815144625</t>
        </is>
      </c>
      <c r="BE1571" t="inlineStr">
        <is>
          <t>30001003860410</t>
        </is>
      </c>
      <c r="BF1571" t="inlineStr">
        <is>
          <t>893826739</t>
        </is>
      </c>
    </row>
    <row r="1572">
      <c r="A1572" t="inlineStr">
        <is>
          <t>No</t>
        </is>
      </c>
      <c r="B1572" t="inlineStr">
        <is>
          <t>CUHSL</t>
        </is>
      </c>
      <c r="C1572" t="inlineStr">
        <is>
          <t>SHELVES</t>
        </is>
      </c>
      <c r="D1572" t="inlineStr">
        <is>
          <t>WY157 G464m 2003</t>
        </is>
      </c>
      <c r="E1572" t="inlineStr">
        <is>
          <t>0                      WY 0157000G  464m        2003</t>
        </is>
      </c>
      <c r="F1572" t="inlineStr">
        <is>
          <t>Manual of high risk pregnancy &amp; delivery / Elizabeth Stepp Gilbert, Judith Smith Harmon.</t>
        </is>
      </c>
      <c r="H1572" t="inlineStr">
        <is>
          <t>No</t>
        </is>
      </c>
      <c r="I1572" t="inlineStr">
        <is>
          <t>1</t>
        </is>
      </c>
      <c r="J1572" t="inlineStr">
        <is>
          <t>No</t>
        </is>
      </c>
      <c r="K1572" t="inlineStr">
        <is>
          <t>Yes</t>
        </is>
      </c>
      <c r="L1572" t="inlineStr">
        <is>
          <t>0</t>
        </is>
      </c>
      <c r="M1572" t="inlineStr">
        <is>
          <t>Gilbert, Elizabeth Stepp.</t>
        </is>
      </c>
      <c r="N1572" t="inlineStr">
        <is>
          <t>St. Louis, Mo. : Mosby, c2003.</t>
        </is>
      </c>
      <c r="O1572" t="inlineStr">
        <is>
          <t>2003</t>
        </is>
      </c>
      <c r="P1572" t="inlineStr">
        <is>
          <t>3rd ed.</t>
        </is>
      </c>
      <c r="Q1572" t="inlineStr">
        <is>
          <t>eng</t>
        </is>
      </c>
      <c r="R1572" t="inlineStr">
        <is>
          <t>mou</t>
        </is>
      </c>
      <c r="T1572" t="inlineStr">
        <is>
          <t xml:space="preserve">WY </t>
        </is>
      </c>
      <c r="U1572" t="n">
        <v>6</v>
      </c>
      <c r="V1572" t="n">
        <v>6</v>
      </c>
      <c r="W1572" t="inlineStr">
        <is>
          <t>2003-05-27</t>
        </is>
      </c>
      <c r="X1572" t="inlineStr">
        <is>
          <t>2003-05-27</t>
        </is>
      </c>
      <c r="Y1572" t="inlineStr">
        <is>
          <t>2002-11-22</t>
        </is>
      </c>
      <c r="Z1572" t="inlineStr">
        <is>
          <t>2002-11-22</t>
        </is>
      </c>
      <c r="AA1572" t="n">
        <v>434</v>
      </c>
      <c r="AB1572" t="n">
        <v>341</v>
      </c>
      <c r="AC1572" t="n">
        <v>853</v>
      </c>
      <c r="AD1572" t="n">
        <v>1</v>
      </c>
      <c r="AE1572" t="n">
        <v>6</v>
      </c>
      <c r="AF1572" t="n">
        <v>11</v>
      </c>
      <c r="AG1572" t="n">
        <v>30</v>
      </c>
      <c r="AH1572" t="n">
        <v>5</v>
      </c>
      <c r="AI1572" t="n">
        <v>10</v>
      </c>
      <c r="AJ1572" t="n">
        <v>1</v>
      </c>
      <c r="AK1572" t="n">
        <v>8</v>
      </c>
      <c r="AL1572" t="n">
        <v>6</v>
      </c>
      <c r="AM1572" t="n">
        <v>13</v>
      </c>
      <c r="AN1572" t="n">
        <v>0</v>
      </c>
      <c r="AO1572" t="n">
        <v>3</v>
      </c>
      <c r="AP1572" t="n">
        <v>0</v>
      </c>
      <c r="AQ1572" t="n">
        <v>0</v>
      </c>
      <c r="AR1572" t="inlineStr">
        <is>
          <t>No</t>
        </is>
      </c>
      <c r="AS1572" t="inlineStr">
        <is>
          <t>Yes</t>
        </is>
      </c>
      <c r="AT1572">
        <f>HYPERLINK("http://catalog.hathitrust.org/Record/004270215","HathiTrust Record")</f>
        <v/>
      </c>
      <c r="AU1572">
        <f>HYPERLINK("https://creighton-primo.hosted.exlibrisgroup.com/primo-explore/search?tab=default_tab&amp;search_scope=EVERYTHING&amp;vid=01CRU&amp;lang=en_US&amp;offset=0&amp;query=any,contains,991001718139702656","Catalog Record")</f>
        <v/>
      </c>
      <c r="AV1572">
        <f>HYPERLINK("http://www.worldcat.org/oclc/50059591","WorldCat Record")</f>
        <v/>
      </c>
      <c r="AW1572" t="inlineStr">
        <is>
          <t>1004849:eng</t>
        </is>
      </c>
      <c r="AX1572" t="inlineStr">
        <is>
          <t>50059591</t>
        </is>
      </c>
      <c r="AY1572" t="inlineStr">
        <is>
          <t>991001718139702656</t>
        </is>
      </c>
      <c r="AZ1572" t="inlineStr">
        <is>
          <t>991001718139702656</t>
        </is>
      </c>
      <c r="BA1572" t="inlineStr">
        <is>
          <t>2258236520002656</t>
        </is>
      </c>
      <c r="BB1572" t="inlineStr">
        <is>
          <t>BOOK</t>
        </is>
      </c>
      <c r="BD1572" t="inlineStr">
        <is>
          <t>9780323017510</t>
        </is>
      </c>
      <c r="BE1572" t="inlineStr">
        <is>
          <t>30001004500452</t>
        </is>
      </c>
      <c r="BF1572" t="inlineStr">
        <is>
          <t>893727814</t>
        </is>
      </c>
    </row>
    <row r="1573">
      <c r="A1573" t="inlineStr">
        <is>
          <t>No</t>
        </is>
      </c>
      <c r="B1573" t="inlineStr">
        <is>
          <t>CUHSL</t>
        </is>
      </c>
      <c r="C1573" t="inlineStr">
        <is>
          <t>SHELVES</t>
        </is>
      </c>
      <c r="D1573" t="inlineStr">
        <is>
          <t>WY 157 G597r 1975</t>
        </is>
      </c>
      <c r="E1573" t="inlineStr">
        <is>
          <t>0                      WY 0157000G  597r        1975</t>
        </is>
      </c>
      <c r="F1573" t="inlineStr">
        <is>
          <t>Review of maternal and child nursing / Janice L. Goerzen, Peggy L. Chinn.</t>
        </is>
      </c>
      <c r="H1573" t="inlineStr">
        <is>
          <t>No</t>
        </is>
      </c>
      <c r="I1573" t="inlineStr">
        <is>
          <t>1</t>
        </is>
      </c>
      <c r="J1573" t="inlineStr">
        <is>
          <t>No</t>
        </is>
      </c>
      <c r="K1573" t="inlineStr">
        <is>
          <t>No</t>
        </is>
      </c>
      <c r="L1573" t="inlineStr">
        <is>
          <t>0</t>
        </is>
      </c>
      <c r="M1573" t="inlineStr">
        <is>
          <t>Goerzen, Janice L., 1943-</t>
        </is>
      </c>
      <c r="N1573" t="inlineStr">
        <is>
          <t>Saint Louis : Mosby, 1975.</t>
        </is>
      </c>
      <c r="O1573" t="inlineStr">
        <is>
          <t>1975</t>
        </is>
      </c>
      <c r="Q1573" t="inlineStr">
        <is>
          <t>eng</t>
        </is>
      </c>
      <c r="R1573" t="inlineStr">
        <is>
          <t>mou</t>
        </is>
      </c>
      <c r="T1573" t="inlineStr">
        <is>
          <t xml:space="preserve">WY </t>
        </is>
      </c>
      <c r="U1573" t="n">
        <v>2</v>
      </c>
      <c r="V1573" t="n">
        <v>2</v>
      </c>
      <c r="W1573" t="inlineStr">
        <is>
          <t>1994-08-23</t>
        </is>
      </c>
      <c r="X1573" t="inlineStr">
        <is>
          <t>1994-08-23</t>
        </is>
      </c>
      <c r="Y1573" t="inlineStr">
        <is>
          <t>1988-01-08</t>
        </is>
      </c>
      <c r="Z1573" t="inlineStr">
        <is>
          <t>1988-01-08</t>
        </is>
      </c>
      <c r="AA1573" t="n">
        <v>96</v>
      </c>
      <c r="AB1573" t="n">
        <v>70</v>
      </c>
      <c r="AC1573" t="n">
        <v>72</v>
      </c>
      <c r="AD1573" t="n">
        <v>1</v>
      </c>
      <c r="AE1573" t="n">
        <v>1</v>
      </c>
      <c r="AF1573" t="n">
        <v>4</v>
      </c>
      <c r="AG1573" t="n">
        <v>4</v>
      </c>
      <c r="AH1573" t="n">
        <v>1</v>
      </c>
      <c r="AI1573" t="n">
        <v>1</v>
      </c>
      <c r="AJ1573" t="n">
        <v>0</v>
      </c>
      <c r="AK1573" t="n">
        <v>0</v>
      </c>
      <c r="AL1573" t="n">
        <v>3</v>
      </c>
      <c r="AM1573" t="n">
        <v>3</v>
      </c>
      <c r="AN1573" t="n">
        <v>0</v>
      </c>
      <c r="AO1573" t="n">
        <v>0</v>
      </c>
      <c r="AP1573" t="n">
        <v>0</v>
      </c>
      <c r="AQ1573" t="n">
        <v>0</v>
      </c>
      <c r="AR1573" t="inlineStr">
        <is>
          <t>No</t>
        </is>
      </c>
      <c r="AS1573" t="inlineStr">
        <is>
          <t>Yes</t>
        </is>
      </c>
      <c r="AT1573">
        <f>HYPERLINK("http://catalog.hathitrust.org/Record/001570003","HathiTrust Record")</f>
        <v/>
      </c>
      <c r="AU1573">
        <f>HYPERLINK("https://creighton-primo.hosted.exlibrisgroup.com/primo-explore/search?tab=default_tab&amp;search_scope=EVERYTHING&amp;vid=01CRU&amp;lang=en_US&amp;offset=0&amp;query=any,contains,991000921129702656","Catalog Record")</f>
        <v/>
      </c>
      <c r="AV1573">
        <f>HYPERLINK("http://www.worldcat.org/oclc/1056887","WorldCat Record")</f>
        <v/>
      </c>
      <c r="AW1573" t="inlineStr">
        <is>
          <t>1985022:eng</t>
        </is>
      </c>
      <c r="AX1573" t="inlineStr">
        <is>
          <t>1056887</t>
        </is>
      </c>
      <c r="AY1573" t="inlineStr">
        <is>
          <t>991000921129702656</t>
        </is>
      </c>
      <c r="AZ1573" t="inlineStr">
        <is>
          <t>991000921129702656</t>
        </is>
      </c>
      <c r="BA1573" t="inlineStr">
        <is>
          <t>2271985290002656</t>
        </is>
      </c>
      <c r="BB1573" t="inlineStr">
        <is>
          <t>BOOK</t>
        </is>
      </c>
      <c r="BD1573" t="inlineStr">
        <is>
          <t>9780801618529</t>
        </is>
      </c>
      <c r="BE1573" t="inlineStr">
        <is>
          <t>30001000181174</t>
        </is>
      </c>
      <c r="BF1573" t="inlineStr">
        <is>
          <t>893637837</t>
        </is>
      </c>
    </row>
    <row r="1574">
      <c r="A1574" t="inlineStr">
        <is>
          <t>No</t>
        </is>
      </c>
      <c r="B1574" t="inlineStr">
        <is>
          <t>CUHSL</t>
        </is>
      </c>
      <c r="C1574" t="inlineStr">
        <is>
          <t>SHELVES</t>
        </is>
      </c>
      <c r="D1574" t="inlineStr">
        <is>
          <t>WY 157 H434 1982</t>
        </is>
      </c>
      <c r="E1574" t="inlineStr">
        <is>
          <t>0                      WY 0157000H  434         1982</t>
        </is>
      </c>
      <c r="F1574" t="inlineStr">
        <is>
          <t>Health care of women, labor and delivery / Beverly Gorvine ... [et al.].</t>
        </is>
      </c>
      <c r="H1574" t="inlineStr">
        <is>
          <t>No</t>
        </is>
      </c>
      <c r="I1574" t="inlineStr">
        <is>
          <t>1</t>
        </is>
      </c>
      <c r="J1574" t="inlineStr">
        <is>
          <t>No</t>
        </is>
      </c>
      <c r="K1574" t="inlineStr">
        <is>
          <t>No</t>
        </is>
      </c>
      <c r="L1574" t="inlineStr">
        <is>
          <t>0</t>
        </is>
      </c>
      <c r="N1574" t="inlineStr">
        <is>
          <t>Monterey, Calif. : Wadsworth Health Sciences Division, c1982.</t>
        </is>
      </c>
      <c r="O1574" t="inlineStr">
        <is>
          <t>1982</t>
        </is>
      </c>
      <c r="Q1574" t="inlineStr">
        <is>
          <t>eng</t>
        </is>
      </c>
      <c r="R1574" t="inlineStr">
        <is>
          <t>xxu</t>
        </is>
      </c>
      <c r="T1574" t="inlineStr">
        <is>
          <t xml:space="preserve">WY </t>
        </is>
      </c>
      <c r="U1574" t="n">
        <v>1</v>
      </c>
      <c r="V1574" t="n">
        <v>1</v>
      </c>
      <c r="W1574" t="inlineStr">
        <is>
          <t>2003-02-17</t>
        </is>
      </c>
      <c r="X1574" t="inlineStr">
        <is>
          <t>2003-02-17</t>
        </is>
      </c>
      <c r="Y1574" t="inlineStr">
        <is>
          <t>1987-12-23</t>
        </is>
      </c>
      <c r="Z1574" t="inlineStr">
        <is>
          <t>1987-12-23</t>
        </is>
      </c>
      <c r="AA1574" t="n">
        <v>123</v>
      </c>
      <c r="AB1574" t="n">
        <v>114</v>
      </c>
      <c r="AC1574" t="n">
        <v>119</v>
      </c>
      <c r="AD1574" t="n">
        <v>1</v>
      </c>
      <c r="AE1574" t="n">
        <v>1</v>
      </c>
      <c r="AF1574" t="n">
        <v>3</v>
      </c>
      <c r="AG1574" t="n">
        <v>3</v>
      </c>
      <c r="AH1574" t="n">
        <v>0</v>
      </c>
      <c r="AI1574" t="n">
        <v>0</v>
      </c>
      <c r="AJ1574" t="n">
        <v>1</v>
      </c>
      <c r="AK1574" t="n">
        <v>1</v>
      </c>
      <c r="AL1574" t="n">
        <v>2</v>
      </c>
      <c r="AM1574" t="n">
        <v>2</v>
      </c>
      <c r="AN1574" t="n">
        <v>0</v>
      </c>
      <c r="AO1574" t="n">
        <v>0</v>
      </c>
      <c r="AP1574" t="n">
        <v>0</v>
      </c>
      <c r="AQ1574" t="n">
        <v>0</v>
      </c>
      <c r="AR1574" t="inlineStr">
        <is>
          <t>No</t>
        </is>
      </c>
      <c r="AS1574" t="inlineStr">
        <is>
          <t>No</t>
        </is>
      </c>
      <c r="AU1574">
        <f>HYPERLINK("https://creighton-primo.hosted.exlibrisgroup.com/primo-explore/search?tab=default_tab&amp;search_scope=EVERYTHING&amp;vid=01CRU&amp;lang=en_US&amp;offset=0&amp;query=any,contains,991000921199702656","Catalog Record")</f>
        <v/>
      </c>
      <c r="AV1574">
        <f>HYPERLINK("http://www.worldcat.org/oclc/7976114","WorldCat Record")</f>
        <v/>
      </c>
      <c r="AW1574" t="inlineStr">
        <is>
          <t>482806:eng</t>
        </is>
      </c>
      <c r="AX1574" t="inlineStr">
        <is>
          <t>7976114</t>
        </is>
      </c>
      <c r="AY1574" t="inlineStr">
        <is>
          <t>991000921199702656</t>
        </is>
      </c>
      <c r="AZ1574" t="inlineStr">
        <is>
          <t>991000921199702656</t>
        </is>
      </c>
      <c r="BA1574" t="inlineStr">
        <is>
          <t>2264041960002656</t>
        </is>
      </c>
      <c r="BB1574" t="inlineStr">
        <is>
          <t>BOOK</t>
        </is>
      </c>
      <c r="BD1574" t="inlineStr">
        <is>
          <t>9780818505102</t>
        </is>
      </c>
      <c r="BE1574" t="inlineStr">
        <is>
          <t>30001000181190</t>
        </is>
      </c>
      <c r="BF1574" t="inlineStr">
        <is>
          <t>893727091</t>
        </is>
      </c>
    </row>
    <row r="1575">
      <c r="A1575" t="inlineStr">
        <is>
          <t>No</t>
        </is>
      </c>
      <c r="B1575" t="inlineStr">
        <is>
          <t>CUHSL</t>
        </is>
      </c>
      <c r="C1575" t="inlineStr">
        <is>
          <t>SHELVES</t>
        </is>
      </c>
      <c r="D1575" t="inlineStr">
        <is>
          <t>WY 157 H6375 1990</t>
        </is>
      </c>
      <c r="E1575" t="inlineStr">
        <is>
          <t>0                      WY 0157000H  6375        1990</t>
        </is>
      </c>
      <c r="F1575" t="inlineStr">
        <is>
          <t>High risk maternity nursing manual / edited by Kathleen Buckley, Nancy W. Kulb.</t>
        </is>
      </c>
      <c r="H1575" t="inlineStr">
        <is>
          <t>No</t>
        </is>
      </c>
      <c r="I1575" t="inlineStr">
        <is>
          <t>1</t>
        </is>
      </c>
      <c r="J1575" t="inlineStr">
        <is>
          <t>No</t>
        </is>
      </c>
      <c r="K1575" t="inlineStr">
        <is>
          <t>No</t>
        </is>
      </c>
      <c r="L1575" t="inlineStr">
        <is>
          <t>0</t>
        </is>
      </c>
      <c r="N1575" t="inlineStr">
        <is>
          <t>Baltimore : Williams &amp; Wilkins, c1989.</t>
        </is>
      </c>
      <c r="O1575" t="inlineStr">
        <is>
          <t>1990</t>
        </is>
      </c>
      <c r="Q1575" t="inlineStr">
        <is>
          <t>eng</t>
        </is>
      </c>
      <c r="R1575" t="inlineStr">
        <is>
          <t>xxu</t>
        </is>
      </c>
      <c r="T1575" t="inlineStr">
        <is>
          <t xml:space="preserve">WY </t>
        </is>
      </c>
      <c r="U1575" t="n">
        <v>12</v>
      </c>
      <c r="V1575" t="n">
        <v>12</v>
      </c>
      <c r="W1575" t="inlineStr">
        <is>
          <t>2003-03-24</t>
        </is>
      </c>
      <c r="X1575" t="inlineStr">
        <is>
          <t>2003-03-24</t>
        </is>
      </c>
      <c r="Y1575" t="inlineStr">
        <is>
          <t>1990-11-21</t>
        </is>
      </c>
      <c r="Z1575" t="inlineStr">
        <is>
          <t>1990-11-21</t>
        </is>
      </c>
      <c r="AA1575" t="n">
        <v>141</v>
      </c>
      <c r="AB1575" t="n">
        <v>102</v>
      </c>
      <c r="AC1575" t="n">
        <v>179</v>
      </c>
      <c r="AD1575" t="n">
        <v>1</v>
      </c>
      <c r="AE1575" t="n">
        <v>1</v>
      </c>
      <c r="AF1575" t="n">
        <v>2</v>
      </c>
      <c r="AG1575" t="n">
        <v>5</v>
      </c>
      <c r="AH1575" t="n">
        <v>0</v>
      </c>
      <c r="AI1575" t="n">
        <v>1</v>
      </c>
      <c r="AJ1575" t="n">
        <v>1</v>
      </c>
      <c r="AK1575" t="n">
        <v>2</v>
      </c>
      <c r="AL1575" t="n">
        <v>1</v>
      </c>
      <c r="AM1575" t="n">
        <v>3</v>
      </c>
      <c r="AN1575" t="n">
        <v>0</v>
      </c>
      <c r="AO1575" t="n">
        <v>0</v>
      </c>
      <c r="AP1575" t="n">
        <v>0</v>
      </c>
      <c r="AQ1575" t="n">
        <v>0</v>
      </c>
      <c r="AR1575" t="inlineStr">
        <is>
          <t>No</t>
        </is>
      </c>
      <c r="AS1575" t="inlineStr">
        <is>
          <t>Yes</t>
        </is>
      </c>
      <c r="AT1575">
        <f>HYPERLINK("http://catalog.hathitrust.org/Record/002233095","HathiTrust Record")</f>
        <v/>
      </c>
      <c r="AU1575">
        <f>HYPERLINK("https://creighton-primo.hosted.exlibrisgroup.com/primo-explore/search?tab=default_tab&amp;search_scope=EVERYTHING&amp;vid=01CRU&amp;lang=en_US&amp;offset=0&amp;query=any,contains,991000780839702656","Catalog Record")</f>
        <v/>
      </c>
      <c r="AV1575">
        <f>HYPERLINK("http://www.worldcat.org/oclc/19264263","WorldCat Record")</f>
        <v/>
      </c>
      <c r="AW1575" t="inlineStr">
        <is>
          <t>427142503:eng</t>
        </is>
      </c>
      <c r="AX1575" t="inlineStr">
        <is>
          <t>19264263</t>
        </is>
      </c>
      <c r="AY1575" t="inlineStr">
        <is>
          <t>991000780839702656</t>
        </is>
      </c>
      <c r="AZ1575" t="inlineStr">
        <is>
          <t>991000780839702656</t>
        </is>
      </c>
      <c r="BA1575" t="inlineStr">
        <is>
          <t>2272001870002656</t>
        </is>
      </c>
      <c r="BB1575" t="inlineStr">
        <is>
          <t>BOOK</t>
        </is>
      </c>
      <c r="BD1575" t="inlineStr">
        <is>
          <t>9780683095586</t>
        </is>
      </c>
      <c r="BE1575" t="inlineStr">
        <is>
          <t>30001002064428</t>
        </is>
      </c>
      <c r="BF1575" t="inlineStr">
        <is>
          <t>893545887</t>
        </is>
      </c>
    </row>
    <row r="1576">
      <c r="A1576" t="inlineStr">
        <is>
          <t>No</t>
        </is>
      </c>
      <c r="B1576" t="inlineStr">
        <is>
          <t>CUHSL</t>
        </is>
      </c>
      <c r="C1576" t="inlineStr">
        <is>
          <t>SHELVES</t>
        </is>
      </c>
      <c r="D1576" t="inlineStr">
        <is>
          <t>WY 157 J23m 1989</t>
        </is>
      </c>
      <c r="E1576" t="inlineStr">
        <is>
          <t>0                      WY 0157000J  23m         1989</t>
        </is>
      </c>
      <c r="F1576" t="inlineStr">
        <is>
          <t>Maternal-infant health care plans / Marie S. Jaffe, Kathryn A. Melson.</t>
        </is>
      </c>
      <c r="H1576" t="inlineStr">
        <is>
          <t>No</t>
        </is>
      </c>
      <c r="I1576" t="inlineStr">
        <is>
          <t>1</t>
        </is>
      </c>
      <c r="J1576" t="inlineStr">
        <is>
          <t>No</t>
        </is>
      </c>
      <c r="K1576" t="inlineStr">
        <is>
          <t>No</t>
        </is>
      </c>
      <c r="L1576" t="inlineStr">
        <is>
          <t>0</t>
        </is>
      </c>
      <c r="M1576" t="inlineStr">
        <is>
          <t>Jaffe, Marie S.</t>
        </is>
      </c>
      <c r="N1576" t="inlineStr">
        <is>
          <t>Springhouse, Pa. : Springhouse Corp., c1989.</t>
        </is>
      </c>
      <c r="O1576" t="inlineStr">
        <is>
          <t>1989</t>
        </is>
      </c>
      <c r="Q1576" t="inlineStr">
        <is>
          <t>eng</t>
        </is>
      </c>
      <c r="R1576" t="inlineStr">
        <is>
          <t>xxu</t>
        </is>
      </c>
      <c r="T1576" t="inlineStr">
        <is>
          <t xml:space="preserve">WY </t>
        </is>
      </c>
      <c r="U1576" t="n">
        <v>17</v>
      </c>
      <c r="V1576" t="n">
        <v>17</v>
      </c>
      <c r="W1576" t="inlineStr">
        <is>
          <t>1993-01-05</t>
        </is>
      </c>
      <c r="X1576" t="inlineStr">
        <is>
          <t>1993-01-05</t>
        </is>
      </c>
      <c r="Y1576" t="inlineStr">
        <is>
          <t>1989-09-06</t>
        </is>
      </c>
      <c r="Z1576" t="inlineStr">
        <is>
          <t>1989-09-06</t>
        </is>
      </c>
      <c r="AA1576" t="n">
        <v>134</v>
      </c>
      <c r="AB1576" t="n">
        <v>102</v>
      </c>
      <c r="AC1576" t="n">
        <v>102</v>
      </c>
      <c r="AD1576" t="n">
        <v>1</v>
      </c>
      <c r="AE1576" t="n">
        <v>1</v>
      </c>
      <c r="AF1576" t="n">
        <v>2</v>
      </c>
      <c r="AG1576" t="n">
        <v>2</v>
      </c>
      <c r="AH1576" t="n">
        <v>1</v>
      </c>
      <c r="AI1576" t="n">
        <v>1</v>
      </c>
      <c r="AJ1576" t="n">
        <v>0</v>
      </c>
      <c r="AK1576" t="n">
        <v>0</v>
      </c>
      <c r="AL1576" t="n">
        <v>1</v>
      </c>
      <c r="AM1576" t="n">
        <v>1</v>
      </c>
      <c r="AN1576" t="n">
        <v>0</v>
      </c>
      <c r="AO1576" t="n">
        <v>0</v>
      </c>
      <c r="AP1576" t="n">
        <v>0</v>
      </c>
      <c r="AQ1576" t="n">
        <v>0</v>
      </c>
      <c r="AR1576" t="inlineStr">
        <is>
          <t>No</t>
        </is>
      </c>
      <c r="AS1576" t="inlineStr">
        <is>
          <t>No</t>
        </is>
      </c>
      <c r="AU1576">
        <f>HYPERLINK("https://creighton-primo.hosted.exlibrisgroup.com/primo-explore/search?tab=default_tab&amp;search_scope=EVERYTHING&amp;vid=01CRU&amp;lang=en_US&amp;offset=0&amp;query=any,contains,991001315229702656","Catalog Record")</f>
        <v/>
      </c>
      <c r="AV1576">
        <f>HYPERLINK("http://www.worldcat.org/oclc/18962056","WorldCat Record")</f>
        <v/>
      </c>
      <c r="AW1576" t="inlineStr">
        <is>
          <t>3901278216:eng</t>
        </is>
      </c>
      <c r="AX1576" t="inlineStr">
        <is>
          <t>18962056</t>
        </is>
      </c>
      <c r="AY1576" t="inlineStr">
        <is>
          <t>991001315229702656</t>
        </is>
      </c>
      <c r="AZ1576" t="inlineStr">
        <is>
          <t>991001315229702656</t>
        </is>
      </c>
      <c r="BA1576" t="inlineStr">
        <is>
          <t>2270528000002656</t>
        </is>
      </c>
      <c r="BB1576" t="inlineStr">
        <is>
          <t>BOOK</t>
        </is>
      </c>
      <c r="BD1576" t="inlineStr">
        <is>
          <t>9780874341935</t>
        </is>
      </c>
      <c r="BE1576" t="inlineStr">
        <is>
          <t>30001001752593</t>
        </is>
      </c>
      <c r="BF1576" t="inlineStr">
        <is>
          <t>893740992</t>
        </is>
      </c>
    </row>
    <row r="1577">
      <c r="A1577" t="inlineStr">
        <is>
          <t>No</t>
        </is>
      </c>
      <c r="B1577" t="inlineStr">
        <is>
          <t>CUHSL</t>
        </is>
      </c>
      <c r="C1577" t="inlineStr">
        <is>
          <t>SHELVES</t>
        </is>
      </c>
      <c r="D1577" t="inlineStr">
        <is>
          <t>WY 157 M425 1994</t>
        </is>
      </c>
      <c r="E1577" t="inlineStr">
        <is>
          <t>0                      WY 0157000M  425         1994</t>
        </is>
      </c>
      <c r="F1577" t="inlineStr">
        <is>
          <t>Maternal and neonatal nursing : family-centered care / [edited by] Katharyn A. May, Laura R. Mahlmeister.</t>
        </is>
      </c>
      <c r="H1577" t="inlineStr">
        <is>
          <t>No</t>
        </is>
      </c>
      <c r="I1577" t="inlineStr">
        <is>
          <t>1</t>
        </is>
      </c>
      <c r="J1577" t="inlineStr">
        <is>
          <t>No</t>
        </is>
      </c>
      <c r="K1577" t="inlineStr">
        <is>
          <t>No</t>
        </is>
      </c>
      <c r="L1577" t="inlineStr">
        <is>
          <t>0</t>
        </is>
      </c>
      <c r="N1577" t="inlineStr">
        <is>
          <t>Philadelphia : Lippincott, c1994.</t>
        </is>
      </c>
      <c r="O1577" t="inlineStr">
        <is>
          <t>1994</t>
        </is>
      </c>
      <c r="P1577" t="inlineStr">
        <is>
          <t>3rd ed.</t>
        </is>
      </c>
      <c r="Q1577" t="inlineStr">
        <is>
          <t>eng</t>
        </is>
      </c>
      <c r="R1577" t="inlineStr">
        <is>
          <t>pau</t>
        </is>
      </c>
      <c r="T1577" t="inlineStr">
        <is>
          <t xml:space="preserve">WY </t>
        </is>
      </c>
      <c r="U1577" t="n">
        <v>71</v>
      </c>
      <c r="V1577" t="n">
        <v>71</v>
      </c>
      <c r="W1577" t="inlineStr">
        <is>
          <t>1997-03-25</t>
        </is>
      </c>
      <c r="X1577" t="inlineStr">
        <is>
          <t>1997-03-25</t>
        </is>
      </c>
      <c r="Y1577" t="inlineStr">
        <is>
          <t>1994-07-26</t>
        </is>
      </c>
      <c r="Z1577" t="inlineStr">
        <is>
          <t>1994-07-26</t>
        </is>
      </c>
      <c r="AA1577" t="n">
        <v>304</v>
      </c>
      <c r="AB1577" t="n">
        <v>240</v>
      </c>
      <c r="AC1577" t="n">
        <v>243</v>
      </c>
      <c r="AD1577" t="n">
        <v>2</v>
      </c>
      <c r="AE1577" t="n">
        <v>2</v>
      </c>
      <c r="AF1577" t="n">
        <v>9</v>
      </c>
      <c r="AG1577" t="n">
        <v>9</v>
      </c>
      <c r="AH1577" t="n">
        <v>3</v>
      </c>
      <c r="AI1577" t="n">
        <v>3</v>
      </c>
      <c r="AJ1577" t="n">
        <v>2</v>
      </c>
      <c r="AK1577" t="n">
        <v>2</v>
      </c>
      <c r="AL1577" t="n">
        <v>5</v>
      </c>
      <c r="AM1577" t="n">
        <v>5</v>
      </c>
      <c r="AN1577" t="n">
        <v>1</v>
      </c>
      <c r="AO1577" t="n">
        <v>1</v>
      </c>
      <c r="AP1577" t="n">
        <v>0</v>
      </c>
      <c r="AQ1577" t="n">
        <v>0</v>
      </c>
      <c r="AR1577" t="inlineStr">
        <is>
          <t>No</t>
        </is>
      </c>
      <c r="AS1577" t="inlineStr">
        <is>
          <t>Yes</t>
        </is>
      </c>
      <c r="AT1577">
        <f>HYPERLINK("http://catalog.hathitrust.org/Record/004537128","HathiTrust Record")</f>
        <v/>
      </c>
      <c r="AU1577">
        <f>HYPERLINK("https://creighton-primo.hosted.exlibrisgroup.com/primo-explore/search?tab=default_tab&amp;search_scope=EVERYTHING&amp;vid=01CRU&amp;lang=en_US&amp;offset=0&amp;query=any,contains,991001119269702656","Catalog Record")</f>
        <v/>
      </c>
      <c r="AV1577">
        <f>HYPERLINK("http://www.worldcat.org/oclc/28421814","WorldCat Record")</f>
        <v/>
      </c>
      <c r="AW1577" t="inlineStr">
        <is>
          <t>899557906:eng</t>
        </is>
      </c>
      <c r="AX1577" t="inlineStr">
        <is>
          <t>28421814</t>
        </is>
      </c>
      <c r="AY1577" t="inlineStr">
        <is>
          <t>991001119269702656</t>
        </is>
      </c>
      <c r="AZ1577" t="inlineStr">
        <is>
          <t>991001119269702656</t>
        </is>
      </c>
      <c r="BA1577" t="inlineStr">
        <is>
          <t>2259954170002656</t>
        </is>
      </c>
      <c r="BB1577" t="inlineStr">
        <is>
          <t>BOOK</t>
        </is>
      </c>
      <c r="BD1577" t="inlineStr">
        <is>
          <t>9780397549535</t>
        </is>
      </c>
      <c r="BE1577" t="inlineStr">
        <is>
          <t>30001002950097</t>
        </is>
      </c>
      <c r="BF1577" t="inlineStr">
        <is>
          <t>893287242</t>
        </is>
      </c>
    </row>
    <row r="1578">
      <c r="A1578" t="inlineStr">
        <is>
          <t>No</t>
        </is>
      </c>
      <c r="B1578" t="inlineStr">
        <is>
          <t>CUHSL</t>
        </is>
      </c>
      <c r="C1578" t="inlineStr">
        <is>
          <t>SHELVES</t>
        </is>
      </c>
      <c r="D1578" t="inlineStr">
        <is>
          <t>WY 157 M823r 1983</t>
        </is>
      </c>
      <c r="E1578" t="inlineStr">
        <is>
          <t>0                      WY 0157000M  823r        1983</t>
        </is>
      </c>
      <c r="F1578" t="inlineStr">
        <is>
          <t>Realities in childbearing / Mary Lou Moore, Ora Strickland.</t>
        </is>
      </c>
      <c r="H1578" t="inlineStr">
        <is>
          <t>No</t>
        </is>
      </c>
      <c r="I1578" t="inlineStr">
        <is>
          <t>1</t>
        </is>
      </c>
      <c r="J1578" t="inlineStr">
        <is>
          <t>No</t>
        </is>
      </c>
      <c r="K1578" t="inlineStr">
        <is>
          <t>No</t>
        </is>
      </c>
      <c r="L1578" t="inlineStr">
        <is>
          <t>0</t>
        </is>
      </c>
      <c r="M1578" t="inlineStr">
        <is>
          <t>Moore, Mary Lou.</t>
        </is>
      </c>
      <c r="N1578" t="inlineStr">
        <is>
          <t>Philadelphia : Saunders, c1983.</t>
        </is>
      </c>
      <c r="O1578" t="inlineStr">
        <is>
          <t>1983</t>
        </is>
      </c>
      <c r="P1578" t="inlineStr">
        <is>
          <t>2nd ed.</t>
        </is>
      </c>
      <c r="Q1578" t="inlineStr">
        <is>
          <t>eng</t>
        </is>
      </c>
      <c r="R1578" t="inlineStr">
        <is>
          <t>xxu</t>
        </is>
      </c>
      <c r="T1578" t="inlineStr">
        <is>
          <t xml:space="preserve">WY </t>
        </is>
      </c>
      <c r="U1578" t="n">
        <v>4</v>
      </c>
      <c r="V1578" t="n">
        <v>4</v>
      </c>
      <c r="W1578" t="inlineStr">
        <is>
          <t>1995-04-09</t>
        </is>
      </c>
      <c r="X1578" t="inlineStr">
        <is>
          <t>1995-04-09</t>
        </is>
      </c>
      <c r="Y1578" t="inlineStr">
        <is>
          <t>1987-10-24</t>
        </is>
      </c>
      <c r="Z1578" t="inlineStr">
        <is>
          <t>1987-10-24</t>
        </is>
      </c>
      <c r="AA1578" t="n">
        <v>231</v>
      </c>
      <c r="AB1578" t="n">
        <v>182</v>
      </c>
      <c r="AC1578" t="n">
        <v>285</v>
      </c>
      <c r="AD1578" t="n">
        <v>2</v>
      </c>
      <c r="AE1578" t="n">
        <v>4</v>
      </c>
      <c r="AF1578" t="n">
        <v>10</v>
      </c>
      <c r="AG1578" t="n">
        <v>13</v>
      </c>
      <c r="AH1578" t="n">
        <v>5</v>
      </c>
      <c r="AI1578" t="n">
        <v>6</v>
      </c>
      <c r="AJ1578" t="n">
        <v>1</v>
      </c>
      <c r="AK1578" t="n">
        <v>1</v>
      </c>
      <c r="AL1578" t="n">
        <v>4</v>
      </c>
      <c r="AM1578" t="n">
        <v>5</v>
      </c>
      <c r="AN1578" t="n">
        <v>1</v>
      </c>
      <c r="AO1578" t="n">
        <v>2</v>
      </c>
      <c r="AP1578" t="n">
        <v>0</v>
      </c>
      <c r="AQ1578" t="n">
        <v>0</v>
      </c>
      <c r="AR1578" t="inlineStr">
        <is>
          <t>No</t>
        </is>
      </c>
      <c r="AS1578" t="inlineStr">
        <is>
          <t>No</t>
        </is>
      </c>
      <c r="AU1578">
        <f>HYPERLINK("https://creighton-primo.hosted.exlibrisgroup.com/primo-explore/search?tab=default_tab&amp;search_scope=EVERYTHING&amp;vid=01CRU&amp;lang=en_US&amp;offset=0&amp;query=any,contains,991000732619702656","Catalog Record")</f>
        <v/>
      </c>
      <c r="AV1578">
        <f>HYPERLINK("http://www.worldcat.org/oclc/8533144","WorldCat Record")</f>
        <v/>
      </c>
      <c r="AW1578" t="inlineStr">
        <is>
          <t>12891885:eng</t>
        </is>
      </c>
      <c r="AX1578" t="inlineStr">
        <is>
          <t>8533144</t>
        </is>
      </c>
      <c r="AY1578" t="inlineStr">
        <is>
          <t>991000732619702656</t>
        </is>
      </c>
      <c r="AZ1578" t="inlineStr">
        <is>
          <t>991000732619702656</t>
        </is>
      </c>
      <c r="BA1578" t="inlineStr">
        <is>
          <t>2255188970002656</t>
        </is>
      </c>
      <c r="BB1578" t="inlineStr">
        <is>
          <t>BOOK</t>
        </is>
      </c>
      <c r="BD1578" t="inlineStr">
        <is>
          <t>9780721664989</t>
        </is>
      </c>
      <c r="BE1578" t="inlineStr">
        <is>
          <t>30001000040727</t>
        </is>
      </c>
      <c r="BF1578" t="inlineStr">
        <is>
          <t>893831134</t>
        </is>
      </c>
    </row>
    <row r="1579">
      <c r="A1579" t="inlineStr">
        <is>
          <t>No</t>
        </is>
      </c>
      <c r="B1579" t="inlineStr">
        <is>
          <t>CUHSL</t>
        </is>
      </c>
      <c r="C1579" t="inlineStr">
        <is>
          <t>SHELVES</t>
        </is>
      </c>
      <c r="D1579" t="inlineStr">
        <is>
          <t>WY 157 N9735 1983</t>
        </is>
      </c>
      <c r="E1579" t="inlineStr">
        <is>
          <t>0                      WY 0157000N  9735        1983</t>
        </is>
      </c>
      <c r="F1579" t="inlineStr">
        <is>
          <t>Nurse-midwifery : health care for women and newborns / edited by Constance J. Adams.</t>
        </is>
      </c>
      <c r="H1579" t="inlineStr">
        <is>
          <t>No</t>
        </is>
      </c>
      <c r="I1579" t="inlineStr">
        <is>
          <t>1</t>
        </is>
      </c>
      <c r="J1579" t="inlineStr">
        <is>
          <t>No</t>
        </is>
      </c>
      <c r="K1579" t="inlineStr">
        <is>
          <t>No</t>
        </is>
      </c>
      <c r="L1579" t="inlineStr">
        <is>
          <t>0</t>
        </is>
      </c>
      <c r="N1579" t="inlineStr">
        <is>
          <t>New York : Grune &amp; Stratton, c1983.</t>
        </is>
      </c>
      <c r="O1579" t="inlineStr">
        <is>
          <t>1983</t>
        </is>
      </c>
      <c r="Q1579" t="inlineStr">
        <is>
          <t>eng</t>
        </is>
      </c>
      <c r="R1579" t="inlineStr">
        <is>
          <t>xxu</t>
        </is>
      </c>
      <c r="T1579" t="inlineStr">
        <is>
          <t xml:space="preserve">WY </t>
        </is>
      </c>
      <c r="U1579" t="n">
        <v>4</v>
      </c>
      <c r="V1579" t="n">
        <v>4</v>
      </c>
      <c r="W1579" t="inlineStr">
        <is>
          <t>1999-03-16</t>
        </is>
      </c>
      <c r="X1579" t="inlineStr">
        <is>
          <t>1999-03-16</t>
        </is>
      </c>
      <c r="Y1579" t="inlineStr">
        <is>
          <t>1987-12-23</t>
        </is>
      </c>
      <c r="Z1579" t="inlineStr">
        <is>
          <t>1987-12-23</t>
        </is>
      </c>
      <c r="AA1579" t="n">
        <v>218</v>
      </c>
      <c r="AB1579" t="n">
        <v>184</v>
      </c>
      <c r="AC1579" t="n">
        <v>187</v>
      </c>
      <c r="AD1579" t="n">
        <v>1</v>
      </c>
      <c r="AE1579" t="n">
        <v>1</v>
      </c>
      <c r="AF1579" t="n">
        <v>5</v>
      </c>
      <c r="AG1579" t="n">
        <v>5</v>
      </c>
      <c r="AH1579" t="n">
        <v>2</v>
      </c>
      <c r="AI1579" t="n">
        <v>2</v>
      </c>
      <c r="AJ1579" t="n">
        <v>0</v>
      </c>
      <c r="AK1579" t="n">
        <v>0</v>
      </c>
      <c r="AL1579" t="n">
        <v>3</v>
      </c>
      <c r="AM1579" t="n">
        <v>3</v>
      </c>
      <c r="AN1579" t="n">
        <v>0</v>
      </c>
      <c r="AO1579" t="n">
        <v>0</v>
      </c>
      <c r="AP1579" t="n">
        <v>0</v>
      </c>
      <c r="AQ1579" t="n">
        <v>0</v>
      </c>
      <c r="AR1579" t="inlineStr">
        <is>
          <t>No</t>
        </is>
      </c>
      <c r="AS1579" t="inlineStr">
        <is>
          <t>Yes</t>
        </is>
      </c>
      <c r="AT1579">
        <f>HYPERLINK("http://catalog.hathitrust.org/Record/000161350","HathiTrust Record")</f>
        <v/>
      </c>
      <c r="AU1579">
        <f>HYPERLINK("https://creighton-primo.hosted.exlibrisgroup.com/primo-explore/search?tab=default_tab&amp;search_scope=EVERYTHING&amp;vid=01CRU&amp;lang=en_US&amp;offset=0&amp;query=any,contains,991000921499702656","Catalog Record")</f>
        <v/>
      </c>
      <c r="AV1579">
        <f>HYPERLINK("http://www.worldcat.org/oclc/9412335","WorldCat Record")</f>
        <v/>
      </c>
      <c r="AW1579" t="inlineStr">
        <is>
          <t>836720955:eng</t>
        </is>
      </c>
      <c r="AX1579" t="inlineStr">
        <is>
          <t>9412335</t>
        </is>
      </c>
      <c r="AY1579" t="inlineStr">
        <is>
          <t>991000921499702656</t>
        </is>
      </c>
      <c r="AZ1579" t="inlineStr">
        <is>
          <t>991000921499702656</t>
        </is>
      </c>
      <c r="BA1579" t="inlineStr">
        <is>
          <t>2263609200002656</t>
        </is>
      </c>
      <c r="BB1579" t="inlineStr">
        <is>
          <t>BOOK</t>
        </is>
      </c>
      <c r="BD1579" t="inlineStr">
        <is>
          <t>9780808915706</t>
        </is>
      </c>
      <c r="BE1579" t="inlineStr">
        <is>
          <t>30001000181448</t>
        </is>
      </c>
      <c r="BF1579" t="inlineStr">
        <is>
          <t>893540823</t>
        </is>
      </c>
    </row>
    <row r="1580">
      <c r="A1580" t="inlineStr">
        <is>
          <t>No</t>
        </is>
      </c>
      <c r="B1580" t="inlineStr">
        <is>
          <t>CUHSL</t>
        </is>
      </c>
      <c r="C1580" t="inlineStr">
        <is>
          <t>SHELVES</t>
        </is>
      </c>
      <c r="D1580" t="inlineStr">
        <is>
          <t>WY 157 N974 1986</t>
        </is>
      </c>
      <c r="E1580" t="inlineStr">
        <is>
          <t>0                      WY 0157000N  974         1986</t>
        </is>
      </c>
      <c r="F1580" t="inlineStr">
        <is>
          <t>Nurse-midwifery in America : a report of the American College of Nurse-Midwives Foundation / editors: Judith Rooks, J. Eugene Haas; foreword by Lewis Thomas</t>
        </is>
      </c>
      <c r="H1580" t="inlineStr">
        <is>
          <t>No</t>
        </is>
      </c>
      <c r="I1580" t="inlineStr">
        <is>
          <t>1</t>
        </is>
      </c>
      <c r="J1580" t="inlineStr">
        <is>
          <t>No</t>
        </is>
      </c>
      <c r="K1580" t="inlineStr">
        <is>
          <t>No</t>
        </is>
      </c>
      <c r="L1580" t="inlineStr">
        <is>
          <t>0</t>
        </is>
      </c>
      <c r="N1580" t="inlineStr">
        <is>
          <t>Washington DC : American College of Nurse-Midwives Foundation, c1986.</t>
        </is>
      </c>
      <c r="O1580" t="inlineStr">
        <is>
          <t>1986</t>
        </is>
      </c>
      <c r="Q1580" t="inlineStr">
        <is>
          <t>eng</t>
        </is>
      </c>
      <c r="R1580" t="inlineStr">
        <is>
          <t>dcu</t>
        </is>
      </c>
      <c r="T1580" t="inlineStr">
        <is>
          <t xml:space="preserve">WY </t>
        </is>
      </c>
      <c r="U1580" t="n">
        <v>4</v>
      </c>
      <c r="V1580" t="n">
        <v>4</v>
      </c>
      <c r="W1580" t="inlineStr">
        <is>
          <t>1999-03-16</t>
        </is>
      </c>
      <c r="X1580" t="inlineStr">
        <is>
          <t>1999-03-16</t>
        </is>
      </c>
      <c r="Y1580" t="inlineStr">
        <is>
          <t>1987-12-23</t>
        </is>
      </c>
      <c r="Z1580" t="inlineStr">
        <is>
          <t>1987-12-23</t>
        </is>
      </c>
      <c r="AA1580" t="n">
        <v>164</v>
      </c>
      <c r="AB1580" t="n">
        <v>150</v>
      </c>
      <c r="AC1580" t="n">
        <v>152</v>
      </c>
      <c r="AD1580" t="n">
        <v>1</v>
      </c>
      <c r="AE1580" t="n">
        <v>1</v>
      </c>
      <c r="AF1580" t="n">
        <v>2</v>
      </c>
      <c r="AG1580" t="n">
        <v>2</v>
      </c>
      <c r="AH1580" t="n">
        <v>1</v>
      </c>
      <c r="AI1580" t="n">
        <v>1</v>
      </c>
      <c r="AJ1580" t="n">
        <v>0</v>
      </c>
      <c r="AK1580" t="n">
        <v>0</v>
      </c>
      <c r="AL1580" t="n">
        <v>1</v>
      </c>
      <c r="AM1580" t="n">
        <v>1</v>
      </c>
      <c r="AN1580" t="n">
        <v>0</v>
      </c>
      <c r="AO1580" t="n">
        <v>0</v>
      </c>
      <c r="AP1580" t="n">
        <v>0</v>
      </c>
      <c r="AQ1580" t="n">
        <v>0</v>
      </c>
      <c r="AR1580" t="inlineStr">
        <is>
          <t>No</t>
        </is>
      </c>
      <c r="AS1580" t="inlineStr">
        <is>
          <t>Yes</t>
        </is>
      </c>
      <c r="AT1580">
        <f>HYPERLINK("http://catalog.hathitrust.org/Record/000479012","HathiTrust Record")</f>
        <v/>
      </c>
      <c r="AU1580">
        <f>HYPERLINK("https://creighton-primo.hosted.exlibrisgroup.com/primo-explore/search?tab=default_tab&amp;search_scope=EVERYTHING&amp;vid=01CRU&amp;lang=en_US&amp;offset=0&amp;query=any,contains,991000921479702656","Catalog Record")</f>
        <v/>
      </c>
      <c r="AV1580">
        <f>HYPERLINK("http://www.worldcat.org/oclc/22660643","WorldCat Record")</f>
        <v/>
      </c>
      <c r="AW1580" t="inlineStr">
        <is>
          <t>142137008:eng</t>
        </is>
      </c>
      <c r="AX1580" t="inlineStr">
        <is>
          <t>22660643</t>
        </is>
      </c>
      <c r="AY1580" t="inlineStr">
        <is>
          <t>991000921479702656</t>
        </is>
      </c>
      <c r="AZ1580" t="inlineStr">
        <is>
          <t>991000921479702656</t>
        </is>
      </c>
      <c r="BA1580" t="inlineStr">
        <is>
          <t>2261132270002656</t>
        </is>
      </c>
      <c r="BB1580" t="inlineStr">
        <is>
          <t>BOOK</t>
        </is>
      </c>
      <c r="BE1580" t="inlineStr">
        <is>
          <t>30001000181455</t>
        </is>
      </c>
      <c r="BF1580" t="inlineStr">
        <is>
          <t>893826231</t>
        </is>
      </c>
    </row>
    <row r="1581">
      <c r="A1581" t="inlineStr">
        <is>
          <t>No</t>
        </is>
      </c>
      <c r="B1581" t="inlineStr">
        <is>
          <t>CUHSL</t>
        </is>
      </c>
      <c r="C1581" t="inlineStr">
        <is>
          <t>SHELVES</t>
        </is>
      </c>
      <c r="D1581" t="inlineStr">
        <is>
          <t>WY 157 O124 1980</t>
        </is>
      </c>
      <c r="E1581" t="inlineStr">
        <is>
          <t>0                      WY 0157000O  124         1980</t>
        </is>
      </c>
      <c r="F1581" t="inlineStr">
        <is>
          <t>Obstetric nursing / Sally B. Olds ... [et al.].</t>
        </is>
      </c>
      <c r="H1581" t="inlineStr">
        <is>
          <t>No</t>
        </is>
      </c>
      <c r="I1581" t="inlineStr">
        <is>
          <t>1</t>
        </is>
      </c>
      <c r="J1581" t="inlineStr">
        <is>
          <t>No</t>
        </is>
      </c>
      <c r="K1581" t="inlineStr">
        <is>
          <t>No</t>
        </is>
      </c>
      <c r="L1581" t="inlineStr">
        <is>
          <t>0</t>
        </is>
      </c>
      <c r="N1581" t="inlineStr">
        <is>
          <t>Menlo Park, Calif. : Addison-Wesley, Medical/Nursing Division, c1980.</t>
        </is>
      </c>
      <c r="O1581" t="inlineStr">
        <is>
          <t>1980</t>
        </is>
      </c>
      <c r="Q1581" t="inlineStr">
        <is>
          <t>eng</t>
        </is>
      </c>
      <c r="R1581" t="inlineStr">
        <is>
          <t>xxu</t>
        </is>
      </c>
      <c r="T1581" t="inlineStr">
        <is>
          <t xml:space="preserve">WY </t>
        </is>
      </c>
      <c r="U1581" t="n">
        <v>3</v>
      </c>
      <c r="V1581" t="n">
        <v>3</v>
      </c>
      <c r="W1581" t="inlineStr">
        <is>
          <t>2008-03-28</t>
        </is>
      </c>
      <c r="X1581" t="inlineStr">
        <is>
          <t>2008-03-28</t>
        </is>
      </c>
      <c r="Y1581" t="inlineStr">
        <is>
          <t>1989-08-30</t>
        </is>
      </c>
      <c r="Z1581" t="inlineStr">
        <is>
          <t>1989-08-30</t>
        </is>
      </c>
      <c r="AA1581" t="n">
        <v>235</v>
      </c>
      <c r="AB1581" t="n">
        <v>182</v>
      </c>
      <c r="AC1581" t="n">
        <v>187</v>
      </c>
      <c r="AD1581" t="n">
        <v>1</v>
      </c>
      <c r="AE1581" t="n">
        <v>1</v>
      </c>
      <c r="AF1581" t="n">
        <v>5</v>
      </c>
      <c r="AG1581" t="n">
        <v>5</v>
      </c>
      <c r="AH1581" t="n">
        <v>2</v>
      </c>
      <c r="AI1581" t="n">
        <v>2</v>
      </c>
      <c r="AJ1581" t="n">
        <v>0</v>
      </c>
      <c r="AK1581" t="n">
        <v>0</v>
      </c>
      <c r="AL1581" t="n">
        <v>3</v>
      </c>
      <c r="AM1581" t="n">
        <v>3</v>
      </c>
      <c r="AN1581" t="n">
        <v>0</v>
      </c>
      <c r="AO1581" t="n">
        <v>0</v>
      </c>
      <c r="AP1581" t="n">
        <v>0</v>
      </c>
      <c r="AQ1581" t="n">
        <v>0</v>
      </c>
      <c r="AR1581" t="inlineStr">
        <is>
          <t>No</t>
        </is>
      </c>
      <c r="AS1581" t="inlineStr">
        <is>
          <t>No</t>
        </is>
      </c>
      <c r="AU1581">
        <f>HYPERLINK("https://creighton-primo.hosted.exlibrisgroup.com/primo-explore/search?tab=default_tab&amp;search_scope=EVERYTHING&amp;vid=01CRU&amp;lang=en_US&amp;offset=0&amp;query=any,contains,991001312239702656","Catalog Record")</f>
        <v/>
      </c>
      <c r="AV1581">
        <f>HYPERLINK("http://www.worldcat.org/oclc/5777069","WorldCat Record")</f>
        <v/>
      </c>
      <c r="AW1581" t="inlineStr">
        <is>
          <t>54349333:eng</t>
        </is>
      </c>
      <c r="AX1581" t="inlineStr">
        <is>
          <t>5777069</t>
        </is>
      </c>
      <c r="AY1581" t="inlineStr">
        <is>
          <t>991001312239702656</t>
        </is>
      </c>
      <c r="AZ1581" t="inlineStr">
        <is>
          <t>991001312239702656</t>
        </is>
      </c>
      <c r="BA1581" t="inlineStr">
        <is>
          <t>2261109990002656</t>
        </is>
      </c>
      <c r="BB1581" t="inlineStr">
        <is>
          <t>BOOK</t>
        </is>
      </c>
      <c r="BD1581" t="inlineStr">
        <is>
          <t>9780201027181</t>
        </is>
      </c>
      <c r="BE1581" t="inlineStr">
        <is>
          <t>30001001751181</t>
        </is>
      </c>
      <c r="BF1581" t="inlineStr">
        <is>
          <t>893643451</t>
        </is>
      </c>
    </row>
    <row r="1582">
      <c r="A1582" t="inlineStr">
        <is>
          <t>No</t>
        </is>
      </c>
      <c r="B1582" t="inlineStr">
        <is>
          <t>CUHSL</t>
        </is>
      </c>
      <c r="C1582" t="inlineStr">
        <is>
          <t>SHELVES</t>
        </is>
      </c>
      <c r="D1582" t="inlineStr">
        <is>
          <t>WY 157 P438p 1981</t>
        </is>
      </c>
      <c r="E1582" t="inlineStr">
        <is>
          <t>0                      WY 0157000P  438p        1981</t>
        </is>
      </c>
      <c r="F1582" t="inlineStr">
        <is>
          <t>Protocols for perinatal nursing practice / [edited by] Rosanne Harrigan Perez.</t>
        </is>
      </c>
      <c r="H1582" t="inlineStr">
        <is>
          <t>No</t>
        </is>
      </c>
      <c r="I1582" t="inlineStr">
        <is>
          <t>1</t>
        </is>
      </c>
      <c r="J1582" t="inlineStr">
        <is>
          <t>No</t>
        </is>
      </c>
      <c r="K1582" t="inlineStr">
        <is>
          <t>No</t>
        </is>
      </c>
      <c r="L1582" t="inlineStr">
        <is>
          <t>0</t>
        </is>
      </c>
      <c r="N1582" t="inlineStr">
        <is>
          <t>St. Louis : Mosby, c1981.</t>
        </is>
      </c>
      <c r="O1582" t="inlineStr">
        <is>
          <t>1981</t>
        </is>
      </c>
      <c r="Q1582" t="inlineStr">
        <is>
          <t>eng</t>
        </is>
      </c>
      <c r="R1582" t="inlineStr">
        <is>
          <t>mou</t>
        </is>
      </c>
      <c r="T1582" t="inlineStr">
        <is>
          <t xml:space="preserve">WY </t>
        </is>
      </c>
      <c r="U1582" t="n">
        <v>2</v>
      </c>
      <c r="V1582" t="n">
        <v>2</v>
      </c>
      <c r="W1582" t="inlineStr">
        <is>
          <t>1988-06-30</t>
        </is>
      </c>
      <c r="X1582" t="inlineStr">
        <is>
          <t>1988-06-30</t>
        </is>
      </c>
      <c r="Y1582" t="inlineStr">
        <is>
          <t>1987-12-23</t>
        </is>
      </c>
      <c r="Z1582" t="inlineStr">
        <is>
          <t>1987-12-23</t>
        </is>
      </c>
      <c r="AA1582" t="n">
        <v>184</v>
      </c>
      <c r="AB1582" t="n">
        <v>150</v>
      </c>
      <c r="AC1582" t="n">
        <v>157</v>
      </c>
      <c r="AD1582" t="n">
        <v>3</v>
      </c>
      <c r="AE1582" t="n">
        <v>3</v>
      </c>
      <c r="AF1582" t="n">
        <v>4</v>
      </c>
      <c r="AG1582" t="n">
        <v>4</v>
      </c>
      <c r="AH1582" t="n">
        <v>1</v>
      </c>
      <c r="AI1582" t="n">
        <v>1</v>
      </c>
      <c r="AJ1582" t="n">
        <v>0</v>
      </c>
      <c r="AK1582" t="n">
        <v>0</v>
      </c>
      <c r="AL1582" t="n">
        <v>2</v>
      </c>
      <c r="AM1582" t="n">
        <v>2</v>
      </c>
      <c r="AN1582" t="n">
        <v>1</v>
      </c>
      <c r="AO1582" t="n">
        <v>1</v>
      </c>
      <c r="AP1582" t="n">
        <v>0</v>
      </c>
      <c r="AQ1582" t="n">
        <v>0</v>
      </c>
      <c r="AR1582" t="inlineStr">
        <is>
          <t>No</t>
        </is>
      </c>
      <c r="AS1582" t="inlineStr">
        <is>
          <t>Yes</t>
        </is>
      </c>
      <c r="AT1582">
        <f>HYPERLINK("http://catalog.hathitrust.org/Record/000106592","HathiTrust Record")</f>
        <v/>
      </c>
      <c r="AU1582">
        <f>HYPERLINK("https://creighton-primo.hosted.exlibrisgroup.com/primo-explore/search?tab=default_tab&amp;search_scope=EVERYTHING&amp;vid=01CRU&amp;lang=en_US&amp;offset=0&amp;query=any,contains,991000921539702656","Catalog Record")</f>
        <v/>
      </c>
      <c r="AV1582">
        <f>HYPERLINK("http://www.worldcat.org/oclc/7172792","WorldCat Record")</f>
        <v/>
      </c>
      <c r="AW1582" t="inlineStr">
        <is>
          <t>26006990:eng</t>
        </is>
      </c>
      <c r="AX1582" t="inlineStr">
        <is>
          <t>7172792</t>
        </is>
      </c>
      <c r="AY1582" t="inlineStr">
        <is>
          <t>991000921539702656</t>
        </is>
      </c>
      <c r="AZ1582" t="inlineStr">
        <is>
          <t>991000921539702656</t>
        </is>
      </c>
      <c r="BA1582" t="inlineStr">
        <is>
          <t>2256080080002656</t>
        </is>
      </c>
      <c r="BB1582" t="inlineStr">
        <is>
          <t>BOOK</t>
        </is>
      </c>
      <c r="BD1582" t="inlineStr">
        <is>
          <t>9780801638053</t>
        </is>
      </c>
      <c r="BE1582" t="inlineStr">
        <is>
          <t>30001000181463</t>
        </is>
      </c>
      <c r="BF1582" t="inlineStr">
        <is>
          <t>893643023</t>
        </is>
      </c>
    </row>
    <row r="1583">
      <c r="A1583" t="inlineStr">
        <is>
          <t>No</t>
        </is>
      </c>
      <c r="B1583" t="inlineStr">
        <is>
          <t>CUHSL</t>
        </is>
      </c>
      <c r="C1583" t="inlineStr">
        <is>
          <t>SHELVES</t>
        </is>
      </c>
      <c r="D1583" t="inlineStr">
        <is>
          <t>WY 157 P558f 1987</t>
        </is>
      </c>
      <c r="E1583" t="inlineStr">
        <is>
          <t>0                      WY 0157000P  558f        1987</t>
        </is>
      </c>
      <c r="F1583" t="inlineStr">
        <is>
          <t>Family-centered maternity/newborn care : a basic text / Celeste R. Phillips ; new line drawings by Jeffrey A. Nagel ; contributor, J. Duncan Phillips.</t>
        </is>
      </c>
      <c r="H1583" t="inlineStr">
        <is>
          <t>No</t>
        </is>
      </c>
      <c r="I1583" t="inlineStr">
        <is>
          <t>1</t>
        </is>
      </c>
      <c r="J1583" t="inlineStr">
        <is>
          <t>No</t>
        </is>
      </c>
      <c r="K1583" t="inlineStr">
        <is>
          <t>Yes</t>
        </is>
      </c>
      <c r="L1583" t="inlineStr">
        <is>
          <t>0</t>
        </is>
      </c>
      <c r="M1583" t="inlineStr">
        <is>
          <t>Phillips, Celeste R., 1933-</t>
        </is>
      </c>
      <c r="N1583" t="inlineStr">
        <is>
          <t>St. Louis : Mosby, c1987.</t>
        </is>
      </c>
      <c r="O1583" t="inlineStr">
        <is>
          <t>1987</t>
        </is>
      </c>
      <c r="Q1583" t="inlineStr">
        <is>
          <t>eng</t>
        </is>
      </c>
      <c r="R1583" t="inlineStr">
        <is>
          <t>xxu</t>
        </is>
      </c>
      <c r="T1583" t="inlineStr">
        <is>
          <t xml:space="preserve">WY </t>
        </is>
      </c>
      <c r="U1583" t="n">
        <v>8</v>
      </c>
      <c r="V1583" t="n">
        <v>8</v>
      </c>
      <c r="W1583" t="inlineStr">
        <is>
          <t>1988-12-27</t>
        </is>
      </c>
      <c r="X1583" t="inlineStr">
        <is>
          <t>1988-12-27</t>
        </is>
      </c>
      <c r="Y1583" t="inlineStr">
        <is>
          <t>1987-12-23</t>
        </is>
      </c>
      <c r="Z1583" t="inlineStr">
        <is>
          <t>1987-12-23</t>
        </is>
      </c>
      <c r="AA1583" t="n">
        <v>102</v>
      </c>
      <c r="AB1583" t="n">
        <v>76</v>
      </c>
      <c r="AC1583" t="n">
        <v>224</v>
      </c>
      <c r="AD1583" t="n">
        <v>1</v>
      </c>
      <c r="AE1583" t="n">
        <v>3</v>
      </c>
      <c r="AF1583" t="n">
        <v>1</v>
      </c>
      <c r="AG1583" t="n">
        <v>7</v>
      </c>
      <c r="AH1583" t="n">
        <v>0</v>
      </c>
      <c r="AI1583" t="n">
        <v>1</v>
      </c>
      <c r="AJ1583" t="n">
        <v>0</v>
      </c>
      <c r="AK1583" t="n">
        <v>1</v>
      </c>
      <c r="AL1583" t="n">
        <v>1</v>
      </c>
      <c r="AM1583" t="n">
        <v>4</v>
      </c>
      <c r="AN1583" t="n">
        <v>0</v>
      </c>
      <c r="AO1583" t="n">
        <v>2</v>
      </c>
      <c r="AP1583" t="n">
        <v>0</v>
      </c>
      <c r="AQ1583" t="n">
        <v>0</v>
      </c>
      <c r="AR1583" t="inlineStr">
        <is>
          <t>No</t>
        </is>
      </c>
      <c r="AS1583" t="inlineStr">
        <is>
          <t>Yes</t>
        </is>
      </c>
      <c r="AT1583">
        <f>HYPERLINK("http://catalog.hathitrust.org/Record/000915860","HathiTrust Record")</f>
        <v/>
      </c>
      <c r="AU1583">
        <f>HYPERLINK("https://creighton-primo.hosted.exlibrisgroup.com/primo-explore/search?tab=default_tab&amp;search_scope=EVERYTHING&amp;vid=01CRU&amp;lang=en_US&amp;offset=0&amp;query=any,contains,991000763919702656","Catalog Record")</f>
        <v/>
      </c>
      <c r="AV1583">
        <f>HYPERLINK("http://www.worldcat.org/oclc/14518601","WorldCat Record")</f>
        <v/>
      </c>
      <c r="AW1583" t="inlineStr">
        <is>
          <t>8499423:eng</t>
        </is>
      </c>
      <c r="AX1583" t="inlineStr">
        <is>
          <t>14518601</t>
        </is>
      </c>
      <c r="AY1583" t="inlineStr">
        <is>
          <t>991000763919702656</t>
        </is>
      </c>
      <c r="AZ1583" t="inlineStr">
        <is>
          <t>991000763919702656</t>
        </is>
      </c>
      <c r="BA1583" t="inlineStr">
        <is>
          <t>2271645070002656</t>
        </is>
      </c>
      <c r="BB1583" t="inlineStr">
        <is>
          <t>BOOK</t>
        </is>
      </c>
      <c r="BD1583" t="inlineStr">
        <is>
          <t>9780801639180</t>
        </is>
      </c>
      <c r="BE1583" t="inlineStr">
        <is>
          <t>30001000056681</t>
        </is>
      </c>
      <c r="BF1583" t="inlineStr">
        <is>
          <t>893557115</t>
        </is>
      </c>
    </row>
    <row r="1584">
      <c r="A1584" t="inlineStr">
        <is>
          <t>No</t>
        </is>
      </c>
      <c r="B1584" t="inlineStr">
        <is>
          <t>CUHSL</t>
        </is>
      </c>
      <c r="C1584" t="inlineStr">
        <is>
          <t>SHELVES</t>
        </is>
      </c>
      <c r="D1584" t="inlineStr">
        <is>
          <t>WY 157 R325m 1987</t>
        </is>
      </c>
      <c r="E1584" t="inlineStr">
        <is>
          <t>0                      WY 0157000R  325m        1987</t>
        </is>
      </c>
      <c r="F1584" t="inlineStr">
        <is>
          <t>Maternity nursing : family, newborn, and women's health care / Sharon J. Reeder, Leonide L. Martin.</t>
        </is>
      </c>
      <c r="H1584" t="inlineStr">
        <is>
          <t>No</t>
        </is>
      </c>
      <c r="I1584" t="inlineStr">
        <is>
          <t>1</t>
        </is>
      </c>
      <c r="J1584" t="inlineStr">
        <is>
          <t>No</t>
        </is>
      </c>
      <c r="K1584" t="inlineStr">
        <is>
          <t>Yes</t>
        </is>
      </c>
      <c r="L1584" t="inlineStr">
        <is>
          <t>0</t>
        </is>
      </c>
      <c r="M1584" t="inlineStr">
        <is>
          <t>Reeder, Sharon J.</t>
        </is>
      </c>
      <c r="N1584" t="inlineStr">
        <is>
          <t>Philadelphia : Lippincott, c1987.</t>
        </is>
      </c>
      <c r="O1584" t="inlineStr">
        <is>
          <t>1987</t>
        </is>
      </c>
      <c r="P1584" t="inlineStr">
        <is>
          <t>16th ed.</t>
        </is>
      </c>
      <c r="Q1584" t="inlineStr">
        <is>
          <t>eng</t>
        </is>
      </c>
      <c r="R1584" t="inlineStr">
        <is>
          <t>xxu</t>
        </is>
      </c>
      <c r="T1584" t="inlineStr">
        <is>
          <t xml:space="preserve">WY </t>
        </is>
      </c>
      <c r="U1584" t="n">
        <v>79</v>
      </c>
      <c r="V1584" t="n">
        <v>79</v>
      </c>
      <c r="W1584" t="inlineStr">
        <is>
          <t>1991-12-04</t>
        </is>
      </c>
      <c r="X1584" t="inlineStr">
        <is>
          <t>1991-12-04</t>
        </is>
      </c>
      <c r="Y1584" t="inlineStr">
        <is>
          <t>1987-10-24</t>
        </is>
      </c>
      <c r="Z1584" t="inlineStr">
        <is>
          <t>1987-10-24</t>
        </is>
      </c>
      <c r="AA1584" t="n">
        <v>309</v>
      </c>
      <c r="AB1584" t="n">
        <v>253</v>
      </c>
      <c r="AC1584" t="n">
        <v>668</v>
      </c>
      <c r="AD1584" t="n">
        <v>3</v>
      </c>
      <c r="AE1584" t="n">
        <v>4</v>
      </c>
      <c r="AF1584" t="n">
        <v>5</v>
      </c>
      <c r="AG1584" t="n">
        <v>16</v>
      </c>
      <c r="AH1584" t="n">
        <v>2</v>
      </c>
      <c r="AI1584" t="n">
        <v>6</v>
      </c>
      <c r="AJ1584" t="n">
        <v>1</v>
      </c>
      <c r="AK1584" t="n">
        <v>5</v>
      </c>
      <c r="AL1584" t="n">
        <v>3</v>
      </c>
      <c r="AM1584" t="n">
        <v>9</v>
      </c>
      <c r="AN1584" t="n">
        <v>0</v>
      </c>
      <c r="AO1584" t="n">
        <v>0</v>
      </c>
      <c r="AP1584" t="n">
        <v>0</v>
      </c>
      <c r="AQ1584" t="n">
        <v>0</v>
      </c>
      <c r="AR1584" t="inlineStr">
        <is>
          <t>No</t>
        </is>
      </c>
      <c r="AS1584" t="inlineStr">
        <is>
          <t>No</t>
        </is>
      </c>
      <c r="AU1584">
        <f>HYPERLINK("https://creighton-primo.hosted.exlibrisgroup.com/primo-explore/search?tab=default_tab&amp;search_scope=EVERYTHING&amp;vid=01CRU&amp;lang=en_US&amp;offset=0&amp;query=any,contains,991000762129702656","Catalog Record")</f>
        <v/>
      </c>
      <c r="AV1584">
        <f>HYPERLINK("http://www.worldcat.org/oclc/14242692","WorldCat Record")</f>
        <v/>
      </c>
      <c r="AW1584" t="inlineStr">
        <is>
          <t>17330716:eng</t>
        </is>
      </c>
      <c r="AX1584" t="inlineStr">
        <is>
          <t>14242692</t>
        </is>
      </c>
      <c r="AY1584" t="inlineStr">
        <is>
          <t>991000762129702656</t>
        </is>
      </c>
      <c r="AZ1584" t="inlineStr">
        <is>
          <t>991000762129702656</t>
        </is>
      </c>
      <c r="BA1584" t="inlineStr">
        <is>
          <t>2261290890002656</t>
        </is>
      </c>
      <c r="BB1584" t="inlineStr">
        <is>
          <t>BOOK</t>
        </is>
      </c>
      <c r="BD1584" t="inlineStr">
        <is>
          <t>9780397545780</t>
        </is>
      </c>
      <c r="BE1584" t="inlineStr">
        <is>
          <t>30001000056368</t>
        </is>
      </c>
      <c r="BF1584" t="inlineStr">
        <is>
          <t>893825641</t>
        </is>
      </c>
    </row>
    <row r="1585">
      <c r="A1585" t="inlineStr">
        <is>
          <t>No</t>
        </is>
      </c>
      <c r="B1585" t="inlineStr">
        <is>
          <t>CUHSL</t>
        </is>
      </c>
      <c r="C1585" t="inlineStr">
        <is>
          <t>SHELVES</t>
        </is>
      </c>
      <c r="D1585" t="inlineStr">
        <is>
          <t>WY 157 R325m 1992</t>
        </is>
      </c>
      <c r="E1585" t="inlineStr">
        <is>
          <t>0                      WY 0157000R  325m        1992</t>
        </is>
      </c>
      <c r="F1585" t="inlineStr">
        <is>
          <t>Maternity nursing : family, newborn, and women's health care / Sharon J. Reeder, Leonide L. Martin, Deborah Koniak-Griffin.</t>
        </is>
      </c>
      <c r="H1585" t="inlineStr">
        <is>
          <t>No</t>
        </is>
      </c>
      <c r="I1585" t="inlineStr">
        <is>
          <t>1</t>
        </is>
      </c>
      <c r="J1585" t="inlineStr">
        <is>
          <t>No</t>
        </is>
      </c>
      <c r="K1585" t="inlineStr">
        <is>
          <t>Yes</t>
        </is>
      </c>
      <c r="L1585" t="inlineStr">
        <is>
          <t>0</t>
        </is>
      </c>
      <c r="M1585" t="inlineStr">
        <is>
          <t>Reeder, Sharon J.</t>
        </is>
      </c>
      <c r="N1585" t="inlineStr">
        <is>
          <t>Philadelphia : J.B. Lippincott, c1992.</t>
        </is>
      </c>
      <c r="O1585" t="inlineStr">
        <is>
          <t>1992</t>
        </is>
      </c>
      <c r="P1585" t="inlineStr">
        <is>
          <t>17th ed.</t>
        </is>
      </c>
      <c r="Q1585" t="inlineStr">
        <is>
          <t>eng</t>
        </is>
      </c>
      <c r="R1585" t="inlineStr">
        <is>
          <t>xxu</t>
        </is>
      </c>
      <c r="T1585" t="inlineStr">
        <is>
          <t xml:space="preserve">WY </t>
        </is>
      </c>
      <c r="U1585" t="n">
        <v>6</v>
      </c>
      <c r="V1585" t="n">
        <v>6</v>
      </c>
      <c r="W1585" t="inlineStr">
        <is>
          <t>1998-01-29</t>
        </is>
      </c>
      <c r="X1585" t="inlineStr">
        <is>
          <t>1998-01-29</t>
        </is>
      </c>
      <c r="Y1585" t="inlineStr">
        <is>
          <t>1992-04-23</t>
        </is>
      </c>
      <c r="Z1585" t="inlineStr">
        <is>
          <t>1992-04-23</t>
        </is>
      </c>
      <c r="AA1585" t="n">
        <v>293</v>
      </c>
      <c r="AB1585" t="n">
        <v>236</v>
      </c>
      <c r="AC1585" t="n">
        <v>668</v>
      </c>
      <c r="AD1585" t="n">
        <v>2</v>
      </c>
      <c r="AE1585" t="n">
        <v>4</v>
      </c>
      <c r="AF1585" t="n">
        <v>8</v>
      </c>
      <c r="AG1585" t="n">
        <v>16</v>
      </c>
      <c r="AH1585" t="n">
        <v>2</v>
      </c>
      <c r="AI1585" t="n">
        <v>6</v>
      </c>
      <c r="AJ1585" t="n">
        <v>4</v>
      </c>
      <c r="AK1585" t="n">
        <v>5</v>
      </c>
      <c r="AL1585" t="n">
        <v>3</v>
      </c>
      <c r="AM1585" t="n">
        <v>9</v>
      </c>
      <c r="AN1585" t="n">
        <v>0</v>
      </c>
      <c r="AO1585" t="n">
        <v>0</v>
      </c>
      <c r="AP1585" t="n">
        <v>0</v>
      </c>
      <c r="AQ1585" t="n">
        <v>0</v>
      </c>
      <c r="AR1585" t="inlineStr">
        <is>
          <t>No</t>
        </is>
      </c>
      <c r="AS1585" t="inlineStr">
        <is>
          <t>Yes</t>
        </is>
      </c>
      <c r="AT1585">
        <f>HYPERLINK("http://catalog.hathitrust.org/Record/002514531","HathiTrust Record")</f>
        <v/>
      </c>
      <c r="AU1585">
        <f>HYPERLINK("https://creighton-primo.hosted.exlibrisgroup.com/primo-explore/search?tab=default_tab&amp;search_scope=EVERYTHING&amp;vid=01CRU&amp;lang=en_US&amp;offset=0&amp;query=any,contains,991001302649702656","Catalog Record")</f>
        <v/>
      </c>
      <c r="AV1585">
        <f>HYPERLINK("http://www.worldcat.org/oclc/24064883","WorldCat Record")</f>
        <v/>
      </c>
      <c r="AW1585" t="inlineStr">
        <is>
          <t>17330716:eng</t>
        </is>
      </c>
      <c r="AX1585" t="inlineStr">
        <is>
          <t>24064883</t>
        </is>
      </c>
      <c r="AY1585" t="inlineStr">
        <is>
          <t>991001302649702656</t>
        </is>
      </c>
      <c r="AZ1585" t="inlineStr">
        <is>
          <t>991001302649702656</t>
        </is>
      </c>
      <c r="BA1585" t="inlineStr">
        <is>
          <t>2258406530002656</t>
        </is>
      </c>
      <c r="BB1585" t="inlineStr">
        <is>
          <t>BOOK</t>
        </is>
      </c>
      <c r="BD1585" t="inlineStr">
        <is>
          <t>9780397548132</t>
        </is>
      </c>
      <c r="BE1585" t="inlineStr">
        <is>
          <t>30001002412452</t>
        </is>
      </c>
      <c r="BF1585" t="inlineStr">
        <is>
          <t>893358445</t>
        </is>
      </c>
    </row>
    <row r="1586">
      <c r="A1586" t="inlineStr">
        <is>
          <t>No</t>
        </is>
      </c>
      <c r="B1586" t="inlineStr">
        <is>
          <t>CUHSL</t>
        </is>
      </c>
      <c r="C1586" t="inlineStr">
        <is>
          <t>SHELVES</t>
        </is>
      </c>
      <c r="D1586" t="inlineStr">
        <is>
          <t>WY 157 S554p 1987</t>
        </is>
      </c>
      <c r="E1586" t="inlineStr">
        <is>
          <t>0                      WY 0157000S  554p        1987</t>
        </is>
      </c>
      <c r="F1586" t="inlineStr">
        <is>
          <t>Psychosocial dimensions of the pregnant family / by Laurie Nehls Sherwen ; with contributors.</t>
        </is>
      </c>
      <c r="H1586" t="inlineStr">
        <is>
          <t>No</t>
        </is>
      </c>
      <c r="I1586" t="inlineStr">
        <is>
          <t>1</t>
        </is>
      </c>
      <c r="J1586" t="inlineStr">
        <is>
          <t>No</t>
        </is>
      </c>
      <c r="K1586" t="inlineStr">
        <is>
          <t>No</t>
        </is>
      </c>
      <c r="L1586" t="inlineStr">
        <is>
          <t>0</t>
        </is>
      </c>
      <c r="M1586" t="inlineStr">
        <is>
          <t>Sherwen, Laurie Nehls, 1947-</t>
        </is>
      </c>
      <c r="N1586" t="inlineStr">
        <is>
          <t>New York : Springer Pub. Co., c1987.</t>
        </is>
      </c>
      <c r="O1586" t="inlineStr">
        <is>
          <t>1987</t>
        </is>
      </c>
      <c r="Q1586" t="inlineStr">
        <is>
          <t>eng</t>
        </is>
      </c>
      <c r="R1586" t="inlineStr">
        <is>
          <t>xxu</t>
        </is>
      </c>
      <c r="T1586" t="inlineStr">
        <is>
          <t xml:space="preserve">WY </t>
        </is>
      </c>
      <c r="U1586" t="n">
        <v>2</v>
      </c>
      <c r="V1586" t="n">
        <v>2</v>
      </c>
      <c r="W1586" t="inlineStr">
        <is>
          <t>1997-12-30</t>
        </is>
      </c>
      <c r="X1586" t="inlineStr">
        <is>
          <t>1997-12-30</t>
        </is>
      </c>
      <c r="Y1586" t="inlineStr">
        <is>
          <t>1987-12-23</t>
        </is>
      </c>
      <c r="Z1586" t="inlineStr">
        <is>
          <t>1987-12-23</t>
        </is>
      </c>
      <c r="AA1586" t="n">
        <v>298</v>
      </c>
      <c r="AB1586" t="n">
        <v>267</v>
      </c>
      <c r="AC1586" t="n">
        <v>270</v>
      </c>
      <c r="AD1586" t="n">
        <v>2</v>
      </c>
      <c r="AE1586" t="n">
        <v>2</v>
      </c>
      <c r="AF1586" t="n">
        <v>10</v>
      </c>
      <c r="AG1586" t="n">
        <v>10</v>
      </c>
      <c r="AH1586" t="n">
        <v>3</v>
      </c>
      <c r="AI1586" t="n">
        <v>3</v>
      </c>
      <c r="AJ1586" t="n">
        <v>3</v>
      </c>
      <c r="AK1586" t="n">
        <v>3</v>
      </c>
      <c r="AL1586" t="n">
        <v>4</v>
      </c>
      <c r="AM1586" t="n">
        <v>4</v>
      </c>
      <c r="AN1586" t="n">
        <v>1</v>
      </c>
      <c r="AO1586" t="n">
        <v>1</v>
      </c>
      <c r="AP1586" t="n">
        <v>0</v>
      </c>
      <c r="AQ1586" t="n">
        <v>0</v>
      </c>
      <c r="AR1586" t="inlineStr">
        <is>
          <t>No</t>
        </is>
      </c>
      <c r="AS1586" t="inlineStr">
        <is>
          <t>Yes</t>
        </is>
      </c>
      <c r="AT1586">
        <f>HYPERLINK("http://catalog.hathitrust.org/Record/000805904","HathiTrust Record")</f>
        <v/>
      </c>
      <c r="AU1586">
        <f>HYPERLINK("https://creighton-primo.hosted.exlibrisgroup.com/primo-explore/search?tab=default_tab&amp;search_scope=EVERYTHING&amp;vid=01CRU&amp;lang=en_US&amp;offset=0&amp;query=any,contains,991000921599702656","Catalog Record")</f>
        <v/>
      </c>
      <c r="AV1586">
        <f>HYPERLINK("http://www.worldcat.org/oclc/14905302","WorldCat Record")</f>
        <v/>
      </c>
      <c r="AW1586" t="inlineStr">
        <is>
          <t>967223:eng</t>
        </is>
      </c>
      <c r="AX1586" t="inlineStr">
        <is>
          <t>14905302</t>
        </is>
      </c>
      <c r="AY1586" t="inlineStr">
        <is>
          <t>991000921599702656</t>
        </is>
      </c>
      <c r="AZ1586" t="inlineStr">
        <is>
          <t>991000921599702656</t>
        </is>
      </c>
      <c r="BA1586" t="inlineStr">
        <is>
          <t>2259421000002656</t>
        </is>
      </c>
      <c r="BB1586" t="inlineStr">
        <is>
          <t>BOOK</t>
        </is>
      </c>
      <c r="BD1586" t="inlineStr">
        <is>
          <t>9780826143808</t>
        </is>
      </c>
      <c r="BE1586" t="inlineStr">
        <is>
          <t>30001000181505</t>
        </is>
      </c>
      <c r="BF1586" t="inlineStr">
        <is>
          <t>893267834</t>
        </is>
      </c>
    </row>
    <row r="1587">
      <c r="A1587" t="inlineStr">
        <is>
          <t>No</t>
        </is>
      </c>
      <c r="B1587" t="inlineStr">
        <is>
          <t>CUHSL</t>
        </is>
      </c>
      <c r="C1587" t="inlineStr">
        <is>
          <t>SHELVES</t>
        </is>
      </c>
      <c r="D1587" t="inlineStr">
        <is>
          <t>WY 157 S785 1981</t>
        </is>
      </c>
      <c r="E1587" t="inlineStr">
        <is>
          <t>0                      WY 0157000S  785         1981</t>
        </is>
      </c>
      <c r="F1587" t="inlineStr">
        <is>
          <t>Standards for obstetric, gynecologic, and neonatal nursing : including functions and applications.</t>
        </is>
      </c>
      <c r="H1587" t="inlineStr">
        <is>
          <t>No</t>
        </is>
      </c>
      <c r="I1587" t="inlineStr">
        <is>
          <t>1</t>
        </is>
      </c>
      <c r="J1587" t="inlineStr">
        <is>
          <t>No</t>
        </is>
      </c>
      <c r="K1587" t="inlineStr">
        <is>
          <t>No</t>
        </is>
      </c>
      <c r="L1587" t="inlineStr">
        <is>
          <t>0</t>
        </is>
      </c>
      <c r="N1587" t="inlineStr">
        <is>
          <t>Washington, D.C. : The Nurses Association of the American College of Obstetricians and Gynecologists, 1981.</t>
        </is>
      </c>
      <c r="O1587" t="inlineStr">
        <is>
          <t>1981</t>
        </is>
      </c>
      <c r="P1587" t="inlineStr">
        <is>
          <t>2nd ed.</t>
        </is>
      </c>
      <c r="Q1587" t="inlineStr">
        <is>
          <t>eng</t>
        </is>
      </c>
      <c r="R1587" t="inlineStr">
        <is>
          <t>dcu</t>
        </is>
      </c>
      <c r="T1587" t="inlineStr">
        <is>
          <t xml:space="preserve">WY </t>
        </is>
      </c>
      <c r="U1587" t="n">
        <v>4</v>
      </c>
      <c r="V1587" t="n">
        <v>4</v>
      </c>
      <c r="W1587" t="inlineStr">
        <is>
          <t>2003-02-28</t>
        </is>
      </c>
      <c r="X1587" t="inlineStr">
        <is>
          <t>2003-02-28</t>
        </is>
      </c>
      <c r="Y1587" t="inlineStr">
        <is>
          <t>1987-12-23</t>
        </is>
      </c>
      <c r="Z1587" t="inlineStr">
        <is>
          <t>1987-12-23</t>
        </is>
      </c>
      <c r="AA1587" t="n">
        <v>39</v>
      </c>
      <c r="AB1587" t="n">
        <v>37</v>
      </c>
      <c r="AC1587" t="n">
        <v>79</v>
      </c>
      <c r="AD1587" t="n">
        <v>1</v>
      </c>
      <c r="AE1587" t="n">
        <v>2</v>
      </c>
      <c r="AF1587" t="n">
        <v>1</v>
      </c>
      <c r="AG1587" t="n">
        <v>1</v>
      </c>
      <c r="AH1587" t="n">
        <v>0</v>
      </c>
      <c r="AI1587" t="n">
        <v>0</v>
      </c>
      <c r="AJ1587" t="n">
        <v>0</v>
      </c>
      <c r="AK1587" t="n">
        <v>0</v>
      </c>
      <c r="AL1587" t="n">
        <v>1</v>
      </c>
      <c r="AM1587" t="n">
        <v>1</v>
      </c>
      <c r="AN1587" t="n">
        <v>0</v>
      </c>
      <c r="AO1587" t="n">
        <v>0</v>
      </c>
      <c r="AP1587" t="n">
        <v>0</v>
      </c>
      <c r="AQ1587" t="n">
        <v>0</v>
      </c>
      <c r="AR1587" t="inlineStr">
        <is>
          <t>No</t>
        </is>
      </c>
      <c r="AS1587" t="inlineStr">
        <is>
          <t>Yes</t>
        </is>
      </c>
      <c r="AT1587">
        <f>HYPERLINK("http://catalog.hathitrust.org/Record/000243840","HathiTrust Record")</f>
        <v/>
      </c>
      <c r="AU1587">
        <f>HYPERLINK("https://creighton-primo.hosted.exlibrisgroup.com/primo-explore/search?tab=default_tab&amp;search_scope=EVERYTHING&amp;vid=01CRU&amp;lang=en_US&amp;offset=0&amp;query=any,contains,991000921699702656","Catalog Record")</f>
        <v/>
      </c>
      <c r="AV1587">
        <f>HYPERLINK("http://www.worldcat.org/oclc/10350001","WorldCat Record")</f>
        <v/>
      </c>
      <c r="AW1587" t="inlineStr">
        <is>
          <t>375171631:eng</t>
        </is>
      </c>
      <c r="AX1587" t="inlineStr">
        <is>
          <t>10350001</t>
        </is>
      </c>
      <c r="AY1587" t="inlineStr">
        <is>
          <t>991000921699702656</t>
        </is>
      </c>
      <c r="AZ1587" t="inlineStr">
        <is>
          <t>991000921699702656</t>
        </is>
      </c>
      <c r="BA1587" t="inlineStr">
        <is>
          <t>2260676240002656</t>
        </is>
      </c>
      <c r="BB1587" t="inlineStr">
        <is>
          <t>BOOK</t>
        </is>
      </c>
      <c r="BE1587" t="inlineStr">
        <is>
          <t>30001000181521</t>
        </is>
      </c>
      <c r="BF1587" t="inlineStr">
        <is>
          <t>893376997</t>
        </is>
      </c>
    </row>
    <row r="1588">
      <c r="A1588" t="inlineStr">
        <is>
          <t>No</t>
        </is>
      </c>
      <c r="B1588" t="inlineStr">
        <is>
          <t>CUHSL</t>
        </is>
      </c>
      <c r="C1588" t="inlineStr">
        <is>
          <t>SHELVES</t>
        </is>
      </c>
      <c r="D1588" t="inlineStr">
        <is>
          <t>WY 157 Z66o 1984</t>
        </is>
      </c>
      <c r="E1588" t="inlineStr">
        <is>
          <t>0                      WY 0157000Z  66o         1984</t>
        </is>
      </c>
      <c r="F1588" t="inlineStr">
        <is>
          <t>Obstetric nursing / Erna Ziegel, Mecca S. Cranley.</t>
        </is>
      </c>
      <c r="H1588" t="inlineStr">
        <is>
          <t>No</t>
        </is>
      </c>
      <c r="I1588" t="inlineStr">
        <is>
          <t>1</t>
        </is>
      </c>
      <c r="J1588" t="inlineStr">
        <is>
          <t>No</t>
        </is>
      </c>
      <c r="K1588" t="inlineStr">
        <is>
          <t>No</t>
        </is>
      </c>
      <c r="L1588" t="inlineStr">
        <is>
          <t>0</t>
        </is>
      </c>
      <c r="M1588" t="inlineStr">
        <is>
          <t>Ziegel, Erna.</t>
        </is>
      </c>
      <c r="N1588" t="inlineStr">
        <is>
          <t>New York : Macmillan Pub. Co., c1984.</t>
        </is>
      </c>
      <c r="O1588" t="inlineStr">
        <is>
          <t>1984</t>
        </is>
      </c>
      <c r="P1588" t="inlineStr">
        <is>
          <t>8th ed.</t>
        </is>
      </c>
      <c r="Q1588" t="inlineStr">
        <is>
          <t>eng</t>
        </is>
      </c>
      <c r="R1588" t="inlineStr">
        <is>
          <t>xxu</t>
        </is>
      </c>
      <c r="T1588" t="inlineStr">
        <is>
          <t xml:space="preserve">WY </t>
        </is>
      </c>
      <c r="U1588" t="n">
        <v>2</v>
      </c>
      <c r="V1588" t="n">
        <v>2</v>
      </c>
      <c r="W1588" t="inlineStr">
        <is>
          <t>1995-03-19</t>
        </is>
      </c>
      <c r="X1588" t="inlineStr">
        <is>
          <t>1995-03-19</t>
        </is>
      </c>
      <c r="Y1588" t="inlineStr">
        <is>
          <t>1987-10-24</t>
        </is>
      </c>
      <c r="Z1588" t="inlineStr">
        <is>
          <t>1987-10-24</t>
        </is>
      </c>
      <c r="AA1588" t="n">
        <v>261</v>
      </c>
      <c r="AB1588" t="n">
        <v>211</v>
      </c>
      <c r="AC1588" t="n">
        <v>413</v>
      </c>
      <c r="AD1588" t="n">
        <v>2</v>
      </c>
      <c r="AE1588" t="n">
        <v>3</v>
      </c>
      <c r="AF1588" t="n">
        <v>4</v>
      </c>
      <c r="AG1588" t="n">
        <v>13</v>
      </c>
      <c r="AH1588" t="n">
        <v>2</v>
      </c>
      <c r="AI1588" t="n">
        <v>4</v>
      </c>
      <c r="AJ1588" t="n">
        <v>1</v>
      </c>
      <c r="AK1588" t="n">
        <v>3</v>
      </c>
      <c r="AL1588" t="n">
        <v>3</v>
      </c>
      <c r="AM1588" t="n">
        <v>9</v>
      </c>
      <c r="AN1588" t="n">
        <v>0</v>
      </c>
      <c r="AO1588" t="n">
        <v>1</v>
      </c>
      <c r="AP1588" t="n">
        <v>0</v>
      </c>
      <c r="AQ1588" t="n">
        <v>0</v>
      </c>
      <c r="AR1588" t="inlineStr">
        <is>
          <t>No</t>
        </is>
      </c>
      <c r="AS1588" t="inlineStr">
        <is>
          <t>Yes</t>
        </is>
      </c>
      <c r="AT1588">
        <f>HYPERLINK("http://catalog.hathitrust.org/Record/000166589","HathiTrust Record")</f>
        <v/>
      </c>
      <c r="AU1588">
        <f>HYPERLINK("https://creighton-primo.hosted.exlibrisgroup.com/primo-explore/search?tab=default_tab&amp;search_scope=EVERYTHING&amp;vid=01CRU&amp;lang=en_US&amp;offset=0&amp;query=any,contains,991000732799702656","Catalog Record")</f>
        <v/>
      </c>
      <c r="AV1588">
        <f>HYPERLINK("http://www.worldcat.org/oclc/10230919","WorldCat Record")</f>
        <v/>
      </c>
      <c r="AW1588" t="inlineStr">
        <is>
          <t>2488215:eng</t>
        </is>
      </c>
      <c r="AX1588" t="inlineStr">
        <is>
          <t>10230919</t>
        </is>
      </c>
      <c r="AY1588" t="inlineStr">
        <is>
          <t>991000732799702656</t>
        </is>
      </c>
      <c r="AZ1588" t="inlineStr">
        <is>
          <t>991000732799702656</t>
        </is>
      </c>
      <c r="BA1588" t="inlineStr">
        <is>
          <t>2270692650002656</t>
        </is>
      </c>
      <c r="BB1588" t="inlineStr">
        <is>
          <t>BOOK</t>
        </is>
      </c>
      <c r="BD1588" t="inlineStr">
        <is>
          <t>9780024315700</t>
        </is>
      </c>
      <c r="BE1588" t="inlineStr">
        <is>
          <t>30001000040776</t>
        </is>
      </c>
      <c r="BF1588" t="inlineStr">
        <is>
          <t>893735448</t>
        </is>
      </c>
    </row>
    <row r="1589">
      <c r="A1589" t="inlineStr">
        <is>
          <t>No</t>
        </is>
      </c>
      <c r="B1589" t="inlineStr">
        <is>
          <t>CUHSL</t>
        </is>
      </c>
      <c r="C1589" t="inlineStr">
        <is>
          <t>SHELVES</t>
        </is>
      </c>
      <c r="D1589" t="inlineStr">
        <is>
          <t>WY157.3 A963 1999</t>
        </is>
      </c>
      <c r="E1589" t="inlineStr">
        <is>
          <t>0                      WY 0157300A  963         1999</t>
        </is>
      </c>
      <c r="F1589" t="inlineStr">
        <is>
          <t>High risk and critical care intrapartum nursing / [edited by] Lisa K. Mandeville, Nan H. Troiano.</t>
        </is>
      </c>
      <c r="H1589" t="inlineStr">
        <is>
          <t>No</t>
        </is>
      </c>
      <c r="I1589" t="inlineStr">
        <is>
          <t>1</t>
        </is>
      </c>
      <c r="J1589" t="inlineStr">
        <is>
          <t>No</t>
        </is>
      </c>
      <c r="K1589" t="inlineStr">
        <is>
          <t>No</t>
        </is>
      </c>
      <c r="L1589" t="inlineStr">
        <is>
          <t>0</t>
        </is>
      </c>
      <c r="N1589" t="inlineStr">
        <is>
          <t>Philadelphia : Lippincott, c1999.</t>
        </is>
      </c>
      <c r="O1589" t="inlineStr">
        <is>
          <t>1999</t>
        </is>
      </c>
      <c r="P1589" t="inlineStr">
        <is>
          <t>2nd ed.</t>
        </is>
      </c>
      <c r="Q1589" t="inlineStr">
        <is>
          <t>eng</t>
        </is>
      </c>
      <c r="R1589" t="inlineStr">
        <is>
          <t>pau</t>
        </is>
      </c>
      <c r="T1589" t="inlineStr">
        <is>
          <t xml:space="preserve">WY </t>
        </is>
      </c>
      <c r="U1589" t="n">
        <v>1</v>
      </c>
      <c r="V1589" t="n">
        <v>1</v>
      </c>
      <c r="W1589" t="inlineStr">
        <is>
          <t>2003-05-27</t>
        </is>
      </c>
      <c r="X1589" t="inlineStr">
        <is>
          <t>2003-05-27</t>
        </is>
      </c>
      <c r="Y1589" t="inlineStr">
        <is>
          <t>2002-06-27</t>
        </is>
      </c>
      <c r="Z1589" t="inlineStr">
        <is>
          <t>2002-06-27</t>
        </is>
      </c>
      <c r="AA1589" t="n">
        <v>329</v>
      </c>
      <c r="AB1589" t="n">
        <v>268</v>
      </c>
      <c r="AC1589" t="n">
        <v>268</v>
      </c>
      <c r="AD1589" t="n">
        <v>2</v>
      </c>
      <c r="AE1589" t="n">
        <v>2</v>
      </c>
      <c r="AF1589" t="n">
        <v>10</v>
      </c>
      <c r="AG1589" t="n">
        <v>10</v>
      </c>
      <c r="AH1589" t="n">
        <v>4</v>
      </c>
      <c r="AI1589" t="n">
        <v>4</v>
      </c>
      <c r="AJ1589" t="n">
        <v>2</v>
      </c>
      <c r="AK1589" t="n">
        <v>2</v>
      </c>
      <c r="AL1589" t="n">
        <v>4</v>
      </c>
      <c r="AM1589" t="n">
        <v>4</v>
      </c>
      <c r="AN1589" t="n">
        <v>1</v>
      </c>
      <c r="AO1589" t="n">
        <v>1</v>
      </c>
      <c r="AP1589" t="n">
        <v>0</v>
      </c>
      <c r="AQ1589" t="n">
        <v>0</v>
      </c>
      <c r="AR1589" t="inlineStr">
        <is>
          <t>No</t>
        </is>
      </c>
      <c r="AS1589" t="inlineStr">
        <is>
          <t>No</t>
        </is>
      </c>
      <c r="AU1589">
        <f>HYPERLINK("https://creighton-primo.hosted.exlibrisgroup.com/primo-explore/search?tab=default_tab&amp;search_scope=EVERYTHING&amp;vid=01CRU&amp;lang=en_US&amp;offset=0&amp;query=any,contains,991000319059702656","Catalog Record")</f>
        <v/>
      </c>
      <c r="AV1589">
        <f>HYPERLINK("http://www.worldcat.org/oclc/39236380","WorldCat Record")</f>
        <v/>
      </c>
      <c r="AW1589" t="inlineStr">
        <is>
          <t>477647727:eng</t>
        </is>
      </c>
      <c r="AX1589" t="inlineStr">
        <is>
          <t>39236380</t>
        </is>
      </c>
      <c r="AY1589" t="inlineStr">
        <is>
          <t>991000319059702656</t>
        </is>
      </c>
      <c r="AZ1589" t="inlineStr">
        <is>
          <t>991000319059702656</t>
        </is>
      </c>
      <c r="BA1589" t="inlineStr">
        <is>
          <t>2258719670002656</t>
        </is>
      </c>
      <c r="BB1589" t="inlineStr">
        <is>
          <t>BOOK</t>
        </is>
      </c>
      <c r="BD1589" t="inlineStr">
        <is>
          <t>9780397554676</t>
        </is>
      </c>
      <c r="BE1589" t="inlineStr">
        <is>
          <t>30001004442408</t>
        </is>
      </c>
      <c r="BF1589" t="inlineStr">
        <is>
          <t>893122969</t>
        </is>
      </c>
    </row>
    <row r="1590">
      <c r="A1590" t="inlineStr">
        <is>
          <t>No</t>
        </is>
      </c>
      <c r="B1590" t="inlineStr">
        <is>
          <t>CUHSL</t>
        </is>
      </c>
      <c r="C1590" t="inlineStr">
        <is>
          <t>SHELVES</t>
        </is>
      </c>
      <c r="D1590" t="inlineStr">
        <is>
          <t>WY 157.3 A966 1996</t>
        </is>
      </c>
      <c r="E1590" t="inlineStr">
        <is>
          <t>0                      WY 0157300A  966         1996</t>
        </is>
      </c>
      <c r="F1590" t="inlineStr">
        <is>
          <t>Perinatal nursing / [edited by] Kathleen Rice Simpson, Patricia A. Creehan.</t>
        </is>
      </c>
      <c r="H1590" t="inlineStr">
        <is>
          <t>No</t>
        </is>
      </c>
      <c r="I1590" t="inlineStr">
        <is>
          <t>1</t>
        </is>
      </c>
      <c r="J1590" t="inlineStr">
        <is>
          <t>No</t>
        </is>
      </c>
      <c r="K1590" t="inlineStr">
        <is>
          <t>Yes</t>
        </is>
      </c>
      <c r="L1590" t="inlineStr">
        <is>
          <t>0</t>
        </is>
      </c>
      <c r="N1590" t="inlineStr">
        <is>
          <t>Philadelphia : Lippincott-Raven, c1996.</t>
        </is>
      </c>
      <c r="O1590" t="inlineStr">
        <is>
          <t>1996</t>
        </is>
      </c>
      <c r="Q1590" t="inlineStr">
        <is>
          <t>eng</t>
        </is>
      </c>
      <c r="R1590" t="inlineStr">
        <is>
          <t>pau</t>
        </is>
      </c>
      <c r="T1590" t="inlineStr">
        <is>
          <t xml:space="preserve">WY </t>
        </is>
      </c>
      <c r="U1590" t="n">
        <v>1</v>
      </c>
      <c r="V1590" t="n">
        <v>1</v>
      </c>
      <c r="W1590" t="inlineStr">
        <is>
          <t>2003-02-28</t>
        </is>
      </c>
      <c r="X1590" t="inlineStr">
        <is>
          <t>2003-02-28</t>
        </is>
      </c>
      <c r="Y1590" t="inlineStr">
        <is>
          <t>2002-06-25</t>
        </is>
      </c>
      <c r="Z1590" t="inlineStr">
        <is>
          <t>2002-06-25</t>
        </is>
      </c>
      <c r="AA1590" t="n">
        <v>191</v>
      </c>
      <c r="AB1590" t="n">
        <v>156</v>
      </c>
      <c r="AC1590" t="n">
        <v>1012</v>
      </c>
      <c r="AD1590" t="n">
        <v>2</v>
      </c>
      <c r="AE1590" t="n">
        <v>8</v>
      </c>
      <c r="AF1590" t="n">
        <v>5</v>
      </c>
      <c r="AG1590" t="n">
        <v>39</v>
      </c>
      <c r="AH1590" t="n">
        <v>4</v>
      </c>
      <c r="AI1590" t="n">
        <v>15</v>
      </c>
      <c r="AJ1590" t="n">
        <v>0</v>
      </c>
      <c r="AK1590" t="n">
        <v>8</v>
      </c>
      <c r="AL1590" t="n">
        <v>2</v>
      </c>
      <c r="AM1590" t="n">
        <v>15</v>
      </c>
      <c r="AN1590" t="n">
        <v>0</v>
      </c>
      <c r="AO1590" t="n">
        <v>6</v>
      </c>
      <c r="AP1590" t="n">
        <v>0</v>
      </c>
      <c r="AQ1590" t="n">
        <v>1</v>
      </c>
      <c r="AR1590" t="inlineStr">
        <is>
          <t>No</t>
        </is>
      </c>
      <c r="AS1590" t="inlineStr">
        <is>
          <t>Yes</t>
        </is>
      </c>
      <c r="AT1590">
        <f>HYPERLINK("http://catalog.hathitrust.org/Record/003036562","HathiTrust Record")</f>
        <v/>
      </c>
      <c r="AU1590">
        <f>HYPERLINK("https://creighton-primo.hosted.exlibrisgroup.com/primo-explore/search?tab=default_tab&amp;search_scope=EVERYTHING&amp;vid=01CRU&amp;lang=en_US&amp;offset=0&amp;query=any,contains,991000317999702656","Catalog Record")</f>
        <v/>
      </c>
      <c r="AV1590">
        <f>HYPERLINK("http://www.worldcat.org/oclc/33282991","WorldCat Record")</f>
        <v/>
      </c>
      <c r="AW1590" t="inlineStr">
        <is>
          <t>369303516:eng</t>
        </is>
      </c>
      <c r="AX1590" t="inlineStr">
        <is>
          <t>33282991</t>
        </is>
      </c>
      <c r="AY1590" t="inlineStr">
        <is>
          <t>991000317999702656</t>
        </is>
      </c>
      <c r="AZ1590" t="inlineStr">
        <is>
          <t>991000317999702656</t>
        </is>
      </c>
      <c r="BA1590" t="inlineStr">
        <is>
          <t>2267656680002656</t>
        </is>
      </c>
      <c r="BB1590" t="inlineStr">
        <is>
          <t>BOOK</t>
        </is>
      </c>
      <c r="BD1590" t="inlineStr">
        <is>
          <t>9780397551347</t>
        </is>
      </c>
      <c r="BE1590" t="inlineStr">
        <is>
          <t>30001004443729</t>
        </is>
      </c>
      <c r="BF1590" t="inlineStr">
        <is>
          <t>893354198</t>
        </is>
      </c>
    </row>
    <row r="1591">
      <c r="A1591" t="inlineStr">
        <is>
          <t>No</t>
        </is>
      </c>
      <c r="B1591" t="inlineStr">
        <is>
          <t>CUHSL</t>
        </is>
      </c>
      <c r="C1591" t="inlineStr">
        <is>
          <t>SHELVES</t>
        </is>
      </c>
      <c r="D1591" t="inlineStr">
        <is>
          <t>WY 157.3 A966 2001</t>
        </is>
      </c>
      <c r="E1591" t="inlineStr">
        <is>
          <t>0                      WY 0157300A  966         2001</t>
        </is>
      </c>
      <c r="F1591" t="inlineStr">
        <is>
          <t>Perinatal nursing / Kathleen Rice Simpson, Patricia A. Creehan.</t>
        </is>
      </c>
      <c r="H1591" t="inlineStr">
        <is>
          <t>No</t>
        </is>
      </c>
      <c r="I1591" t="inlineStr">
        <is>
          <t>1</t>
        </is>
      </c>
      <c r="J1591" t="inlineStr">
        <is>
          <t>No</t>
        </is>
      </c>
      <c r="K1591" t="inlineStr">
        <is>
          <t>Yes</t>
        </is>
      </c>
      <c r="L1591" t="inlineStr">
        <is>
          <t>0</t>
        </is>
      </c>
      <c r="M1591" t="inlineStr">
        <is>
          <t>Simpson, Kathleen Rice.</t>
        </is>
      </c>
      <c r="N1591" t="inlineStr">
        <is>
          <t>Philadelphia, PA : Lippincott Williams &amp; Wilkins, c2001.</t>
        </is>
      </c>
      <c r="O1591" t="inlineStr">
        <is>
          <t>2001</t>
        </is>
      </c>
      <c r="P1591" t="inlineStr">
        <is>
          <t>2nd ed.</t>
        </is>
      </c>
      <c r="Q1591" t="inlineStr">
        <is>
          <t>eng</t>
        </is>
      </c>
      <c r="R1591" t="inlineStr">
        <is>
          <t>pau</t>
        </is>
      </c>
      <c r="T1591" t="inlineStr">
        <is>
          <t xml:space="preserve">WY </t>
        </is>
      </c>
      <c r="U1591" t="n">
        <v>0</v>
      </c>
      <c r="V1591" t="n">
        <v>0</v>
      </c>
      <c r="W1591" t="inlineStr">
        <is>
          <t>2006-11-01</t>
        </is>
      </c>
      <c r="X1591" t="inlineStr">
        <is>
          <t>2006-11-01</t>
        </is>
      </c>
      <c r="Y1591" t="inlineStr">
        <is>
          <t>2006-10-27</t>
        </is>
      </c>
      <c r="Z1591" t="inlineStr">
        <is>
          <t>2006-10-27</t>
        </is>
      </c>
      <c r="AA1591" t="n">
        <v>237</v>
      </c>
      <c r="AB1591" t="n">
        <v>196</v>
      </c>
      <c r="AC1591" t="n">
        <v>1012</v>
      </c>
      <c r="AD1591" t="n">
        <v>2</v>
      </c>
      <c r="AE1591" t="n">
        <v>8</v>
      </c>
      <c r="AF1591" t="n">
        <v>8</v>
      </c>
      <c r="AG1591" t="n">
        <v>39</v>
      </c>
      <c r="AH1591" t="n">
        <v>3</v>
      </c>
      <c r="AI1591" t="n">
        <v>15</v>
      </c>
      <c r="AJ1591" t="n">
        <v>1</v>
      </c>
      <c r="AK1591" t="n">
        <v>8</v>
      </c>
      <c r="AL1591" t="n">
        <v>3</v>
      </c>
      <c r="AM1591" t="n">
        <v>15</v>
      </c>
      <c r="AN1591" t="n">
        <v>1</v>
      </c>
      <c r="AO1591" t="n">
        <v>6</v>
      </c>
      <c r="AP1591" t="n">
        <v>0</v>
      </c>
      <c r="AQ1591" t="n">
        <v>1</v>
      </c>
      <c r="AR1591" t="inlineStr">
        <is>
          <t>No</t>
        </is>
      </c>
      <c r="AS1591" t="inlineStr">
        <is>
          <t>No</t>
        </is>
      </c>
      <c r="AU1591">
        <f>HYPERLINK("https://creighton-primo.hosted.exlibrisgroup.com/primo-explore/search?tab=default_tab&amp;search_scope=EVERYTHING&amp;vid=01CRU&amp;lang=en_US&amp;offset=0&amp;query=any,contains,991001735619702656","Catalog Record")</f>
        <v/>
      </c>
      <c r="AV1591">
        <f>HYPERLINK("http://www.worldcat.org/oclc/45460917","WorldCat Record")</f>
        <v/>
      </c>
      <c r="AW1591" t="inlineStr">
        <is>
          <t>369303516:eng</t>
        </is>
      </c>
      <c r="AX1591" t="inlineStr">
        <is>
          <t>45460917</t>
        </is>
      </c>
      <c r="AY1591" t="inlineStr">
        <is>
          <t>991001735619702656</t>
        </is>
      </c>
      <c r="AZ1591" t="inlineStr">
        <is>
          <t>991001735619702656</t>
        </is>
      </c>
      <c r="BA1591" t="inlineStr">
        <is>
          <t>2270455020002656</t>
        </is>
      </c>
      <c r="BB1591" t="inlineStr">
        <is>
          <t>BOOK</t>
        </is>
      </c>
      <c r="BD1591" t="inlineStr">
        <is>
          <t>9780781725101</t>
        </is>
      </c>
      <c r="BE1591" t="inlineStr">
        <is>
          <t>30001005176476</t>
        </is>
      </c>
      <c r="BF1591" t="inlineStr">
        <is>
          <t>893826944</t>
        </is>
      </c>
    </row>
    <row r="1592">
      <c r="A1592" t="inlineStr">
        <is>
          <t>No</t>
        </is>
      </c>
      <c r="B1592" t="inlineStr">
        <is>
          <t>CUHSL</t>
        </is>
      </c>
      <c r="C1592" t="inlineStr">
        <is>
          <t>SHELVES</t>
        </is>
      </c>
      <c r="D1592" t="inlineStr">
        <is>
          <t>WY 157.3 B663m 1989</t>
        </is>
      </c>
      <c r="E1592" t="inlineStr">
        <is>
          <t>0                      WY 0157300B  663m        1989</t>
        </is>
      </c>
      <c r="F1592" t="inlineStr">
        <is>
          <t>Maternity and gynecologic care : the nurse and the family.</t>
        </is>
      </c>
      <c r="H1592" t="inlineStr">
        <is>
          <t>No</t>
        </is>
      </c>
      <c r="I1592" t="inlineStr">
        <is>
          <t>1</t>
        </is>
      </c>
      <c r="J1592" t="inlineStr">
        <is>
          <t>No</t>
        </is>
      </c>
      <c r="K1592" t="inlineStr">
        <is>
          <t>Yes</t>
        </is>
      </c>
      <c r="L1592" t="inlineStr">
        <is>
          <t>0</t>
        </is>
      </c>
      <c r="M1592" t="inlineStr">
        <is>
          <t>Bobak, Irene M.</t>
        </is>
      </c>
      <c r="N1592" t="inlineStr">
        <is>
          <t>St. Louis : Mosby, c1989.</t>
        </is>
      </c>
      <c r="O1592" t="inlineStr">
        <is>
          <t>1989</t>
        </is>
      </c>
      <c r="P1592" t="inlineStr">
        <is>
          <t>4th ed. / Irene M. Bobak, Margaret Duncan Jensen, Marianne K. Zalar.</t>
        </is>
      </c>
      <c r="Q1592" t="inlineStr">
        <is>
          <t>eng</t>
        </is>
      </c>
      <c r="R1592" t="inlineStr">
        <is>
          <t>xxu</t>
        </is>
      </c>
      <c r="T1592" t="inlineStr">
        <is>
          <t xml:space="preserve">WY </t>
        </is>
      </c>
      <c r="U1592" t="n">
        <v>15</v>
      </c>
      <c r="V1592" t="n">
        <v>15</v>
      </c>
      <c r="W1592" t="inlineStr">
        <is>
          <t>1996-01-27</t>
        </is>
      </c>
      <c r="X1592" t="inlineStr">
        <is>
          <t>1996-01-27</t>
        </is>
      </c>
      <c r="Y1592" t="inlineStr">
        <is>
          <t>1989-06-13</t>
        </is>
      </c>
      <c r="Z1592" t="inlineStr">
        <is>
          <t>1989-06-13</t>
        </is>
      </c>
      <c r="AA1592" t="n">
        <v>301</v>
      </c>
      <c r="AB1592" t="n">
        <v>242</v>
      </c>
      <c r="AC1592" t="n">
        <v>516</v>
      </c>
      <c r="AD1592" t="n">
        <v>2</v>
      </c>
      <c r="AE1592" t="n">
        <v>3</v>
      </c>
      <c r="AF1592" t="n">
        <v>7</v>
      </c>
      <c r="AG1592" t="n">
        <v>18</v>
      </c>
      <c r="AH1592" t="n">
        <v>3</v>
      </c>
      <c r="AI1592" t="n">
        <v>9</v>
      </c>
      <c r="AJ1592" t="n">
        <v>2</v>
      </c>
      <c r="AK1592" t="n">
        <v>5</v>
      </c>
      <c r="AL1592" t="n">
        <v>4</v>
      </c>
      <c r="AM1592" t="n">
        <v>7</v>
      </c>
      <c r="AN1592" t="n">
        <v>0</v>
      </c>
      <c r="AO1592" t="n">
        <v>1</v>
      </c>
      <c r="AP1592" t="n">
        <v>0</v>
      </c>
      <c r="AQ1592" t="n">
        <v>0</v>
      </c>
      <c r="AR1592" t="inlineStr">
        <is>
          <t>No</t>
        </is>
      </c>
      <c r="AS1592" t="inlineStr">
        <is>
          <t>Yes</t>
        </is>
      </c>
      <c r="AT1592">
        <f>HYPERLINK("http://catalog.hathitrust.org/Record/004439319","HathiTrust Record")</f>
        <v/>
      </c>
      <c r="AU1592">
        <f>HYPERLINK("https://creighton-primo.hosted.exlibrisgroup.com/primo-explore/search?tab=default_tab&amp;search_scope=EVERYTHING&amp;vid=01CRU&amp;lang=en_US&amp;offset=0&amp;query=any,contains,991001251139702656","Catalog Record")</f>
        <v/>
      </c>
      <c r="AV1592">
        <f>HYPERLINK("http://www.worldcat.org/oclc/18417273","WorldCat Record")</f>
        <v/>
      </c>
      <c r="AW1592" t="inlineStr">
        <is>
          <t>894357717:eng</t>
        </is>
      </c>
      <c r="AX1592" t="inlineStr">
        <is>
          <t>18417273</t>
        </is>
      </c>
      <c r="AY1592" t="inlineStr">
        <is>
          <t>991001251139702656</t>
        </is>
      </c>
      <c r="AZ1592" t="inlineStr">
        <is>
          <t>991001251139702656</t>
        </is>
      </c>
      <c r="BA1592" t="inlineStr">
        <is>
          <t>2257553100002656</t>
        </is>
      </c>
      <c r="BB1592" t="inlineStr">
        <is>
          <t>BOOK</t>
        </is>
      </c>
      <c r="BD1592" t="inlineStr">
        <is>
          <t>9780801604690</t>
        </is>
      </c>
      <c r="BE1592" t="inlineStr">
        <is>
          <t>30001001678921</t>
        </is>
      </c>
      <c r="BF1592" t="inlineStr">
        <is>
          <t>893377159</t>
        </is>
      </c>
    </row>
    <row r="1593">
      <c r="A1593" t="inlineStr">
        <is>
          <t>No</t>
        </is>
      </c>
      <c r="B1593" t="inlineStr">
        <is>
          <t>CUHSL</t>
        </is>
      </c>
      <c r="C1593" t="inlineStr">
        <is>
          <t>SHELVES</t>
        </is>
      </c>
      <c r="D1593" t="inlineStr">
        <is>
          <t>WY 157.3 B972m 1997</t>
        </is>
      </c>
      <c r="E1593" t="inlineStr">
        <is>
          <t>0                      WY 0157300B  972m        1997</t>
        </is>
      </c>
      <c r="F1593" t="inlineStr">
        <is>
          <t>Maternity nursing : an introductory text / Arlene Burroughs.</t>
        </is>
      </c>
      <c r="H1593" t="inlineStr">
        <is>
          <t>No</t>
        </is>
      </c>
      <c r="I1593" t="inlineStr">
        <is>
          <t>1</t>
        </is>
      </c>
      <c r="J1593" t="inlineStr">
        <is>
          <t>No</t>
        </is>
      </c>
      <c r="K1593" t="inlineStr">
        <is>
          <t>No</t>
        </is>
      </c>
      <c r="L1593" t="inlineStr">
        <is>
          <t>0</t>
        </is>
      </c>
      <c r="M1593" t="inlineStr">
        <is>
          <t>Burroughs, Arlene.</t>
        </is>
      </c>
      <c r="N1593" t="inlineStr">
        <is>
          <t>Philadelphia : W.B. Saunders, c1997.</t>
        </is>
      </c>
      <c r="O1593" t="inlineStr">
        <is>
          <t>1997</t>
        </is>
      </c>
      <c r="P1593" t="inlineStr">
        <is>
          <t>7th ed.</t>
        </is>
      </c>
      <c r="Q1593" t="inlineStr">
        <is>
          <t>eng</t>
        </is>
      </c>
      <c r="R1593" t="inlineStr">
        <is>
          <t>pau</t>
        </is>
      </c>
      <c r="T1593" t="inlineStr">
        <is>
          <t xml:space="preserve">WY </t>
        </is>
      </c>
      <c r="U1593" t="n">
        <v>7</v>
      </c>
      <c r="V1593" t="n">
        <v>7</v>
      </c>
      <c r="W1593" t="inlineStr">
        <is>
          <t>2002-11-15</t>
        </is>
      </c>
      <c r="X1593" t="inlineStr">
        <is>
          <t>2002-11-15</t>
        </is>
      </c>
      <c r="Y1593" t="inlineStr">
        <is>
          <t>1997-06-19</t>
        </is>
      </c>
      <c r="Z1593" t="inlineStr">
        <is>
          <t>1997-06-19</t>
        </is>
      </c>
      <c r="AA1593" t="n">
        <v>210</v>
      </c>
      <c r="AB1593" t="n">
        <v>159</v>
      </c>
      <c r="AC1593" t="n">
        <v>329</v>
      </c>
      <c r="AD1593" t="n">
        <v>1</v>
      </c>
      <c r="AE1593" t="n">
        <v>1</v>
      </c>
      <c r="AF1593" t="n">
        <v>2</v>
      </c>
      <c r="AG1593" t="n">
        <v>10</v>
      </c>
      <c r="AH1593" t="n">
        <v>1</v>
      </c>
      <c r="AI1593" t="n">
        <v>4</v>
      </c>
      <c r="AJ1593" t="n">
        <v>0</v>
      </c>
      <c r="AK1593" t="n">
        <v>3</v>
      </c>
      <c r="AL1593" t="n">
        <v>1</v>
      </c>
      <c r="AM1593" t="n">
        <v>4</v>
      </c>
      <c r="AN1593" t="n">
        <v>0</v>
      </c>
      <c r="AO1593" t="n">
        <v>0</v>
      </c>
      <c r="AP1593" t="n">
        <v>0</v>
      </c>
      <c r="AQ1593" t="n">
        <v>0</v>
      </c>
      <c r="AR1593" t="inlineStr">
        <is>
          <t>No</t>
        </is>
      </c>
      <c r="AS1593" t="inlineStr">
        <is>
          <t>Yes</t>
        </is>
      </c>
      <c r="AT1593">
        <f>HYPERLINK("http://catalog.hathitrust.org/Record/003165699","HathiTrust Record")</f>
        <v/>
      </c>
      <c r="AU1593">
        <f>HYPERLINK("https://creighton-primo.hosted.exlibrisgroup.com/primo-explore/search?tab=default_tab&amp;search_scope=EVERYTHING&amp;vid=01CRU&amp;lang=en_US&amp;offset=0&amp;query=any,contains,991001254419702656","Catalog Record")</f>
        <v/>
      </c>
      <c r="AV1593">
        <f>HYPERLINK("http://www.worldcat.org/oclc/36430926","WorldCat Record")</f>
        <v/>
      </c>
      <c r="AW1593" t="inlineStr">
        <is>
          <t>5218321918:eng</t>
        </is>
      </c>
      <c r="AX1593" t="inlineStr">
        <is>
          <t>36430926</t>
        </is>
      </c>
      <c r="AY1593" t="inlineStr">
        <is>
          <t>991001254419702656</t>
        </is>
      </c>
      <c r="AZ1593" t="inlineStr">
        <is>
          <t>991001254419702656</t>
        </is>
      </c>
      <c r="BA1593" t="inlineStr">
        <is>
          <t>2267840020002656</t>
        </is>
      </c>
      <c r="BB1593" t="inlineStr">
        <is>
          <t>BOOK</t>
        </is>
      </c>
      <c r="BD1593" t="inlineStr">
        <is>
          <t>9780721624730</t>
        </is>
      </c>
      <c r="BE1593" t="inlineStr">
        <is>
          <t>30001003683804</t>
        </is>
      </c>
      <c r="BF1593" t="inlineStr">
        <is>
          <t>893834617</t>
        </is>
      </c>
    </row>
    <row r="1594">
      <c r="A1594" t="inlineStr">
        <is>
          <t>No</t>
        </is>
      </c>
      <c r="B1594" t="inlineStr">
        <is>
          <t>CUHSL</t>
        </is>
      </c>
      <c r="C1594" t="inlineStr">
        <is>
          <t>SHELVES</t>
        </is>
      </c>
      <c r="D1594" t="inlineStr">
        <is>
          <t>WY 157.3 C678m 1991</t>
        </is>
      </c>
      <c r="E1594" t="inlineStr">
        <is>
          <t>0                      WY 0157300C  678m        1991</t>
        </is>
      </c>
      <c r="F1594" t="inlineStr">
        <is>
          <t>Maternal, neonatal, and women's health nursing / Susan M. Cohen, Carole Ann Kenner, Andrea O. Hollingsworth.</t>
        </is>
      </c>
      <c r="H1594" t="inlineStr">
        <is>
          <t>No</t>
        </is>
      </c>
      <c r="I1594" t="inlineStr">
        <is>
          <t>1</t>
        </is>
      </c>
      <c r="J1594" t="inlineStr">
        <is>
          <t>No</t>
        </is>
      </c>
      <c r="K1594" t="inlineStr">
        <is>
          <t>No</t>
        </is>
      </c>
      <c r="L1594" t="inlineStr">
        <is>
          <t>0</t>
        </is>
      </c>
      <c r="M1594" t="inlineStr">
        <is>
          <t>Cohen, Susan M.</t>
        </is>
      </c>
      <c r="N1594" t="inlineStr">
        <is>
          <t>Springhouse, Pa : Springhouse Corp., c1991.</t>
        </is>
      </c>
      <c r="O1594" t="inlineStr">
        <is>
          <t>1991</t>
        </is>
      </c>
      <c r="Q1594" t="inlineStr">
        <is>
          <t>eng</t>
        </is>
      </c>
      <c r="R1594" t="inlineStr">
        <is>
          <t>pau</t>
        </is>
      </c>
      <c r="T1594" t="inlineStr">
        <is>
          <t xml:space="preserve">WY </t>
        </is>
      </c>
      <c r="U1594" t="n">
        <v>17</v>
      </c>
      <c r="V1594" t="n">
        <v>17</v>
      </c>
      <c r="W1594" t="inlineStr">
        <is>
          <t>2007-09-12</t>
        </is>
      </c>
      <c r="X1594" t="inlineStr">
        <is>
          <t>2007-09-12</t>
        </is>
      </c>
      <c r="Y1594" t="inlineStr">
        <is>
          <t>1993-03-26</t>
        </is>
      </c>
      <c r="Z1594" t="inlineStr">
        <is>
          <t>1993-03-26</t>
        </is>
      </c>
      <c r="AA1594" t="n">
        <v>249</v>
      </c>
      <c r="AB1594" t="n">
        <v>202</v>
      </c>
      <c r="AC1594" t="n">
        <v>202</v>
      </c>
      <c r="AD1594" t="n">
        <v>2</v>
      </c>
      <c r="AE1594" t="n">
        <v>2</v>
      </c>
      <c r="AF1594" t="n">
        <v>9</v>
      </c>
      <c r="AG1594" t="n">
        <v>9</v>
      </c>
      <c r="AH1594" t="n">
        <v>3</v>
      </c>
      <c r="AI1594" t="n">
        <v>3</v>
      </c>
      <c r="AJ1594" t="n">
        <v>2</v>
      </c>
      <c r="AK1594" t="n">
        <v>2</v>
      </c>
      <c r="AL1594" t="n">
        <v>7</v>
      </c>
      <c r="AM1594" t="n">
        <v>7</v>
      </c>
      <c r="AN1594" t="n">
        <v>0</v>
      </c>
      <c r="AO1594" t="n">
        <v>0</v>
      </c>
      <c r="AP1594" t="n">
        <v>0</v>
      </c>
      <c r="AQ1594" t="n">
        <v>0</v>
      </c>
      <c r="AR1594" t="inlineStr">
        <is>
          <t>No</t>
        </is>
      </c>
      <c r="AS1594" t="inlineStr">
        <is>
          <t>No</t>
        </is>
      </c>
      <c r="AU1594">
        <f>HYPERLINK("https://creighton-primo.hosted.exlibrisgroup.com/primo-explore/search?tab=default_tab&amp;search_scope=EVERYTHING&amp;vid=01CRU&amp;lang=en_US&amp;offset=0&amp;query=any,contains,991001475589702656","Catalog Record")</f>
        <v/>
      </c>
      <c r="AV1594">
        <f>HYPERLINK("http://www.worldcat.org/oclc/22859618","WorldCat Record")</f>
        <v/>
      </c>
      <c r="AW1594" t="inlineStr">
        <is>
          <t>24060959:eng</t>
        </is>
      </c>
      <c r="AX1594" t="inlineStr">
        <is>
          <t>22859618</t>
        </is>
      </c>
      <c r="AY1594" t="inlineStr">
        <is>
          <t>991001475589702656</t>
        </is>
      </c>
      <c r="AZ1594" t="inlineStr">
        <is>
          <t>991001475589702656</t>
        </is>
      </c>
      <c r="BA1594" t="inlineStr">
        <is>
          <t>2259317150002656</t>
        </is>
      </c>
      <c r="BB1594" t="inlineStr">
        <is>
          <t>BOOK</t>
        </is>
      </c>
      <c r="BD1594" t="inlineStr">
        <is>
          <t>9780874342581</t>
        </is>
      </c>
      <c r="BE1594" t="inlineStr">
        <is>
          <t>30001002563353</t>
        </is>
      </c>
      <c r="BF1594" t="inlineStr">
        <is>
          <t>893633084</t>
        </is>
      </c>
    </row>
    <row r="1595">
      <c r="A1595" t="inlineStr">
        <is>
          <t>No</t>
        </is>
      </c>
      <c r="B1595" t="inlineStr">
        <is>
          <t>CUHSL</t>
        </is>
      </c>
      <c r="C1595" t="inlineStr">
        <is>
          <t>SHELVES</t>
        </is>
      </c>
      <c r="D1595" t="inlineStr">
        <is>
          <t>WY 157.3 C737 1998</t>
        </is>
      </c>
      <c r="E1595" t="inlineStr">
        <is>
          <t>0                      WY 0157300C  737         1998</t>
        </is>
      </c>
      <c r="F1595" t="inlineStr">
        <is>
          <t>Comprehensive neonatal nursing : a physiologic perspective / [edited by] Carole Kenner, Judy Wright Lott, Ann Applewhite Flandermeyer.</t>
        </is>
      </c>
      <c r="H1595" t="inlineStr">
        <is>
          <t>No</t>
        </is>
      </c>
      <c r="I1595" t="inlineStr">
        <is>
          <t>1</t>
        </is>
      </c>
      <c r="J1595" t="inlineStr">
        <is>
          <t>No</t>
        </is>
      </c>
      <c r="K1595" t="inlineStr">
        <is>
          <t>Yes</t>
        </is>
      </c>
      <c r="L1595" t="inlineStr">
        <is>
          <t>0</t>
        </is>
      </c>
      <c r="N1595" t="inlineStr">
        <is>
          <t>Philadelphia : W.B. Saunders, c1998.</t>
        </is>
      </c>
      <c r="O1595" t="inlineStr">
        <is>
          <t>1998</t>
        </is>
      </c>
      <c r="P1595" t="inlineStr">
        <is>
          <t>2nd ed.</t>
        </is>
      </c>
      <c r="Q1595" t="inlineStr">
        <is>
          <t>eng</t>
        </is>
      </c>
      <c r="R1595" t="inlineStr">
        <is>
          <t>pau</t>
        </is>
      </c>
      <c r="T1595" t="inlineStr">
        <is>
          <t xml:space="preserve">WY </t>
        </is>
      </c>
      <c r="U1595" t="n">
        <v>8</v>
      </c>
      <c r="V1595" t="n">
        <v>8</v>
      </c>
      <c r="W1595" t="inlineStr">
        <is>
          <t>2002-10-02</t>
        </is>
      </c>
      <c r="X1595" t="inlineStr">
        <is>
          <t>2002-10-02</t>
        </is>
      </c>
      <c r="Y1595" t="inlineStr">
        <is>
          <t>1998-01-26</t>
        </is>
      </c>
      <c r="Z1595" t="inlineStr">
        <is>
          <t>1998-01-26</t>
        </is>
      </c>
      <c r="AA1595" t="n">
        <v>307</v>
      </c>
      <c r="AB1595" t="n">
        <v>246</v>
      </c>
      <c r="AC1595" t="n">
        <v>461</v>
      </c>
      <c r="AD1595" t="n">
        <v>2</v>
      </c>
      <c r="AE1595" t="n">
        <v>4</v>
      </c>
      <c r="AF1595" t="n">
        <v>5</v>
      </c>
      <c r="AG1595" t="n">
        <v>15</v>
      </c>
      <c r="AH1595" t="n">
        <v>2</v>
      </c>
      <c r="AI1595" t="n">
        <v>6</v>
      </c>
      <c r="AJ1595" t="n">
        <v>1</v>
      </c>
      <c r="AK1595" t="n">
        <v>4</v>
      </c>
      <c r="AL1595" t="n">
        <v>2</v>
      </c>
      <c r="AM1595" t="n">
        <v>6</v>
      </c>
      <c r="AN1595" t="n">
        <v>0</v>
      </c>
      <c r="AO1595" t="n">
        <v>2</v>
      </c>
      <c r="AP1595" t="n">
        <v>0</v>
      </c>
      <c r="AQ1595" t="n">
        <v>0</v>
      </c>
      <c r="AR1595" t="inlineStr">
        <is>
          <t>No</t>
        </is>
      </c>
      <c r="AS1595" t="inlineStr">
        <is>
          <t>No</t>
        </is>
      </c>
      <c r="AU1595">
        <f>HYPERLINK("https://creighton-primo.hosted.exlibrisgroup.com/primo-explore/search?tab=default_tab&amp;search_scope=EVERYTHING&amp;vid=01CRU&amp;lang=en_US&amp;offset=0&amp;query=any,contains,991001295439702656","Catalog Record")</f>
        <v/>
      </c>
      <c r="AV1595">
        <f>HYPERLINK("http://www.worldcat.org/oclc/36308130","WorldCat Record")</f>
        <v/>
      </c>
      <c r="AW1595" t="inlineStr">
        <is>
          <t>836869274:eng</t>
        </is>
      </c>
      <c r="AX1595" t="inlineStr">
        <is>
          <t>36308130</t>
        </is>
      </c>
      <c r="AY1595" t="inlineStr">
        <is>
          <t>991001295439702656</t>
        </is>
      </c>
      <c r="AZ1595" t="inlineStr">
        <is>
          <t>991001295439702656</t>
        </is>
      </c>
      <c r="BA1595" t="inlineStr">
        <is>
          <t>2271256890002656</t>
        </is>
      </c>
      <c r="BB1595" t="inlineStr">
        <is>
          <t>BOOK</t>
        </is>
      </c>
      <c r="BD1595" t="inlineStr">
        <is>
          <t>9780721665351</t>
        </is>
      </c>
      <c r="BE1595" t="inlineStr">
        <is>
          <t>30001003741784</t>
        </is>
      </c>
      <c r="BF1595" t="inlineStr">
        <is>
          <t>893736442</t>
        </is>
      </c>
    </row>
    <row r="1596">
      <c r="A1596" t="inlineStr">
        <is>
          <t>No</t>
        </is>
      </c>
      <c r="B1596" t="inlineStr">
        <is>
          <t>CUHSL</t>
        </is>
      </c>
      <c r="C1596" t="inlineStr">
        <is>
          <t>SHELVES</t>
        </is>
      </c>
      <c r="D1596" t="inlineStr">
        <is>
          <t>WY157.3 C737 2003</t>
        </is>
      </c>
      <c r="E1596" t="inlineStr">
        <is>
          <t>0                      WY 0157300C  737         2003</t>
        </is>
      </c>
      <c r="F1596" t="inlineStr">
        <is>
          <t>Comprehensive neonatal nursing : a physiologic perspective / [edited by] Carole Kenner, Judy Wright Lott.</t>
        </is>
      </c>
      <c r="H1596" t="inlineStr">
        <is>
          <t>No</t>
        </is>
      </c>
      <c r="I1596" t="inlineStr">
        <is>
          <t>1</t>
        </is>
      </c>
      <c r="J1596" t="inlineStr">
        <is>
          <t>No</t>
        </is>
      </c>
      <c r="K1596" t="inlineStr">
        <is>
          <t>Yes</t>
        </is>
      </c>
      <c r="L1596" t="inlineStr">
        <is>
          <t>0</t>
        </is>
      </c>
      <c r="N1596" t="inlineStr">
        <is>
          <t>Philadelphia : Saunders, c2003.</t>
        </is>
      </c>
      <c r="O1596" t="inlineStr">
        <is>
          <t>2003</t>
        </is>
      </c>
      <c r="P1596" t="inlineStr">
        <is>
          <t>3rd ed.</t>
        </is>
      </c>
      <c r="Q1596" t="inlineStr">
        <is>
          <t>eng</t>
        </is>
      </c>
      <c r="R1596" t="inlineStr">
        <is>
          <t>pau</t>
        </is>
      </c>
      <c r="T1596" t="inlineStr">
        <is>
          <t xml:space="preserve">WY </t>
        </is>
      </c>
      <c r="U1596" t="n">
        <v>2</v>
      </c>
      <c r="V1596" t="n">
        <v>2</v>
      </c>
      <c r="W1596" t="inlineStr">
        <is>
          <t>2003-03-18</t>
        </is>
      </c>
      <c r="X1596" t="inlineStr">
        <is>
          <t>2003-03-18</t>
        </is>
      </c>
      <c r="Y1596" t="inlineStr">
        <is>
          <t>2003-01-20</t>
        </is>
      </c>
      <c r="Z1596" t="inlineStr">
        <is>
          <t>2003-01-20</t>
        </is>
      </c>
      <c r="AA1596" t="n">
        <v>248</v>
      </c>
      <c r="AB1596" t="n">
        <v>172</v>
      </c>
      <c r="AC1596" t="n">
        <v>461</v>
      </c>
      <c r="AD1596" t="n">
        <v>2</v>
      </c>
      <c r="AE1596" t="n">
        <v>4</v>
      </c>
      <c r="AF1596" t="n">
        <v>9</v>
      </c>
      <c r="AG1596" t="n">
        <v>15</v>
      </c>
      <c r="AH1596" t="n">
        <v>4</v>
      </c>
      <c r="AI1596" t="n">
        <v>6</v>
      </c>
      <c r="AJ1596" t="n">
        <v>3</v>
      </c>
      <c r="AK1596" t="n">
        <v>4</v>
      </c>
      <c r="AL1596" t="n">
        <v>2</v>
      </c>
      <c r="AM1596" t="n">
        <v>6</v>
      </c>
      <c r="AN1596" t="n">
        <v>1</v>
      </c>
      <c r="AO1596" t="n">
        <v>2</v>
      </c>
      <c r="AP1596" t="n">
        <v>0</v>
      </c>
      <c r="AQ1596" t="n">
        <v>0</v>
      </c>
      <c r="AR1596" t="inlineStr">
        <is>
          <t>No</t>
        </is>
      </c>
      <c r="AS1596" t="inlineStr">
        <is>
          <t>Yes</t>
        </is>
      </c>
      <c r="AT1596">
        <f>HYPERLINK("http://catalog.hathitrust.org/Record/003820790","HathiTrust Record")</f>
        <v/>
      </c>
      <c r="AU1596">
        <f>HYPERLINK("https://creighton-primo.hosted.exlibrisgroup.com/primo-explore/search?tab=default_tab&amp;search_scope=EVERYTHING&amp;vid=01CRU&amp;lang=en_US&amp;offset=0&amp;query=any,contains,991001719199702656","Catalog Record")</f>
        <v/>
      </c>
      <c r="AV1596">
        <f>HYPERLINK("http://www.worldcat.org/oclc/51002393","WorldCat Record")</f>
        <v/>
      </c>
      <c r="AW1596" t="inlineStr">
        <is>
          <t>836869274:eng</t>
        </is>
      </c>
      <c r="AX1596" t="inlineStr">
        <is>
          <t>51002393</t>
        </is>
      </c>
      <c r="AY1596" t="inlineStr">
        <is>
          <t>991001719199702656</t>
        </is>
      </c>
      <c r="AZ1596" t="inlineStr">
        <is>
          <t>991001719199702656</t>
        </is>
      </c>
      <c r="BA1596" t="inlineStr">
        <is>
          <t>2258288500002656</t>
        </is>
      </c>
      <c r="BB1596" t="inlineStr">
        <is>
          <t>BOOK</t>
        </is>
      </c>
      <c r="BD1596" t="inlineStr">
        <is>
          <t>9780721697178</t>
        </is>
      </c>
      <c r="BE1596" t="inlineStr">
        <is>
          <t>30001004501237</t>
        </is>
      </c>
      <c r="BF1596" t="inlineStr">
        <is>
          <t>893134770</t>
        </is>
      </c>
    </row>
    <row r="1597">
      <c r="A1597" t="inlineStr">
        <is>
          <t>No</t>
        </is>
      </c>
      <c r="B1597" t="inlineStr">
        <is>
          <t>CUHSL</t>
        </is>
      </c>
      <c r="C1597" t="inlineStr">
        <is>
          <t>SHELVES</t>
        </is>
      </c>
      <c r="D1597" t="inlineStr">
        <is>
          <t>WY 157.3 D547m 1998</t>
        </is>
      </c>
      <c r="E1597" t="inlineStr">
        <is>
          <t>0                      WY 0157300D  547m        1998</t>
        </is>
      </c>
      <c r="F1597" t="inlineStr">
        <is>
          <t>Maternal-infant nursing care / Elizabeth Jean Dickason, Bonnie Lang Silverman, Judith Kaplan.</t>
        </is>
      </c>
      <c r="H1597" t="inlineStr">
        <is>
          <t>No</t>
        </is>
      </c>
      <c r="I1597" t="inlineStr">
        <is>
          <t>1</t>
        </is>
      </c>
      <c r="J1597" t="inlineStr">
        <is>
          <t>No</t>
        </is>
      </c>
      <c r="K1597" t="inlineStr">
        <is>
          <t>No</t>
        </is>
      </c>
      <c r="L1597" t="inlineStr">
        <is>
          <t>0</t>
        </is>
      </c>
      <c r="M1597" t="inlineStr">
        <is>
          <t>Dickason, Elizabeth J.</t>
        </is>
      </c>
      <c r="N1597" t="inlineStr">
        <is>
          <t>St. Louis : Mosby, c1998.</t>
        </is>
      </c>
      <c r="O1597" t="inlineStr">
        <is>
          <t>1998</t>
        </is>
      </c>
      <c r="P1597" t="inlineStr">
        <is>
          <t>3rd ed.</t>
        </is>
      </c>
      <c r="Q1597" t="inlineStr">
        <is>
          <t>eng</t>
        </is>
      </c>
      <c r="R1597" t="inlineStr">
        <is>
          <t>mou</t>
        </is>
      </c>
      <c r="T1597" t="inlineStr">
        <is>
          <t xml:space="preserve">WY </t>
        </is>
      </c>
      <c r="U1597" t="n">
        <v>12</v>
      </c>
      <c r="V1597" t="n">
        <v>12</v>
      </c>
      <c r="W1597" t="inlineStr">
        <is>
          <t>2002-11-15</t>
        </is>
      </c>
      <c r="X1597" t="inlineStr">
        <is>
          <t>2002-11-15</t>
        </is>
      </c>
      <c r="Y1597" t="inlineStr">
        <is>
          <t>1997-12-15</t>
        </is>
      </c>
      <c r="Z1597" t="inlineStr">
        <is>
          <t>1997-12-15</t>
        </is>
      </c>
      <c r="AA1597" t="n">
        <v>258</v>
      </c>
      <c r="AB1597" t="n">
        <v>207</v>
      </c>
      <c r="AC1597" t="n">
        <v>384</v>
      </c>
      <c r="AD1597" t="n">
        <v>3</v>
      </c>
      <c r="AE1597" t="n">
        <v>3</v>
      </c>
      <c r="AF1597" t="n">
        <v>6</v>
      </c>
      <c r="AG1597" t="n">
        <v>10</v>
      </c>
      <c r="AH1597" t="n">
        <v>2</v>
      </c>
      <c r="AI1597" t="n">
        <v>4</v>
      </c>
      <c r="AJ1597" t="n">
        <v>1</v>
      </c>
      <c r="AK1597" t="n">
        <v>2</v>
      </c>
      <c r="AL1597" t="n">
        <v>2</v>
      </c>
      <c r="AM1597" t="n">
        <v>5</v>
      </c>
      <c r="AN1597" t="n">
        <v>1</v>
      </c>
      <c r="AO1597" t="n">
        <v>1</v>
      </c>
      <c r="AP1597" t="n">
        <v>0</v>
      </c>
      <c r="AQ1597" t="n">
        <v>0</v>
      </c>
      <c r="AR1597" t="inlineStr">
        <is>
          <t>No</t>
        </is>
      </c>
      <c r="AS1597" t="inlineStr">
        <is>
          <t>Yes</t>
        </is>
      </c>
      <c r="AT1597">
        <f>HYPERLINK("http://catalog.hathitrust.org/Record/003172798","HathiTrust Record")</f>
        <v/>
      </c>
      <c r="AU1597">
        <f>HYPERLINK("https://creighton-primo.hosted.exlibrisgroup.com/primo-explore/search?tab=default_tab&amp;search_scope=EVERYTHING&amp;vid=01CRU&amp;lang=en_US&amp;offset=0&amp;query=any,contains,991001269489702656","Catalog Record")</f>
        <v/>
      </c>
      <c r="AV1597">
        <f>HYPERLINK("http://www.worldcat.org/oclc/36682382","WorldCat Record")</f>
        <v/>
      </c>
      <c r="AW1597" t="inlineStr">
        <is>
          <t>622685:eng</t>
        </is>
      </c>
      <c r="AX1597" t="inlineStr">
        <is>
          <t>36682382</t>
        </is>
      </c>
      <c r="AY1597" t="inlineStr">
        <is>
          <t>991001269489702656</t>
        </is>
      </c>
      <c r="AZ1597" t="inlineStr">
        <is>
          <t>991001269489702656</t>
        </is>
      </c>
      <c r="BA1597" t="inlineStr">
        <is>
          <t>2258559070002656</t>
        </is>
      </c>
      <c r="BB1597" t="inlineStr">
        <is>
          <t>BOOK</t>
        </is>
      </c>
      <c r="BD1597" t="inlineStr">
        <is>
          <t>9780815125174</t>
        </is>
      </c>
      <c r="BE1597" t="inlineStr">
        <is>
          <t>30001003694447</t>
        </is>
      </c>
      <c r="BF1597" t="inlineStr">
        <is>
          <t>893731801</t>
        </is>
      </c>
    </row>
    <row r="1598">
      <c r="A1598" t="inlineStr">
        <is>
          <t>No</t>
        </is>
      </c>
      <c r="B1598" t="inlineStr">
        <is>
          <t>CUHSL</t>
        </is>
      </c>
      <c r="C1598" t="inlineStr">
        <is>
          <t>SHELVES</t>
        </is>
      </c>
      <c r="D1598" t="inlineStr">
        <is>
          <t>WY 157.3 D651m 1987</t>
        </is>
      </c>
      <c r="E1598" t="inlineStr">
        <is>
          <t>0                      WY 0157300D  651m        1987</t>
        </is>
      </c>
      <c r="F1598" t="inlineStr">
        <is>
          <t>Maternal/newborn care plans : guidelines for client care / Marilynn Doenges, Janet R. Kenty, Mary Frances Moorhouse.</t>
        </is>
      </c>
      <c r="H1598" t="inlineStr">
        <is>
          <t>No</t>
        </is>
      </c>
      <c r="I1598" t="inlineStr">
        <is>
          <t>1</t>
        </is>
      </c>
      <c r="J1598" t="inlineStr">
        <is>
          <t>No</t>
        </is>
      </c>
      <c r="K1598" t="inlineStr">
        <is>
          <t>No</t>
        </is>
      </c>
      <c r="L1598" t="inlineStr">
        <is>
          <t>0</t>
        </is>
      </c>
      <c r="M1598" t="inlineStr">
        <is>
          <t>Doenges, Marilynn E., 1922-</t>
        </is>
      </c>
      <c r="N1598" t="inlineStr">
        <is>
          <t>Philadelphia : Davis, c1987.</t>
        </is>
      </c>
      <c r="O1598" t="inlineStr">
        <is>
          <t>1987</t>
        </is>
      </c>
      <c r="Q1598" t="inlineStr">
        <is>
          <t>eng</t>
        </is>
      </c>
      <c r="R1598" t="inlineStr">
        <is>
          <t>xxu</t>
        </is>
      </c>
      <c r="T1598" t="inlineStr">
        <is>
          <t xml:space="preserve">WY </t>
        </is>
      </c>
      <c r="U1598" t="n">
        <v>51</v>
      </c>
      <c r="V1598" t="n">
        <v>51</v>
      </c>
      <c r="W1598" t="inlineStr">
        <is>
          <t>1998-02-12</t>
        </is>
      </c>
      <c r="X1598" t="inlineStr">
        <is>
          <t>1998-02-12</t>
        </is>
      </c>
      <c r="Y1598" t="inlineStr">
        <is>
          <t>1988-01-05</t>
        </is>
      </c>
      <c r="Z1598" t="inlineStr">
        <is>
          <t>1988-01-05</t>
        </is>
      </c>
      <c r="AA1598" t="n">
        <v>217</v>
      </c>
      <c r="AB1598" t="n">
        <v>179</v>
      </c>
      <c r="AC1598" t="n">
        <v>179</v>
      </c>
      <c r="AD1598" t="n">
        <v>1</v>
      </c>
      <c r="AE1598" t="n">
        <v>1</v>
      </c>
      <c r="AF1598" t="n">
        <v>4</v>
      </c>
      <c r="AG1598" t="n">
        <v>4</v>
      </c>
      <c r="AH1598" t="n">
        <v>0</v>
      </c>
      <c r="AI1598" t="n">
        <v>0</v>
      </c>
      <c r="AJ1598" t="n">
        <v>1</v>
      </c>
      <c r="AK1598" t="n">
        <v>1</v>
      </c>
      <c r="AL1598" t="n">
        <v>4</v>
      </c>
      <c r="AM1598" t="n">
        <v>4</v>
      </c>
      <c r="AN1598" t="n">
        <v>0</v>
      </c>
      <c r="AO1598" t="n">
        <v>0</v>
      </c>
      <c r="AP1598" t="n">
        <v>0</v>
      </c>
      <c r="AQ1598" t="n">
        <v>0</v>
      </c>
      <c r="AR1598" t="inlineStr">
        <is>
          <t>No</t>
        </is>
      </c>
      <c r="AS1598" t="inlineStr">
        <is>
          <t>No</t>
        </is>
      </c>
      <c r="AU1598">
        <f>HYPERLINK("https://creighton-primo.hosted.exlibrisgroup.com/primo-explore/search?tab=default_tab&amp;search_scope=EVERYTHING&amp;vid=01CRU&amp;lang=en_US&amp;offset=0&amp;query=any,contains,991001534969702656","Catalog Record")</f>
        <v/>
      </c>
      <c r="AV1598">
        <f>HYPERLINK("http://www.worldcat.org/oclc/15489194","WorldCat Record")</f>
        <v/>
      </c>
      <c r="AW1598" t="inlineStr">
        <is>
          <t>2863505479:eng</t>
        </is>
      </c>
      <c r="AX1598" t="inlineStr">
        <is>
          <t>15489194</t>
        </is>
      </c>
      <c r="AY1598" t="inlineStr">
        <is>
          <t>991001534969702656</t>
        </is>
      </c>
      <c r="AZ1598" t="inlineStr">
        <is>
          <t>991001534969702656</t>
        </is>
      </c>
      <c r="BA1598" t="inlineStr">
        <is>
          <t>2265220410002656</t>
        </is>
      </c>
      <c r="BB1598" t="inlineStr">
        <is>
          <t>BOOK</t>
        </is>
      </c>
      <c r="BD1598" t="inlineStr">
        <is>
          <t>9780803626676</t>
        </is>
      </c>
      <c r="BE1598" t="inlineStr">
        <is>
          <t>30001000622540</t>
        </is>
      </c>
      <c r="BF1598" t="inlineStr">
        <is>
          <t>893558076</t>
        </is>
      </c>
    </row>
    <row r="1599">
      <c r="A1599" t="inlineStr">
        <is>
          <t>No</t>
        </is>
      </c>
      <c r="B1599" t="inlineStr">
        <is>
          <t>CUHSL</t>
        </is>
      </c>
      <c r="C1599" t="inlineStr">
        <is>
          <t>SHELVES</t>
        </is>
      </c>
      <c r="D1599" t="inlineStr">
        <is>
          <t>WY 157.3 G795m 2004</t>
        </is>
      </c>
      <c r="E1599" t="inlineStr">
        <is>
          <t>0                      WY 0157300G  795m        2004</t>
        </is>
      </c>
      <c r="F1599" t="inlineStr">
        <is>
          <t>Maternal newborn nursing care plans / Carol J. Green, Judith M. Wilkinson.</t>
        </is>
      </c>
      <c r="H1599" t="inlineStr">
        <is>
          <t>No</t>
        </is>
      </c>
      <c r="I1599" t="inlineStr">
        <is>
          <t>1</t>
        </is>
      </c>
      <c r="J1599" t="inlineStr">
        <is>
          <t>No</t>
        </is>
      </c>
      <c r="K1599" t="inlineStr">
        <is>
          <t>No</t>
        </is>
      </c>
      <c r="L1599" t="inlineStr">
        <is>
          <t>0</t>
        </is>
      </c>
      <c r="M1599" t="inlineStr">
        <is>
          <t>Green, Carol J.</t>
        </is>
      </c>
      <c r="N1599" t="inlineStr">
        <is>
          <t>St. Louis, MO : Mosby, c2004.</t>
        </is>
      </c>
      <c r="O1599" t="inlineStr">
        <is>
          <t>2004</t>
        </is>
      </c>
      <c r="Q1599" t="inlineStr">
        <is>
          <t>eng</t>
        </is>
      </c>
      <c r="R1599" t="inlineStr">
        <is>
          <t>mou</t>
        </is>
      </c>
      <c r="T1599" t="inlineStr">
        <is>
          <t xml:space="preserve">WY </t>
        </is>
      </c>
      <c r="U1599" t="n">
        <v>0</v>
      </c>
      <c r="V1599" t="n">
        <v>0</v>
      </c>
      <c r="W1599" t="inlineStr">
        <is>
          <t>2007-06-28</t>
        </is>
      </c>
      <c r="X1599" t="inlineStr">
        <is>
          <t>2007-06-28</t>
        </is>
      </c>
      <c r="Y1599" t="inlineStr">
        <is>
          <t>2007-06-12</t>
        </is>
      </c>
      <c r="Z1599" t="inlineStr">
        <is>
          <t>2007-06-12</t>
        </is>
      </c>
      <c r="AA1599" t="n">
        <v>211</v>
      </c>
      <c r="AB1599" t="n">
        <v>153</v>
      </c>
      <c r="AC1599" t="n">
        <v>537</v>
      </c>
      <c r="AD1599" t="n">
        <v>3</v>
      </c>
      <c r="AE1599" t="n">
        <v>5</v>
      </c>
      <c r="AF1599" t="n">
        <v>6</v>
      </c>
      <c r="AG1599" t="n">
        <v>18</v>
      </c>
      <c r="AH1599" t="n">
        <v>0</v>
      </c>
      <c r="AI1599" t="n">
        <v>5</v>
      </c>
      <c r="AJ1599" t="n">
        <v>0</v>
      </c>
      <c r="AK1599" t="n">
        <v>3</v>
      </c>
      <c r="AL1599" t="n">
        <v>4</v>
      </c>
      <c r="AM1599" t="n">
        <v>7</v>
      </c>
      <c r="AN1599" t="n">
        <v>2</v>
      </c>
      <c r="AO1599" t="n">
        <v>4</v>
      </c>
      <c r="AP1599" t="n">
        <v>0</v>
      </c>
      <c r="AQ1599" t="n">
        <v>0</v>
      </c>
      <c r="AR1599" t="inlineStr">
        <is>
          <t>No</t>
        </is>
      </c>
      <c r="AS1599" t="inlineStr">
        <is>
          <t>Yes</t>
        </is>
      </c>
      <c r="AT1599">
        <f>HYPERLINK("http://catalog.hathitrust.org/Record/004337840","HathiTrust Record")</f>
        <v/>
      </c>
      <c r="AU1599">
        <f>HYPERLINK("https://creighton-primo.hosted.exlibrisgroup.com/primo-explore/search?tab=default_tab&amp;search_scope=EVERYTHING&amp;vid=01CRU&amp;lang=en_US&amp;offset=0&amp;query=any,contains,991000632389702656","Catalog Record")</f>
        <v/>
      </c>
      <c r="AV1599">
        <f>HYPERLINK("http://www.worldcat.org/oclc/51258530","WorldCat Record")</f>
        <v/>
      </c>
      <c r="AW1599" t="inlineStr">
        <is>
          <t>679440:eng</t>
        </is>
      </c>
      <c r="AX1599" t="inlineStr">
        <is>
          <t>51258530</t>
        </is>
      </c>
      <c r="AY1599" t="inlineStr">
        <is>
          <t>991000632389702656</t>
        </is>
      </c>
      <c r="AZ1599" t="inlineStr">
        <is>
          <t>991000632389702656</t>
        </is>
      </c>
      <c r="BA1599" t="inlineStr">
        <is>
          <t>2268378570002656</t>
        </is>
      </c>
      <c r="BB1599" t="inlineStr">
        <is>
          <t>BOOK</t>
        </is>
      </c>
      <c r="BD1599" t="inlineStr">
        <is>
          <t>9780323014885</t>
        </is>
      </c>
      <c r="BE1599" t="inlineStr">
        <is>
          <t>30001005218575</t>
        </is>
      </c>
      <c r="BF1599" t="inlineStr">
        <is>
          <t>893267001</t>
        </is>
      </c>
    </row>
    <row r="1600">
      <c r="A1600" t="inlineStr">
        <is>
          <t>No</t>
        </is>
      </c>
      <c r="B1600" t="inlineStr">
        <is>
          <t>CUHSL</t>
        </is>
      </c>
      <c r="C1600" t="inlineStr">
        <is>
          <t>SHELVES</t>
        </is>
      </c>
      <c r="D1600" t="inlineStr">
        <is>
          <t>WY 157.3 H393p 1985</t>
        </is>
      </c>
      <c r="E1600" t="inlineStr">
        <is>
          <t>0                      WY 0157300H  393p        1985</t>
        </is>
      </c>
      <c r="F1600" t="inlineStr">
        <is>
          <t>Postpartum nursing : health care of women / Joellen Beck Watson Hawkins, Beverly Gorvine ; with Carolyn Currier-Dagrosa, Patricia Fleming, Rachel F. Schiffman.</t>
        </is>
      </c>
      <c r="H1600" t="inlineStr">
        <is>
          <t>No</t>
        </is>
      </c>
      <c r="I1600" t="inlineStr">
        <is>
          <t>1</t>
        </is>
      </c>
      <c r="J1600" t="inlineStr">
        <is>
          <t>No</t>
        </is>
      </c>
      <c r="K1600" t="inlineStr">
        <is>
          <t>No</t>
        </is>
      </c>
      <c r="L1600" t="inlineStr">
        <is>
          <t>0</t>
        </is>
      </c>
      <c r="M1600" t="inlineStr">
        <is>
          <t>Hawkins, Joellen Watson.</t>
        </is>
      </c>
      <c r="N1600" t="inlineStr">
        <is>
          <t>New York : Springer Pub. Co., c1985.</t>
        </is>
      </c>
      <c r="O1600" t="inlineStr">
        <is>
          <t>1985</t>
        </is>
      </c>
      <c r="Q1600" t="inlineStr">
        <is>
          <t>eng</t>
        </is>
      </c>
      <c r="R1600" t="inlineStr">
        <is>
          <t>xxu</t>
        </is>
      </c>
      <c r="T1600" t="inlineStr">
        <is>
          <t xml:space="preserve">WY </t>
        </is>
      </c>
      <c r="U1600" t="n">
        <v>6</v>
      </c>
      <c r="V1600" t="n">
        <v>6</v>
      </c>
      <c r="W1600" t="inlineStr">
        <is>
          <t>1990-03-01</t>
        </is>
      </c>
      <c r="X1600" t="inlineStr">
        <is>
          <t>1990-03-01</t>
        </is>
      </c>
      <c r="Y1600" t="inlineStr">
        <is>
          <t>1987-12-23</t>
        </is>
      </c>
      <c r="Z1600" t="inlineStr">
        <is>
          <t>1987-12-23</t>
        </is>
      </c>
      <c r="AA1600" t="n">
        <v>237</v>
      </c>
      <c r="AB1600" t="n">
        <v>199</v>
      </c>
      <c r="AC1600" t="n">
        <v>206</v>
      </c>
      <c r="AD1600" t="n">
        <v>3</v>
      </c>
      <c r="AE1600" t="n">
        <v>3</v>
      </c>
      <c r="AF1600" t="n">
        <v>5</v>
      </c>
      <c r="AG1600" t="n">
        <v>5</v>
      </c>
      <c r="AH1600" t="n">
        <v>1</v>
      </c>
      <c r="AI1600" t="n">
        <v>1</v>
      </c>
      <c r="AJ1600" t="n">
        <v>1</v>
      </c>
      <c r="AK1600" t="n">
        <v>1</v>
      </c>
      <c r="AL1600" t="n">
        <v>2</v>
      </c>
      <c r="AM1600" t="n">
        <v>2</v>
      </c>
      <c r="AN1600" t="n">
        <v>1</v>
      </c>
      <c r="AO1600" t="n">
        <v>1</v>
      </c>
      <c r="AP1600" t="n">
        <v>0</v>
      </c>
      <c r="AQ1600" t="n">
        <v>0</v>
      </c>
      <c r="AR1600" t="inlineStr">
        <is>
          <t>No</t>
        </is>
      </c>
      <c r="AS1600" t="inlineStr">
        <is>
          <t>Yes</t>
        </is>
      </c>
      <c r="AT1600">
        <f>HYPERLINK("http://catalog.hathitrust.org/Record/000410950","HathiTrust Record")</f>
        <v/>
      </c>
      <c r="AU1600">
        <f>HYPERLINK("https://creighton-primo.hosted.exlibrisgroup.com/primo-explore/search?tab=default_tab&amp;search_scope=EVERYTHING&amp;vid=01CRU&amp;lang=en_US&amp;offset=0&amp;query=any,contains,991000921839702656","Catalog Record")</f>
        <v/>
      </c>
      <c r="AV1600">
        <f>HYPERLINK("http://www.worldcat.org/oclc/11030389","WorldCat Record")</f>
        <v/>
      </c>
      <c r="AW1600" t="inlineStr">
        <is>
          <t>312564352:eng</t>
        </is>
      </c>
      <c r="AX1600" t="inlineStr">
        <is>
          <t>11030389</t>
        </is>
      </c>
      <c r="AY1600" t="inlineStr">
        <is>
          <t>991000921839702656</t>
        </is>
      </c>
      <c r="AZ1600" t="inlineStr">
        <is>
          <t>991000921839702656</t>
        </is>
      </c>
      <c r="BA1600" t="inlineStr">
        <is>
          <t>2260936920002656</t>
        </is>
      </c>
      <c r="BB1600" t="inlineStr">
        <is>
          <t>BOOK</t>
        </is>
      </c>
      <c r="BD1600" t="inlineStr">
        <is>
          <t>9780826146908</t>
        </is>
      </c>
      <c r="BE1600" t="inlineStr">
        <is>
          <t>30001000181620</t>
        </is>
      </c>
      <c r="BF1600" t="inlineStr">
        <is>
          <t>893736048</t>
        </is>
      </c>
    </row>
    <row r="1601">
      <c r="A1601" t="inlineStr">
        <is>
          <t>No</t>
        </is>
      </c>
      <c r="B1601" t="inlineStr">
        <is>
          <t>CUHSL</t>
        </is>
      </c>
      <c r="C1601" t="inlineStr">
        <is>
          <t>SHELVES</t>
        </is>
      </c>
      <c r="D1601" t="inlineStr">
        <is>
          <t>WY157.3 H638 1992</t>
        </is>
      </c>
      <c r="E1601" t="inlineStr">
        <is>
          <t>0                      WY 0157300H  638         1992</t>
        </is>
      </c>
      <c r="F1601" t="inlineStr">
        <is>
          <t>High-risk intrapartum nursing / edited by Lisa K. Mandeville, Nan H. Troiano ; with 20 contributors ; NAACOG.</t>
        </is>
      </c>
      <c r="H1601" t="inlineStr">
        <is>
          <t>No</t>
        </is>
      </c>
      <c r="I1601" t="inlineStr">
        <is>
          <t>1</t>
        </is>
      </c>
      <c r="J1601" t="inlineStr">
        <is>
          <t>No</t>
        </is>
      </c>
      <c r="K1601" t="inlineStr">
        <is>
          <t>No</t>
        </is>
      </c>
      <c r="L1601" t="inlineStr">
        <is>
          <t>0</t>
        </is>
      </c>
      <c r="N1601" t="inlineStr">
        <is>
          <t>Philadelphia : J.B. Lippincott, c1992.</t>
        </is>
      </c>
      <c r="O1601" t="inlineStr">
        <is>
          <t>1992</t>
        </is>
      </c>
      <c r="Q1601" t="inlineStr">
        <is>
          <t>eng</t>
        </is>
      </c>
      <c r="R1601" t="inlineStr">
        <is>
          <t>pau</t>
        </is>
      </c>
      <c r="T1601" t="inlineStr">
        <is>
          <t xml:space="preserve">WY </t>
        </is>
      </c>
      <c r="U1601" t="n">
        <v>3</v>
      </c>
      <c r="V1601" t="n">
        <v>3</v>
      </c>
      <c r="W1601" t="inlineStr">
        <is>
          <t>1994-03-30</t>
        </is>
      </c>
      <c r="X1601" t="inlineStr">
        <is>
          <t>1994-03-30</t>
        </is>
      </c>
      <c r="Y1601" t="inlineStr">
        <is>
          <t>1993-06-14</t>
        </is>
      </c>
      <c r="Z1601" t="inlineStr">
        <is>
          <t>1993-06-14</t>
        </is>
      </c>
      <c r="AA1601" t="n">
        <v>288</v>
      </c>
      <c r="AB1601" t="n">
        <v>243</v>
      </c>
      <c r="AC1601" t="n">
        <v>250</v>
      </c>
      <c r="AD1601" t="n">
        <v>1</v>
      </c>
      <c r="AE1601" t="n">
        <v>1</v>
      </c>
      <c r="AF1601" t="n">
        <v>10</v>
      </c>
      <c r="AG1601" t="n">
        <v>10</v>
      </c>
      <c r="AH1601" t="n">
        <v>4</v>
      </c>
      <c r="AI1601" t="n">
        <v>4</v>
      </c>
      <c r="AJ1601" t="n">
        <v>1</v>
      </c>
      <c r="AK1601" t="n">
        <v>1</v>
      </c>
      <c r="AL1601" t="n">
        <v>8</v>
      </c>
      <c r="AM1601" t="n">
        <v>8</v>
      </c>
      <c r="AN1601" t="n">
        <v>0</v>
      </c>
      <c r="AO1601" t="n">
        <v>0</v>
      </c>
      <c r="AP1601" t="n">
        <v>0</v>
      </c>
      <c r="AQ1601" t="n">
        <v>0</v>
      </c>
      <c r="AR1601" t="inlineStr">
        <is>
          <t>No</t>
        </is>
      </c>
      <c r="AS1601" t="inlineStr">
        <is>
          <t>Yes</t>
        </is>
      </c>
      <c r="AT1601">
        <f>HYPERLINK("http://catalog.hathitrust.org/Record/002518722","HathiTrust Record")</f>
        <v/>
      </c>
      <c r="AU1601">
        <f>HYPERLINK("https://creighton-primo.hosted.exlibrisgroup.com/primo-explore/search?tab=default_tab&amp;search_scope=EVERYTHING&amp;vid=01CRU&amp;lang=en_US&amp;offset=0&amp;query=any,contains,991001479049702656","Catalog Record")</f>
        <v/>
      </c>
      <c r="AV1601">
        <f>HYPERLINK("http://www.worldcat.org/oclc/24793120","WorldCat Record")</f>
        <v/>
      </c>
      <c r="AW1601" t="inlineStr">
        <is>
          <t>3372867704:eng</t>
        </is>
      </c>
      <c r="AX1601" t="inlineStr">
        <is>
          <t>24793120</t>
        </is>
      </c>
      <c r="AY1601" t="inlineStr">
        <is>
          <t>991001479049702656</t>
        </is>
      </c>
      <c r="AZ1601" t="inlineStr">
        <is>
          <t>991001479049702656</t>
        </is>
      </c>
      <c r="BA1601" t="inlineStr">
        <is>
          <t>2258475870002656</t>
        </is>
      </c>
      <c r="BB1601" t="inlineStr">
        <is>
          <t>BOOK</t>
        </is>
      </c>
      <c r="BD1601" t="inlineStr">
        <is>
          <t>9780397548118</t>
        </is>
      </c>
      <c r="BE1601" t="inlineStr">
        <is>
          <t>30001002564872</t>
        </is>
      </c>
      <c r="BF1601" t="inlineStr">
        <is>
          <t>893732053</t>
        </is>
      </c>
    </row>
    <row r="1602">
      <c r="A1602" t="inlineStr">
        <is>
          <t>No</t>
        </is>
      </c>
      <c r="B1602" t="inlineStr">
        <is>
          <t>CUHSL</t>
        </is>
      </c>
      <c r="C1602" t="inlineStr">
        <is>
          <t>SHELVES</t>
        </is>
      </c>
      <c r="D1602" t="inlineStr">
        <is>
          <t>WY 157.3 I44m 1987</t>
        </is>
      </c>
      <c r="E1602" t="inlineStr">
        <is>
          <t>0                      WY 0157300I  44m         1987</t>
        </is>
      </c>
      <c r="F1602" t="inlineStr">
        <is>
          <t>Maternal and child health nursing / A. Joy Ingalls, M. Constance Salerno.</t>
        </is>
      </c>
      <c r="H1602" t="inlineStr">
        <is>
          <t>No</t>
        </is>
      </c>
      <c r="I1602" t="inlineStr">
        <is>
          <t>1</t>
        </is>
      </c>
      <c r="J1602" t="inlineStr">
        <is>
          <t>No</t>
        </is>
      </c>
      <c r="K1602" t="inlineStr">
        <is>
          <t>No</t>
        </is>
      </c>
      <c r="L1602" t="inlineStr">
        <is>
          <t>0</t>
        </is>
      </c>
      <c r="M1602" t="inlineStr">
        <is>
          <t>Ingalls, A. Joy.</t>
        </is>
      </c>
      <c r="N1602" t="inlineStr">
        <is>
          <t>St. Louis : Mosby, 1987.</t>
        </is>
      </c>
      <c r="O1602" t="inlineStr">
        <is>
          <t>1987</t>
        </is>
      </c>
      <c r="P1602" t="inlineStr">
        <is>
          <t>6th ed.</t>
        </is>
      </c>
      <c r="Q1602" t="inlineStr">
        <is>
          <t>eng</t>
        </is>
      </c>
      <c r="R1602" t="inlineStr">
        <is>
          <t>xxu</t>
        </is>
      </c>
      <c r="T1602" t="inlineStr">
        <is>
          <t xml:space="preserve">WY </t>
        </is>
      </c>
      <c r="U1602" t="n">
        <v>5</v>
      </c>
      <c r="V1602" t="n">
        <v>5</v>
      </c>
      <c r="W1602" t="inlineStr">
        <is>
          <t>1990-07-27</t>
        </is>
      </c>
      <c r="X1602" t="inlineStr">
        <is>
          <t>1990-07-27</t>
        </is>
      </c>
      <c r="Y1602" t="inlineStr">
        <is>
          <t>1987-12-23</t>
        </is>
      </c>
      <c r="Z1602" t="inlineStr">
        <is>
          <t>1987-12-23</t>
        </is>
      </c>
      <c r="AA1602" t="n">
        <v>160</v>
      </c>
      <c r="AB1602" t="n">
        <v>122</v>
      </c>
      <c r="AC1602" t="n">
        <v>380</v>
      </c>
      <c r="AD1602" t="n">
        <v>1</v>
      </c>
      <c r="AE1602" t="n">
        <v>6</v>
      </c>
      <c r="AF1602" t="n">
        <v>3</v>
      </c>
      <c r="AG1602" t="n">
        <v>11</v>
      </c>
      <c r="AH1602" t="n">
        <v>0</v>
      </c>
      <c r="AI1602" t="n">
        <v>1</v>
      </c>
      <c r="AJ1602" t="n">
        <v>1</v>
      </c>
      <c r="AK1602" t="n">
        <v>3</v>
      </c>
      <c r="AL1602" t="n">
        <v>3</v>
      </c>
      <c r="AM1602" t="n">
        <v>5</v>
      </c>
      <c r="AN1602" t="n">
        <v>0</v>
      </c>
      <c r="AO1602" t="n">
        <v>3</v>
      </c>
      <c r="AP1602" t="n">
        <v>0</v>
      </c>
      <c r="AQ1602" t="n">
        <v>0</v>
      </c>
      <c r="AR1602" t="inlineStr">
        <is>
          <t>No</t>
        </is>
      </c>
      <c r="AS1602" t="inlineStr">
        <is>
          <t>Yes</t>
        </is>
      </c>
      <c r="AT1602">
        <f>HYPERLINK("http://catalog.hathitrust.org/Record/000814792","HathiTrust Record")</f>
        <v/>
      </c>
      <c r="AU1602">
        <f>HYPERLINK("https://creighton-primo.hosted.exlibrisgroup.com/primo-explore/search?tab=default_tab&amp;search_scope=EVERYTHING&amp;vid=01CRU&amp;lang=en_US&amp;offset=0&amp;query=any,contains,991001264679702656","Catalog Record")</f>
        <v/>
      </c>
      <c r="AV1602">
        <f>HYPERLINK("http://www.worldcat.org/oclc/14241703","WorldCat Record")</f>
        <v/>
      </c>
      <c r="AW1602" t="inlineStr">
        <is>
          <t>1261092:eng</t>
        </is>
      </c>
      <c r="AX1602" t="inlineStr">
        <is>
          <t>14241703</t>
        </is>
      </c>
      <c r="AY1602" t="inlineStr">
        <is>
          <t>991001264679702656</t>
        </is>
      </c>
      <c r="AZ1602" t="inlineStr">
        <is>
          <t>991001264679702656</t>
        </is>
      </c>
      <c r="BA1602" t="inlineStr">
        <is>
          <t>2267202390002656</t>
        </is>
      </c>
      <c r="BB1602" t="inlineStr">
        <is>
          <t>BOOK</t>
        </is>
      </c>
      <c r="BD1602" t="inlineStr">
        <is>
          <t>9780801624131</t>
        </is>
      </c>
      <c r="BE1602" t="inlineStr">
        <is>
          <t>30001000352411</t>
        </is>
      </c>
      <c r="BF1602" t="inlineStr">
        <is>
          <t>893465335</t>
        </is>
      </c>
    </row>
    <row r="1603">
      <c r="A1603" t="inlineStr">
        <is>
          <t>No</t>
        </is>
      </c>
      <c r="B1603" t="inlineStr">
        <is>
          <t>CUHSL</t>
        </is>
      </c>
      <c r="C1603" t="inlineStr">
        <is>
          <t>SHELVES</t>
        </is>
      </c>
      <c r="D1603" t="inlineStr">
        <is>
          <t>WY 157.3 J54m 1985</t>
        </is>
      </c>
      <c r="E1603" t="inlineStr">
        <is>
          <t>0                      WY 0157300J  54m         1985</t>
        </is>
      </c>
      <c r="F1603" t="inlineStr">
        <is>
          <t>Maternity and gynecologic care : the nurse and the family.</t>
        </is>
      </c>
      <c r="H1603" t="inlineStr">
        <is>
          <t>No</t>
        </is>
      </c>
      <c r="I1603" t="inlineStr">
        <is>
          <t>1</t>
        </is>
      </c>
      <c r="J1603" t="inlineStr">
        <is>
          <t>No</t>
        </is>
      </c>
      <c r="K1603" t="inlineStr">
        <is>
          <t>Yes</t>
        </is>
      </c>
      <c r="L1603" t="inlineStr">
        <is>
          <t>0</t>
        </is>
      </c>
      <c r="M1603" t="inlineStr">
        <is>
          <t>Jensen, Margaret Duncan, 1921-</t>
        </is>
      </c>
      <c r="N1603" t="inlineStr">
        <is>
          <t>St. Louis : Mosby, c1985.</t>
        </is>
      </c>
      <c r="O1603" t="inlineStr">
        <is>
          <t>1985</t>
        </is>
      </c>
      <c r="P1603" t="inlineStr">
        <is>
          <t>3rd ed. / Margaret Duncan Jensen, Irene M. Bobak.</t>
        </is>
      </c>
      <c r="Q1603" t="inlineStr">
        <is>
          <t>eng</t>
        </is>
      </c>
      <c r="R1603" t="inlineStr">
        <is>
          <t>xxu</t>
        </is>
      </c>
      <c r="T1603" t="inlineStr">
        <is>
          <t xml:space="preserve">WY </t>
        </is>
      </c>
      <c r="U1603" t="n">
        <v>7</v>
      </c>
      <c r="V1603" t="n">
        <v>7</v>
      </c>
      <c r="W1603" t="inlineStr">
        <is>
          <t>1996-08-15</t>
        </is>
      </c>
      <c r="X1603" t="inlineStr">
        <is>
          <t>1996-08-15</t>
        </is>
      </c>
      <c r="Y1603" t="inlineStr">
        <is>
          <t>1987-10-24</t>
        </is>
      </c>
      <c r="Z1603" t="inlineStr">
        <is>
          <t>1987-10-24</t>
        </is>
      </c>
      <c r="AA1603" t="n">
        <v>262</v>
      </c>
      <c r="AB1603" t="n">
        <v>207</v>
      </c>
      <c r="AC1603" t="n">
        <v>516</v>
      </c>
      <c r="AD1603" t="n">
        <v>1</v>
      </c>
      <c r="AE1603" t="n">
        <v>3</v>
      </c>
      <c r="AF1603" t="n">
        <v>5</v>
      </c>
      <c r="AG1603" t="n">
        <v>18</v>
      </c>
      <c r="AH1603" t="n">
        <v>3</v>
      </c>
      <c r="AI1603" t="n">
        <v>9</v>
      </c>
      <c r="AJ1603" t="n">
        <v>1</v>
      </c>
      <c r="AK1603" t="n">
        <v>5</v>
      </c>
      <c r="AL1603" t="n">
        <v>1</v>
      </c>
      <c r="AM1603" t="n">
        <v>7</v>
      </c>
      <c r="AN1603" t="n">
        <v>0</v>
      </c>
      <c r="AO1603" t="n">
        <v>1</v>
      </c>
      <c r="AP1603" t="n">
        <v>0</v>
      </c>
      <c r="AQ1603" t="n">
        <v>0</v>
      </c>
      <c r="AR1603" t="inlineStr">
        <is>
          <t>No</t>
        </is>
      </c>
      <c r="AS1603" t="inlineStr">
        <is>
          <t>No</t>
        </is>
      </c>
      <c r="AU1603">
        <f>HYPERLINK("https://creighton-primo.hosted.exlibrisgroup.com/primo-explore/search?tab=default_tab&amp;search_scope=EVERYTHING&amp;vid=01CRU&amp;lang=en_US&amp;offset=0&amp;query=any,contains,991000732659702656","Catalog Record")</f>
        <v/>
      </c>
      <c r="AV1603">
        <f>HYPERLINK("http://www.worldcat.org/oclc/11398844","WorldCat Record")</f>
        <v/>
      </c>
      <c r="AW1603" t="inlineStr">
        <is>
          <t>894357717:eng</t>
        </is>
      </c>
      <c r="AX1603" t="inlineStr">
        <is>
          <t>11398844</t>
        </is>
      </c>
      <c r="AY1603" t="inlineStr">
        <is>
          <t>991000732659702656</t>
        </is>
      </c>
      <c r="AZ1603" t="inlineStr">
        <is>
          <t>991000732659702656</t>
        </is>
      </c>
      <c r="BA1603" t="inlineStr">
        <is>
          <t>2272612180002656</t>
        </is>
      </c>
      <c r="BB1603" t="inlineStr">
        <is>
          <t>BOOK</t>
        </is>
      </c>
      <c r="BD1603" t="inlineStr">
        <is>
          <t>9780801624940</t>
        </is>
      </c>
      <c r="BE1603" t="inlineStr">
        <is>
          <t>30001000040735</t>
        </is>
      </c>
      <c r="BF1603" t="inlineStr">
        <is>
          <t>893545723</t>
        </is>
      </c>
    </row>
    <row r="1604">
      <c r="A1604" t="inlineStr">
        <is>
          <t>No</t>
        </is>
      </c>
      <c r="B1604" t="inlineStr">
        <is>
          <t>CUHSL</t>
        </is>
      </c>
      <c r="C1604" t="inlineStr">
        <is>
          <t>SHELVES</t>
        </is>
      </c>
      <c r="D1604" t="inlineStr">
        <is>
          <t>WY 157.3 L154m 1998</t>
        </is>
      </c>
      <c r="E1604" t="inlineStr">
        <is>
          <t>0                      WY 0157300L  154m        1998</t>
        </is>
      </c>
      <c r="F1604" t="inlineStr">
        <is>
          <t>Maternal-newborn nursing care : the nurse, the family, and the community / Patricia Wieland Ladewig, Marcia L. London, Sally B. Olds.</t>
        </is>
      </c>
      <c r="H1604" t="inlineStr">
        <is>
          <t>No</t>
        </is>
      </c>
      <c r="I1604" t="inlineStr">
        <is>
          <t>1</t>
        </is>
      </c>
      <c r="J1604" t="inlineStr">
        <is>
          <t>No</t>
        </is>
      </c>
      <c r="K1604" t="inlineStr">
        <is>
          <t>No</t>
        </is>
      </c>
      <c r="L1604" t="inlineStr">
        <is>
          <t>0</t>
        </is>
      </c>
      <c r="M1604" t="inlineStr">
        <is>
          <t>Ladewig, Patricia W.</t>
        </is>
      </c>
      <c r="N1604" t="inlineStr">
        <is>
          <t>Menlo Park, Calif. : Addison-Wesley, c1998.</t>
        </is>
      </c>
      <c r="O1604" t="inlineStr">
        <is>
          <t>1998</t>
        </is>
      </c>
      <c r="P1604" t="inlineStr">
        <is>
          <t>4th ed.</t>
        </is>
      </c>
      <c r="Q1604" t="inlineStr">
        <is>
          <t>eng</t>
        </is>
      </c>
      <c r="R1604" t="inlineStr">
        <is>
          <t>cau</t>
        </is>
      </c>
      <c r="T1604" t="inlineStr">
        <is>
          <t xml:space="preserve">WY </t>
        </is>
      </c>
      <c r="U1604" t="n">
        <v>8</v>
      </c>
      <c r="V1604" t="n">
        <v>8</v>
      </c>
      <c r="W1604" t="inlineStr">
        <is>
          <t>2007-09-12</t>
        </is>
      </c>
      <c r="X1604" t="inlineStr">
        <is>
          <t>2007-09-12</t>
        </is>
      </c>
      <c r="Y1604" t="inlineStr">
        <is>
          <t>1998-01-23</t>
        </is>
      </c>
      <c r="Z1604" t="inlineStr">
        <is>
          <t>1998-01-23</t>
        </is>
      </c>
      <c r="AA1604" t="n">
        <v>187</v>
      </c>
      <c r="AB1604" t="n">
        <v>149</v>
      </c>
      <c r="AC1604" t="n">
        <v>178</v>
      </c>
      <c r="AD1604" t="n">
        <v>1</v>
      </c>
      <c r="AE1604" t="n">
        <v>1</v>
      </c>
      <c r="AF1604" t="n">
        <v>2</v>
      </c>
      <c r="AG1604" t="n">
        <v>3</v>
      </c>
      <c r="AH1604" t="n">
        <v>1</v>
      </c>
      <c r="AI1604" t="n">
        <v>1</v>
      </c>
      <c r="AJ1604" t="n">
        <v>0</v>
      </c>
      <c r="AK1604" t="n">
        <v>0</v>
      </c>
      <c r="AL1604" t="n">
        <v>1</v>
      </c>
      <c r="AM1604" t="n">
        <v>2</v>
      </c>
      <c r="AN1604" t="n">
        <v>0</v>
      </c>
      <c r="AO1604" t="n">
        <v>0</v>
      </c>
      <c r="AP1604" t="n">
        <v>0</v>
      </c>
      <c r="AQ1604" t="n">
        <v>0</v>
      </c>
      <c r="AR1604" t="inlineStr">
        <is>
          <t>No</t>
        </is>
      </c>
      <c r="AS1604" t="inlineStr">
        <is>
          <t>Yes</t>
        </is>
      </c>
      <c r="AT1604">
        <f>HYPERLINK("http://catalog.hathitrust.org/Record/003260668","HathiTrust Record")</f>
        <v/>
      </c>
      <c r="AU1604">
        <f>HYPERLINK("https://creighton-primo.hosted.exlibrisgroup.com/primo-explore/search?tab=default_tab&amp;search_scope=EVERYTHING&amp;vid=01CRU&amp;lang=en_US&amp;offset=0&amp;query=any,contains,991001295149702656","Catalog Record")</f>
        <v/>
      </c>
      <c r="AV1604">
        <f>HYPERLINK("http://www.worldcat.org/oclc/37519671","WorldCat Record")</f>
        <v/>
      </c>
      <c r="AW1604" t="inlineStr">
        <is>
          <t>3856510029:eng</t>
        </is>
      </c>
      <c r="AX1604" t="inlineStr">
        <is>
          <t>37519671</t>
        </is>
      </c>
      <c r="AY1604" t="inlineStr">
        <is>
          <t>991001295149702656</t>
        </is>
      </c>
      <c r="AZ1604" t="inlineStr">
        <is>
          <t>991001295149702656</t>
        </is>
      </c>
      <c r="BA1604" t="inlineStr">
        <is>
          <t>2265637240002656</t>
        </is>
      </c>
      <c r="BB1604" t="inlineStr">
        <is>
          <t>BOOK</t>
        </is>
      </c>
      <c r="BD1604" t="inlineStr">
        <is>
          <t>9780805356229</t>
        </is>
      </c>
      <c r="BE1604" t="inlineStr">
        <is>
          <t>30001003741511</t>
        </is>
      </c>
      <c r="BF1604" t="inlineStr">
        <is>
          <t>893149066</t>
        </is>
      </c>
    </row>
    <row r="1605">
      <c r="A1605" t="inlineStr">
        <is>
          <t>No</t>
        </is>
      </c>
      <c r="B1605" t="inlineStr">
        <is>
          <t>CUHSL</t>
        </is>
      </c>
      <c r="C1605" t="inlineStr">
        <is>
          <t>SHELVES</t>
        </is>
      </c>
      <c r="D1605" t="inlineStr">
        <is>
          <t>WY 157.3 L154m 2003</t>
        </is>
      </c>
      <c r="E1605" t="inlineStr">
        <is>
          <t>0                      WY 0157300L  154m        2003</t>
        </is>
      </c>
      <c r="F1605" t="inlineStr">
        <is>
          <t>Maternal-newborn &amp; child nursing : family-centered care / Marcia L. London ... [et al.].</t>
        </is>
      </c>
      <c r="H1605" t="inlineStr">
        <is>
          <t>No</t>
        </is>
      </c>
      <c r="I1605" t="inlineStr">
        <is>
          <t>1</t>
        </is>
      </c>
      <c r="J1605" t="inlineStr">
        <is>
          <t>No</t>
        </is>
      </c>
      <c r="K1605" t="inlineStr">
        <is>
          <t>No</t>
        </is>
      </c>
      <c r="L1605" t="inlineStr">
        <is>
          <t>0</t>
        </is>
      </c>
      <c r="N1605" t="inlineStr">
        <is>
          <t>Upper Saddle River, N.J. : Prentice Hall, c2003.</t>
        </is>
      </c>
      <c r="O1605" t="inlineStr">
        <is>
          <t>2003</t>
        </is>
      </c>
      <c r="Q1605" t="inlineStr">
        <is>
          <t>eng</t>
        </is>
      </c>
      <c r="R1605" t="inlineStr">
        <is>
          <t>nju</t>
        </is>
      </c>
      <c r="T1605" t="inlineStr">
        <is>
          <t xml:space="preserve">WY </t>
        </is>
      </c>
      <c r="U1605" t="n">
        <v>0</v>
      </c>
      <c r="V1605" t="n">
        <v>0</v>
      </c>
      <c r="W1605" t="inlineStr">
        <is>
          <t>2008-10-03</t>
        </is>
      </c>
      <c r="X1605" t="inlineStr">
        <is>
          <t>2008-10-03</t>
        </is>
      </c>
      <c r="Y1605" t="inlineStr">
        <is>
          <t>2008-10-02</t>
        </is>
      </c>
      <c r="Z1605" t="inlineStr">
        <is>
          <t>2008-10-02</t>
        </is>
      </c>
      <c r="AA1605" t="n">
        <v>209</v>
      </c>
      <c r="AB1605" t="n">
        <v>145</v>
      </c>
      <c r="AC1605" t="n">
        <v>154</v>
      </c>
      <c r="AD1605" t="n">
        <v>1</v>
      </c>
      <c r="AE1605" t="n">
        <v>1</v>
      </c>
      <c r="AF1605" t="n">
        <v>7</v>
      </c>
      <c r="AG1605" t="n">
        <v>7</v>
      </c>
      <c r="AH1605" t="n">
        <v>3</v>
      </c>
      <c r="AI1605" t="n">
        <v>3</v>
      </c>
      <c r="AJ1605" t="n">
        <v>1</v>
      </c>
      <c r="AK1605" t="n">
        <v>1</v>
      </c>
      <c r="AL1605" t="n">
        <v>4</v>
      </c>
      <c r="AM1605" t="n">
        <v>4</v>
      </c>
      <c r="AN1605" t="n">
        <v>0</v>
      </c>
      <c r="AO1605" t="n">
        <v>0</v>
      </c>
      <c r="AP1605" t="n">
        <v>0</v>
      </c>
      <c r="AQ1605" t="n">
        <v>0</v>
      </c>
      <c r="AR1605" t="inlineStr">
        <is>
          <t>No</t>
        </is>
      </c>
      <c r="AS1605" t="inlineStr">
        <is>
          <t>No</t>
        </is>
      </c>
      <c r="AU1605">
        <f>HYPERLINK("https://creighton-primo.hosted.exlibrisgroup.com/primo-explore/search?tab=default_tab&amp;search_scope=EVERYTHING&amp;vid=01CRU&amp;lang=en_US&amp;offset=0&amp;query=any,contains,991001322319702656","Catalog Record")</f>
        <v/>
      </c>
      <c r="AV1605">
        <f>HYPERLINK("http://www.worldcat.org/oclc/49936257","WorldCat Record")</f>
        <v/>
      </c>
      <c r="AW1605" t="inlineStr">
        <is>
          <t>1911635912:eng</t>
        </is>
      </c>
      <c r="AX1605" t="inlineStr">
        <is>
          <t>49936257</t>
        </is>
      </c>
      <c r="AY1605" t="inlineStr">
        <is>
          <t>991001322319702656</t>
        </is>
      </c>
      <c r="AZ1605" t="inlineStr">
        <is>
          <t>991001322319702656</t>
        </is>
      </c>
      <c r="BA1605" t="inlineStr">
        <is>
          <t>2256729370002656</t>
        </is>
      </c>
      <c r="BB1605" t="inlineStr">
        <is>
          <t>BOOK</t>
        </is>
      </c>
      <c r="BD1605" t="inlineStr">
        <is>
          <t>9780130994066</t>
        </is>
      </c>
      <c r="BE1605" t="inlineStr">
        <is>
          <t>30001005372281</t>
        </is>
      </c>
      <c r="BF1605" t="inlineStr">
        <is>
          <t>893546576</t>
        </is>
      </c>
    </row>
    <row r="1606">
      <c r="A1606" t="inlineStr">
        <is>
          <t>No</t>
        </is>
      </c>
      <c r="B1606" t="inlineStr">
        <is>
          <t>CUHSL</t>
        </is>
      </c>
      <c r="C1606" t="inlineStr">
        <is>
          <t>SHELVES</t>
        </is>
      </c>
      <c r="D1606" t="inlineStr">
        <is>
          <t>WY157.3 L527i 2003</t>
        </is>
      </c>
      <c r="E1606" t="inlineStr">
        <is>
          <t>0                      WY 0157300L  527i        2003</t>
        </is>
      </c>
      <c r="F1606" t="inlineStr">
        <is>
          <t>Introduction to maternity &amp; pediatric nursing / Gloria Leifer.</t>
        </is>
      </c>
      <c r="H1606" t="inlineStr">
        <is>
          <t>No</t>
        </is>
      </c>
      <c r="I1606" t="inlineStr">
        <is>
          <t>1</t>
        </is>
      </c>
      <c r="J1606" t="inlineStr">
        <is>
          <t>No</t>
        </is>
      </c>
      <c r="K1606" t="inlineStr">
        <is>
          <t>No</t>
        </is>
      </c>
      <c r="L1606" t="inlineStr">
        <is>
          <t>0</t>
        </is>
      </c>
      <c r="M1606" t="inlineStr">
        <is>
          <t>Leifer, Gloria.</t>
        </is>
      </c>
      <c r="N1606" t="inlineStr">
        <is>
          <t>Philadelphia : Saunders, c2003.</t>
        </is>
      </c>
      <c r="O1606" t="inlineStr">
        <is>
          <t>2003</t>
        </is>
      </c>
      <c r="P1606" t="inlineStr">
        <is>
          <t>4th ed.</t>
        </is>
      </c>
      <c r="Q1606" t="inlineStr">
        <is>
          <t>eng</t>
        </is>
      </c>
      <c r="R1606" t="inlineStr">
        <is>
          <t>pau</t>
        </is>
      </c>
      <c r="T1606" t="inlineStr">
        <is>
          <t xml:space="preserve">WY </t>
        </is>
      </c>
      <c r="U1606" t="n">
        <v>1</v>
      </c>
      <c r="V1606" t="n">
        <v>1</v>
      </c>
      <c r="W1606" t="inlineStr">
        <is>
          <t>2003-06-10</t>
        </is>
      </c>
      <c r="X1606" t="inlineStr">
        <is>
          <t>2003-06-10</t>
        </is>
      </c>
      <c r="Y1606" t="inlineStr">
        <is>
          <t>2003-06-09</t>
        </is>
      </c>
      <c r="Z1606" t="inlineStr">
        <is>
          <t>2003-06-09</t>
        </is>
      </c>
      <c r="AA1606" t="n">
        <v>229</v>
      </c>
      <c r="AB1606" t="n">
        <v>170</v>
      </c>
      <c r="AC1606" t="n">
        <v>554</v>
      </c>
      <c r="AD1606" t="n">
        <v>1</v>
      </c>
      <c r="AE1606" t="n">
        <v>4</v>
      </c>
      <c r="AF1606" t="n">
        <v>5</v>
      </c>
      <c r="AG1606" t="n">
        <v>14</v>
      </c>
      <c r="AH1606" t="n">
        <v>0</v>
      </c>
      <c r="AI1606" t="n">
        <v>3</v>
      </c>
      <c r="AJ1606" t="n">
        <v>2</v>
      </c>
      <c r="AK1606" t="n">
        <v>3</v>
      </c>
      <c r="AL1606" t="n">
        <v>4</v>
      </c>
      <c r="AM1606" t="n">
        <v>7</v>
      </c>
      <c r="AN1606" t="n">
        <v>0</v>
      </c>
      <c r="AO1606" t="n">
        <v>3</v>
      </c>
      <c r="AP1606" t="n">
        <v>0</v>
      </c>
      <c r="AQ1606" t="n">
        <v>0</v>
      </c>
      <c r="AR1606" t="inlineStr">
        <is>
          <t>No</t>
        </is>
      </c>
      <c r="AS1606" t="inlineStr">
        <is>
          <t>Yes</t>
        </is>
      </c>
      <c r="AT1606">
        <f>HYPERLINK("http://catalog.hathitrust.org/Record/004295660","HathiTrust Record")</f>
        <v/>
      </c>
      <c r="AU1606">
        <f>HYPERLINK("https://creighton-primo.hosted.exlibrisgroup.com/primo-explore/search?tab=default_tab&amp;search_scope=EVERYTHING&amp;vid=01CRU&amp;lang=en_US&amp;offset=0&amp;query=any,contains,991000349509702656","Catalog Record")</f>
        <v/>
      </c>
      <c r="AV1606">
        <f>HYPERLINK("http://www.worldcat.org/oclc/51239830","WorldCat Record")</f>
        <v/>
      </c>
      <c r="AW1606" t="inlineStr">
        <is>
          <t>320760:eng</t>
        </is>
      </c>
      <c r="AX1606" t="inlineStr">
        <is>
          <t>51239830</t>
        </is>
      </c>
      <c r="AY1606" t="inlineStr">
        <is>
          <t>991000349509702656</t>
        </is>
      </c>
      <c r="AZ1606" t="inlineStr">
        <is>
          <t>991000349509702656</t>
        </is>
      </c>
      <c r="BA1606" t="inlineStr">
        <is>
          <t>2269239980002656</t>
        </is>
      </c>
      <c r="BB1606" t="inlineStr">
        <is>
          <t>BOOK</t>
        </is>
      </c>
      <c r="BD1606" t="inlineStr">
        <is>
          <t>9780721693347</t>
        </is>
      </c>
      <c r="BE1606" t="inlineStr">
        <is>
          <t>30001004501252</t>
        </is>
      </c>
      <c r="BF1606" t="inlineStr">
        <is>
          <t>893359494</t>
        </is>
      </c>
    </row>
    <row r="1607">
      <c r="A1607" t="inlineStr">
        <is>
          <t>No</t>
        </is>
      </c>
      <c r="B1607" t="inlineStr">
        <is>
          <t>CUHSL</t>
        </is>
      </c>
      <c r="C1607" t="inlineStr">
        <is>
          <t>SHELVES</t>
        </is>
      </c>
      <c r="D1607" t="inlineStr">
        <is>
          <t>WY157.3 L527m 2005</t>
        </is>
      </c>
      <c r="E1607" t="inlineStr">
        <is>
          <t>0                      WY 0157300L  527m        2005</t>
        </is>
      </c>
      <c r="F1607" t="inlineStr">
        <is>
          <t>Maternity nursing : an introductory text / Gloria Leifer.</t>
        </is>
      </c>
      <c r="H1607" t="inlineStr">
        <is>
          <t>No</t>
        </is>
      </c>
      <c r="I1607" t="inlineStr">
        <is>
          <t>1</t>
        </is>
      </c>
      <c r="J1607" t="inlineStr">
        <is>
          <t>No</t>
        </is>
      </c>
      <c r="K1607" t="inlineStr">
        <is>
          <t>No</t>
        </is>
      </c>
      <c r="L1607" t="inlineStr">
        <is>
          <t>0</t>
        </is>
      </c>
      <c r="M1607" t="inlineStr">
        <is>
          <t>Leifer, Gloria.</t>
        </is>
      </c>
      <c r="N1607" t="inlineStr">
        <is>
          <t>St. Louis, Mo. : Elsevier/Saunders, c2005.</t>
        </is>
      </c>
      <c r="O1607" t="inlineStr">
        <is>
          <t>2005</t>
        </is>
      </c>
      <c r="P1607" t="inlineStr">
        <is>
          <t>9th ed.</t>
        </is>
      </c>
      <c r="Q1607" t="inlineStr">
        <is>
          <t>eng</t>
        </is>
      </c>
      <c r="R1607" t="inlineStr">
        <is>
          <t>mou</t>
        </is>
      </c>
      <c r="T1607" t="inlineStr">
        <is>
          <t xml:space="preserve">WY </t>
        </is>
      </c>
      <c r="U1607" t="n">
        <v>0</v>
      </c>
      <c r="V1607" t="n">
        <v>0</v>
      </c>
      <c r="W1607" t="inlineStr">
        <is>
          <t>2006-01-17</t>
        </is>
      </c>
      <c r="X1607" t="inlineStr">
        <is>
          <t>2006-01-17</t>
        </is>
      </c>
      <c r="Y1607" t="inlineStr">
        <is>
          <t>2006-01-16</t>
        </is>
      </c>
      <c r="Z1607" t="inlineStr">
        <is>
          <t>2006-01-16</t>
        </is>
      </c>
      <c r="AA1607" t="n">
        <v>228</v>
      </c>
      <c r="AB1607" t="n">
        <v>173</v>
      </c>
      <c r="AC1607" t="n">
        <v>334</v>
      </c>
      <c r="AD1607" t="n">
        <v>1</v>
      </c>
      <c r="AE1607" t="n">
        <v>2</v>
      </c>
      <c r="AF1607" t="n">
        <v>4</v>
      </c>
      <c r="AG1607" t="n">
        <v>6</v>
      </c>
      <c r="AH1607" t="n">
        <v>2</v>
      </c>
      <c r="AI1607" t="n">
        <v>2</v>
      </c>
      <c r="AJ1607" t="n">
        <v>0</v>
      </c>
      <c r="AK1607" t="n">
        <v>0</v>
      </c>
      <c r="AL1607" t="n">
        <v>2</v>
      </c>
      <c r="AM1607" t="n">
        <v>3</v>
      </c>
      <c r="AN1607" t="n">
        <v>0</v>
      </c>
      <c r="AO1607" t="n">
        <v>1</v>
      </c>
      <c r="AP1607" t="n">
        <v>0</v>
      </c>
      <c r="AQ1607" t="n">
        <v>0</v>
      </c>
      <c r="AR1607" t="inlineStr">
        <is>
          <t>No</t>
        </is>
      </c>
      <c r="AS1607" t="inlineStr">
        <is>
          <t>Yes</t>
        </is>
      </c>
      <c r="AT1607">
        <f>HYPERLINK("http://catalog.hathitrust.org/Record/004953883","HathiTrust Record")</f>
        <v/>
      </c>
      <c r="AU1607">
        <f>HYPERLINK("https://creighton-primo.hosted.exlibrisgroup.com/primo-explore/search?tab=default_tab&amp;search_scope=EVERYTHING&amp;vid=01CRU&amp;lang=en_US&amp;offset=0&amp;query=any,contains,991000455319702656","Catalog Record")</f>
        <v/>
      </c>
      <c r="AV1607">
        <f>HYPERLINK("http://www.worldcat.org/oclc/56614620","WorldCat Record")</f>
        <v/>
      </c>
      <c r="AW1607" t="inlineStr">
        <is>
          <t>792173053:eng</t>
        </is>
      </c>
      <c r="AX1607" t="inlineStr">
        <is>
          <t>56614620</t>
        </is>
      </c>
      <c r="AY1607" t="inlineStr">
        <is>
          <t>991000455319702656</t>
        </is>
      </c>
      <c r="AZ1607" t="inlineStr">
        <is>
          <t>991000455319702656</t>
        </is>
      </c>
      <c r="BA1607" t="inlineStr">
        <is>
          <t>2262251160002656</t>
        </is>
      </c>
      <c r="BB1607" t="inlineStr">
        <is>
          <t>BOOK</t>
        </is>
      </c>
      <c r="BD1607" t="inlineStr">
        <is>
          <t>9780721604787</t>
        </is>
      </c>
      <c r="BE1607" t="inlineStr">
        <is>
          <t>30001004910529</t>
        </is>
      </c>
      <c r="BF1607" t="inlineStr">
        <is>
          <t>893553585</t>
        </is>
      </c>
    </row>
    <row r="1608">
      <c r="A1608" t="inlineStr">
        <is>
          <t>No</t>
        </is>
      </c>
      <c r="B1608" t="inlineStr">
        <is>
          <t>CUHSL</t>
        </is>
      </c>
      <c r="C1608" t="inlineStr">
        <is>
          <t>SHELVES</t>
        </is>
      </c>
      <c r="D1608" t="inlineStr">
        <is>
          <t>WY157.3 L781m 2002</t>
        </is>
      </c>
      <c r="E1608" t="inlineStr">
        <is>
          <t>0                      WY 0157300L  781m        2002</t>
        </is>
      </c>
      <c r="F1608" t="inlineStr">
        <is>
          <t>Maternal, neonatal, and women's health nursing / Lynna Y. Littleton and Joan C. Engebretson.</t>
        </is>
      </c>
      <c r="H1608" t="inlineStr">
        <is>
          <t>No</t>
        </is>
      </c>
      <c r="I1608" t="inlineStr">
        <is>
          <t>1</t>
        </is>
      </c>
      <c r="J1608" t="inlineStr">
        <is>
          <t>No</t>
        </is>
      </c>
      <c r="K1608" t="inlineStr">
        <is>
          <t>No</t>
        </is>
      </c>
      <c r="L1608" t="inlineStr">
        <is>
          <t>0</t>
        </is>
      </c>
      <c r="M1608" t="inlineStr">
        <is>
          <t>Littleton-Gibbs, Lynna Y.</t>
        </is>
      </c>
      <c r="N1608" t="inlineStr">
        <is>
          <t>Australia ; [Albany, N.Y.] United States : Delmar Thomson Learning, c2002.</t>
        </is>
      </c>
      <c r="O1608" t="inlineStr">
        <is>
          <t>2002</t>
        </is>
      </c>
      <c r="Q1608" t="inlineStr">
        <is>
          <t>eng</t>
        </is>
      </c>
      <c r="R1608" t="inlineStr">
        <is>
          <t xml:space="preserve">at </t>
        </is>
      </c>
      <c r="T1608" t="inlineStr">
        <is>
          <t xml:space="preserve">WY </t>
        </is>
      </c>
      <c r="U1608" t="n">
        <v>17</v>
      </c>
      <c r="V1608" t="n">
        <v>17</v>
      </c>
      <c r="W1608" t="inlineStr">
        <is>
          <t>2008-01-28</t>
        </is>
      </c>
      <c r="X1608" t="inlineStr">
        <is>
          <t>2008-01-28</t>
        </is>
      </c>
      <c r="Y1608" t="inlineStr">
        <is>
          <t>2002-08-20</t>
        </is>
      </c>
      <c r="Z1608" t="inlineStr">
        <is>
          <t>2002-08-20</t>
        </is>
      </c>
      <c r="AA1608" t="n">
        <v>261</v>
      </c>
      <c r="AB1608" t="n">
        <v>193</v>
      </c>
      <c r="AC1608" t="n">
        <v>1249</v>
      </c>
      <c r="AD1608" t="n">
        <v>1</v>
      </c>
      <c r="AE1608" t="n">
        <v>27</v>
      </c>
      <c r="AF1608" t="n">
        <v>5</v>
      </c>
      <c r="AG1608" t="n">
        <v>37</v>
      </c>
      <c r="AH1608" t="n">
        <v>4</v>
      </c>
      <c r="AI1608" t="n">
        <v>11</v>
      </c>
      <c r="AJ1608" t="n">
        <v>0</v>
      </c>
      <c r="AK1608" t="n">
        <v>9</v>
      </c>
      <c r="AL1608" t="n">
        <v>2</v>
      </c>
      <c r="AM1608" t="n">
        <v>12</v>
      </c>
      <c r="AN1608" t="n">
        <v>0</v>
      </c>
      <c r="AO1608" t="n">
        <v>12</v>
      </c>
      <c r="AP1608" t="n">
        <v>0</v>
      </c>
      <c r="AQ1608" t="n">
        <v>0</v>
      </c>
      <c r="AR1608" t="inlineStr">
        <is>
          <t>No</t>
        </is>
      </c>
      <c r="AS1608" t="inlineStr">
        <is>
          <t>No</t>
        </is>
      </c>
      <c r="AU1608">
        <f>HYPERLINK("https://creighton-primo.hosted.exlibrisgroup.com/primo-explore/search?tab=default_tab&amp;search_scope=EVERYTHING&amp;vid=01CRU&amp;lang=en_US&amp;offset=0&amp;query=any,contains,991001715689702656","Catalog Record")</f>
        <v/>
      </c>
      <c r="AV1608">
        <f>HYPERLINK("http://www.worldcat.org/oclc/46937566","WorldCat Record")</f>
        <v/>
      </c>
      <c r="AW1608" t="inlineStr">
        <is>
          <t>1047783:eng</t>
        </is>
      </c>
      <c r="AX1608" t="inlineStr">
        <is>
          <t>46937566</t>
        </is>
      </c>
      <c r="AY1608" t="inlineStr">
        <is>
          <t>991001715689702656</t>
        </is>
      </c>
      <c r="AZ1608" t="inlineStr">
        <is>
          <t>991001715689702656</t>
        </is>
      </c>
      <c r="BA1608" t="inlineStr">
        <is>
          <t>2266691400002656</t>
        </is>
      </c>
      <c r="BB1608" t="inlineStr">
        <is>
          <t>BOOK</t>
        </is>
      </c>
      <c r="BD1608" t="inlineStr">
        <is>
          <t>9780766801219</t>
        </is>
      </c>
      <c r="BE1608" t="inlineStr">
        <is>
          <t>30001004441574</t>
        </is>
      </c>
      <c r="BF1608" t="inlineStr">
        <is>
          <t>893456009</t>
        </is>
      </c>
    </row>
    <row r="1609">
      <c r="A1609" t="inlineStr">
        <is>
          <t>No</t>
        </is>
      </c>
      <c r="B1609" t="inlineStr">
        <is>
          <t>CUHSL</t>
        </is>
      </c>
      <c r="C1609" t="inlineStr">
        <is>
          <t>SHELVES</t>
        </is>
      </c>
      <c r="D1609" t="inlineStr">
        <is>
          <t>WY157.3 M4253 2005</t>
        </is>
      </c>
      <c r="E1609" t="inlineStr">
        <is>
          <t>0                      WY 0157300M  4253        2005</t>
        </is>
      </c>
      <c r="F1609" t="inlineStr">
        <is>
          <t>Maternal-child nursing / Emily Slone McKinney ... [et al.].</t>
        </is>
      </c>
      <c r="H1609" t="inlineStr">
        <is>
          <t>No</t>
        </is>
      </c>
      <c r="I1609" t="inlineStr">
        <is>
          <t>1</t>
        </is>
      </c>
      <c r="J1609" t="inlineStr">
        <is>
          <t>No</t>
        </is>
      </c>
      <c r="K1609" t="inlineStr">
        <is>
          <t>Yes</t>
        </is>
      </c>
      <c r="L1609" t="inlineStr">
        <is>
          <t>0</t>
        </is>
      </c>
      <c r="N1609" t="inlineStr">
        <is>
          <t>St. Louis, Mo. : Elsevier Saunders, c2005.</t>
        </is>
      </c>
      <c r="O1609" t="inlineStr">
        <is>
          <t>2005</t>
        </is>
      </c>
      <c r="P1609" t="inlineStr">
        <is>
          <t>2nd ed.</t>
        </is>
      </c>
      <c r="Q1609" t="inlineStr">
        <is>
          <t>eng</t>
        </is>
      </c>
      <c r="R1609" t="inlineStr">
        <is>
          <t>mou</t>
        </is>
      </c>
      <c r="T1609" t="inlineStr">
        <is>
          <t xml:space="preserve">WY </t>
        </is>
      </c>
      <c r="U1609" t="n">
        <v>1</v>
      </c>
      <c r="V1609" t="n">
        <v>1</v>
      </c>
      <c r="W1609" t="inlineStr">
        <is>
          <t>2006-10-22</t>
        </is>
      </c>
      <c r="X1609" t="inlineStr">
        <is>
          <t>2006-10-22</t>
        </is>
      </c>
      <c r="Y1609" t="inlineStr">
        <is>
          <t>2006-01-26</t>
        </is>
      </c>
      <c r="Z1609" t="inlineStr">
        <is>
          <t>2006-01-26</t>
        </is>
      </c>
      <c r="AA1609" t="n">
        <v>232</v>
      </c>
      <c r="AB1609" t="n">
        <v>168</v>
      </c>
      <c r="AC1609" t="n">
        <v>561</v>
      </c>
      <c r="AD1609" t="n">
        <v>1</v>
      </c>
      <c r="AE1609" t="n">
        <v>3</v>
      </c>
      <c r="AF1609" t="n">
        <v>5</v>
      </c>
      <c r="AG1609" t="n">
        <v>15</v>
      </c>
      <c r="AH1609" t="n">
        <v>1</v>
      </c>
      <c r="AI1609" t="n">
        <v>5</v>
      </c>
      <c r="AJ1609" t="n">
        <v>1</v>
      </c>
      <c r="AK1609" t="n">
        <v>2</v>
      </c>
      <c r="AL1609" t="n">
        <v>4</v>
      </c>
      <c r="AM1609" t="n">
        <v>8</v>
      </c>
      <c r="AN1609" t="n">
        <v>0</v>
      </c>
      <c r="AO1609" t="n">
        <v>2</v>
      </c>
      <c r="AP1609" t="n">
        <v>0</v>
      </c>
      <c r="AQ1609" t="n">
        <v>0</v>
      </c>
      <c r="AR1609" t="inlineStr">
        <is>
          <t>No</t>
        </is>
      </c>
      <c r="AS1609" t="inlineStr">
        <is>
          <t>No</t>
        </is>
      </c>
      <c r="AU1609">
        <f>HYPERLINK("https://creighton-primo.hosted.exlibrisgroup.com/primo-explore/search?tab=default_tab&amp;search_scope=EVERYTHING&amp;vid=01CRU&amp;lang=en_US&amp;offset=0&amp;query=any,contains,991000458499702656","Catalog Record")</f>
        <v/>
      </c>
      <c r="AV1609">
        <f>HYPERLINK("http://www.worldcat.org/oclc/56369084","WorldCat Record")</f>
        <v/>
      </c>
      <c r="AW1609" t="inlineStr">
        <is>
          <t>56423577:eng</t>
        </is>
      </c>
      <c r="AX1609" t="inlineStr">
        <is>
          <t>56369084</t>
        </is>
      </c>
      <c r="AY1609" t="inlineStr">
        <is>
          <t>991000458499702656</t>
        </is>
      </c>
      <c r="AZ1609" t="inlineStr">
        <is>
          <t>991000458499702656</t>
        </is>
      </c>
      <c r="BA1609" t="inlineStr">
        <is>
          <t>2260182120002656</t>
        </is>
      </c>
      <c r="BB1609" t="inlineStr">
        <is>
          <t>BOOK</t>
        </is>
      </c>
      <c r="BD1609" t="inlineStr">
        <is>
          <t>9780721606996</t>
        </is>
      </c>
      <c r="BE1609" t="inlineStr">
        <is>
          <t>30001004910644</t>
        </is>
      </c>
      <c r="BF1609" t="inlineStr">
        <is>
          <t>893737372</t>
        </is>
      </c>
    </row>
    <row r="1610">
      <c r="A1610" t="inlineStr">
        <is>
          <t>No</t>
        </is>
      </c>
      <c r="B1610" t="inlineStr">
        <is>
          <t>CUHSL</t>
        </is>
      </c>
      <c r="C1610" t="inlineStr">
        <is>
          <t>SHELVES</t>
        </is>
      </c>
      <c r="D1610" t="inlineStr">
        <is>
          <t>WY157.3 M4254 2006</t>
        </is>
      </c>
      <c r="E1610" t="inlineStr">
        <is>
          <t>0                      WY 0157300M  4254        2006</t>
        </is>
      </c>
      <c r="F1610" t="inlineStr">
        <is>
          <t>Maternal child nursing care / Donna L. Wong ... [et al.].</t>
        </is>
      </c>
      <c r="H1610" t="inlineStr">
        <is>
          <t>No</t>
        </is>
      </c>
      <c r="I1610" t="inlineStr">
        <is>
          <t>1</t>
        </is>
      </c>
      <c r="J1610" t="inlineStr">
        <is>
          <t>No</t>
        </is>
      </c>
      <c r="K1610" t="inlineStr">
        <is>
          <t>No</t>
        </is>
      </c>
      <c r="L1610" t="inlineStr">
        <is>
          <t>0</t>
        </is>
      </c>
      <c r="N1610" t="inlineStr">
        <is>
          <t>St. Louis, Mo. : Mosby Elsevier, c2006.</t>
        </is>
      </c>
      <c r="O1610" t="inlineStr">
        <is>
          <t>2006</t>
        </is>
      </c>
      <c r="P1610" t="inlineStr">
        <is>
          <t>3rd ed.</t>
        </is>
      </c>
      <c r="Q1610" t="inlineStr">
        <is>
          <t>eng</t>
        </is>
      </c>
      <c r="R1610" t="inlineStr">
        <is>
          <t>mou</t>
        </is>
      </c>
      <c r="T1610" t="inlineStr">
        <is>
          <t xml:space="preserve">WY </t>
        </is>
      </c>
      <c r="U1610" t="n">
        <v>3</v>
      </c>
      <c r="V1610" t="n">
        <v>3</v>
      </c>
      <c r="W1610" t="inlineStr">
        <is>
          <t>2006-04-13</t>
        </is>
      </c>
      <c r="X1610" t="inlineStr">
        <is>
          <t>2006-04-13</t>
        </is>
      </c>
      <c r="Y1610" t="inlineStr">
        <is>
          <t>2006-04-06</t>
        </is>
      </c>
      <c r="Z1610" t="inlineStr">
        <is>
          <t>2006-04-06</t>
        </is>
      </c>
      <c r="AA1610" t="n">
        <v>328</v>
      </c>
      <c r="AB1610" t="n">
        <v>240</v>
      </c>
      <c r="AC1610" t="n">
        <v>240</v>
      </c>
      <c r="AD1610" t="n">
        <v>1</v>
      </c>
      <c r="AE1610" t="n">
        <v>1</v>
      </c>
      <c r="AF1610" t="n">
        <v>3</v>
      </c>
      <c r="AG1610" t="n">
        <v>3</v>
      </c>
      <c r="AH1610" t="n">
        <v>0</v>
      </c>
      <c r="AI1610" t="n">
        <v>0</v>
      </c>
      <c r="AJ1610" t="n">
        <v>0</v>
      </c>
      <c r="AK1610" t="n">
        <v>0</v>
      </c>
      <c r="AL1610" t="n">
        <v>3</v>
      </c>
      <c r="AM1610" t="n">
        <v>3</v>
      </c>
      <c r="AN1610" t="n">
        <v>0</v>
      </c>
      <c r="AO1610" t="n">
        <v>0</v>
      </c>
      <c r="AP1610" t="n">
        <v>0</v>
      </c>
      <c r="AQ1610" t="n">
        <v>0</v>
      </c>
      <c r="AR1610" t="inlineStr">
        <is>
          <t>No</t>
        </is>
      </c>
      <c r="AS1610" t="inlineStr">
        <is>
          <t>No</t>
        </is>
      </c>
      <c r="AU1610">
        <f>HYPERLINK("https://creighton-primo.hosted.exlibrisgroup.com/primo-explore/search?tab=default_tab&amp;search_scope=EVERYTHING&amp;vid=01CRU&amp;lang=en_US&amp;offset=0&amp;query=any,contains,991001738489702656","Catalog Record")</f>
        <v/>
      </c>
      <c r="AV1610">
        <f>HYPERLINK("http://www.worldcat.org/oclc/60903175","WorldCat Record")</f>
        <v/>
      </c>
      <c r="AW1610" t="inlineStr">
        <is>
          <t>8910074585:eng</t>
        </is>
      </c>
      <c r="AX1610" t="inlineStr">
        <is>
          <t>60903175</t>
        </is>
      </c>
      <c r="AY1610" t="inlineStr">
        <is>
          <t>991001738489702656</t>
        </is>
      </c>
      <c r="AZ1610" t="inlineStr">
        <is>
          <t>991001738489702656</t>
        </is>
      </c>
      <c r="BA1610" t="inlineStr">
        <is>
          <t>2269854080002656</t>
        </is>
      </c>
      <c r="BB1610" t="inlineStr">
        <is>
          <t>BOOK</t>
        </is>
      </c>
      <c r="BD1610" t="inlineStr">
        <is>
          <t>9780323028653</t>
        </is>
      </c>
      <c r="BE1610" t="inlineStr">
        <is>
          <t>30001005125937</t>
        </is>
      </c>
      <c r="BF1610" t="inlineStr">
        <is>
          <t>893552711</t>
        </is>
      </c>
    </row>
    <row r="1611">
      <c r="A1611" t="inlineStr">
        <is>
          <t>No</t>
        </is>
      </c>
      <c r="B1611" t="inlineStr">
        <is>
          <t>CUHSL</t>
        </is>
      </c>
      <c r="C1611" t="inlineStr">
        <is>
          <t>SHELVES</t>
        </is>
      </c>
      <c r="D1611" t="inlineStr">
        <is>
          <t>WY 157.3 M4258w 1984</t>
        </is>
      </c>
      <c r="E1611" t="inlineStr">
        <is>
          <t>0                      WY 0157300M  4258w       1984</t>
        </is>
      </c>
      <c r="F1611" t="inlineStr">
        <is>
          <t>Maternal-newborn nursing care : a workbook / Sally B. Olds, Marcia L. London, Patricia A. Ladewig.</t>
        </is>
      </c>
      <c r="H1611" t="inlineStr">
        <is>
          <t>No</t>
        </is>
      </c>
      <c r="I1611" t="inlineStr">
        <is>
          <t>1</t>
        </is>
      </c>
      <c r="J1611" t="inlineStr">
        <is>
          <t>No</t>
        </is>
      </c>
      <c r="K1611" t="inlineStr">
        <is>
          <t>No</t>
        </is>
      </c>
      <c r="L1611" t="inlineStr">
        <is>
          <t>0</t>
        </is>
      </c>
      <c r="M1611" t="inlineStr">
        <is>
          <t>Olds, Sally B., 1940-</t>
        </is>
      </c>
      <c r="N1611" t="inlineStr">
        <is>
          <t>Menlo Park, Calif. : Addison-Wesley, c1984.</t>
        </is>
      </c>
      <c r="O1611" t="inlineStr">
        <is>
          <t>1984</t>
        </is>
      </c>
      <c r="P1611" t="inlineStr">
        <is>
          <t>Rev. ed.</t>
        </is>
      </c>
      <c r="Q1611" t="inlineStr">
        <is>
          <t>eng</t>
        </is>
      </c>
      <c r="R1611" t="inlineStr">
        <is>
          <t>cau</t>
        </is>
      </c>
      <c r="T1611" t="inlineStr">
        <is>
          <t xml:space="preserve">WY </t>
        </is>
      </c>
      <c r="U1611" t="n">
        <v>3</v>
      </c>
      <c r="V1611" t="n">
        <v>3</v>
      </c>
      <c r="W1611" t="inlineStr">
        <is>
          <t>1997-07-15</t>
        </is>
      </c>
      <c r="X1611" t="inlineStr">
        <is>
          <t>1997-07-15</t>
        </is>
      </c>
      <c r="Y1611" t="inlineStr">
        <is>
          <t>1987-10-24</t>
        </is>
      </c>
      <c r="Z1611" t="inlineStr">
        <is>
          <t>1987-10-24</t>
        </is>
      </c>
      <c r="AA1611" t="n">
        <v>25</v>
      </c>
      <c r="AB1611" t="n">
        <v>20</v>
      </c>
      <c r="AC1611" t="n">
        <v>30</v>
      </c>
      <c r="AD1611" t="n">
        <v>1</v>
      </c>
      <c r="AE1611" t="n">
        <v>2</v>
      </c>
      <c r="AF1611" t="n">
        <v>1</v>
      </c>
      <c r="AG1611" t="n">
        <v>1</v>
      </c>
      <c r="AH1611" t="n">
        <v>0</v>
      </c>
      <c r="AI1611" t="n">
        <v>0</v>
      </c>
      <c r="AJ1611" t="n">
        <v>0</v>
      </c>
      <c r="AK1611" t="n">
        <v>0</v>
      </c>
      <c r="AL1611" t="n">
        <v>1</v>
      </c>
      <c r="AM1611" t="n">
        <v>1</v>
      </c>
      <c r="AN1611" t="n">
        <v>0</v>
      </c>
      <c r="AO1611" t="n">
        <v>0</v>
      </c>
      <c r="AP1611" t="n">
        <v>0</v>
      </c>
      <c r="AQ1611" t="n">
        <v>0</v>
      </c>
      <c r="AR1611" t="inlineStr">
        <is>
          <t>No</t>
        </is>
      </c>
      <c r="AS1611" t="inlineStr">
        <is>
          <t>No</t>
        </is>
      </c>
      <c r="AU1611">
        <f>HYPERLINK("https://creighton-primo.hosted.exlibrisgroup.com/primo-explore/search?tab=default_tab&amp;search_scope=EVERYTHING&amp;vid=01CRU&amp;lang=en_US&amp;offset=0&amp;query=any,contains,991000732479702656","Catalog Record")</f>
        <v/>
      </c>
      <c r="AV1611">
        <f>HYPERLINK("http://www.worldcat.org/oclc/10598976","WorldCat Record")</f>
        <v/>
      </c>
      <c r="AW1611" t="inlineStr">
        <is>
          <t>3855308580:eng</t>
        </is>
      </c>
      <c r="AX1611" t="inlineStr">
        <is>
          <t>10598976</t>
        </is>
      </c>
      <c r="AY1611" t="inlineStr">
        <is>
          <t>991000732479702656</t>
        </is>
      </c>
      <c r="AZ1611" t="inlineStr">
        <is>
          <t>991000732479702656</t>
        </is>
      </c>
      <c r="BA1611" t="inlineStr">
        <is>
          <t>2265916630002656</t>
        </is>
      </c>
      <c r="BB1611" t="inlineStr">
        <is>
          <t>BOOK</t>
        </is>
      </c>
      <c r="BD1611" t="inlineStr">
        <is>
          <t>9780201127997</t>
        </is>
      </c>
      <c r="BE1611" t="inlineStr">
        <is>
          <t>30001000040693</t>
        </is>
      </c>
      <c r="BF1611" t="inlineStr">
        <is>
          <t>893545722</t>
        </is>
      </c>
    </row>
    <row r="1612">
      <c r="A1612" t="inlineStr">
        <is>
          <t>No</t>
        </is>
      </c>
      <c r="B1612" t="inlineStr">
        <is>
          <t>CUHSL</t>
        </is>
      </c>
      <c r="C1612" t="inlineStr">
        <is>
          <t>SHELVES</t>
        </is>
      </c>
      <c r="D1612" t="inlineStr">
        <is>
          <t>WY 157.3 M42655 2000</t>
        </is>
      </c>
      <c r="E1612" t="inlineStr">
        <is>
          <t>0                      WY 0157300M  42655       2000</t>
        </is>
      </c>
      <c r="F1612" t="inlineStr">
        <is>
          <t>Maternity &amp; women's health care / [edited by] Deitra Leonard Lowdermilk, Shannon E. Perry.</t>
        </is>
      </c>
      <c r="H1612" t="inlineStr">
        <is>
          <t>No</t>
        </is>
      </c>
      <c r="I1612" t="inlineStr">
        <is>
          <t>1</t>
        </is>
      </c>
      <c r="J1612" t="inlineStr">
        <is>
          <t>No</t>
        </is>
      </c>
      <c r="K1612" t="inlineStr">
        <is>
          <t>Yes</t>
        </is>
      </c>
      <c r="L1612" t="inlineStr">
        <is>
          <t>0</t>
        </is>
      </c>
      <c r="N1612" t="inlineStr">
        <is>
          <t>St. Louis : Mosby, c2004.</t>
        </is>
      </c>
      <c r="O1612" t="inlineStr">
        <is>
          <t>2004</t>
        </is>
      </c>
      <c r="P1612" t="inlineStr">
        <is>
          <t>8th ed.</t>
        </is>
      </c>
      <c r="Q1612" t="inlineStr">
        <is>
          <t>eng</t>
        </is>
      </c>
      <c r="R1612" t="inlineStr">
        <is>
          <t>mou</t>
        </is>
      </c>
      <c r="T1612" t="inlineStr">
        <is>
          <t xml:space="preserve">WY </t>
        </is>
      </c>
      <c r="U1612" t="n">
        <v>2</v>
      </c>
      <c r="V1612" t="n">
        <v>2</v>
      </c>
      <c r="W1612" t="inlineStr">
        <is>
          <t>2007-06-08</t>
        </is>
      </c>
      <c r="X1612" t="inlineStr">
        <is>
          <t>2007-06-08</t>
        </is>
      </c>
      <c r="Y1612" t="inlineStr">
        <is>
          <t>2006-01-23</t>
        </is>
      </c>
      <c r="Z1612" t="inlineStr">
        <is>
          <t>2006-01-23</t>
        </is>
      </c>
      <c r="AA1612" t="n">
        <v>334</v>
      </c>
      <c r="AB1612" t="n">
        <v>264</v>
      </c>
      <c r="AC1612" t="n">
        <v>1022</v>
      </c>
      <c r="AD1612" t="n">
        <v>2</v>
      </c>
      <c r="AE1612" t="n">
        <v>10</v>
      </c>
      <c r="AF1612" t="n">
        <v>8</v>
      </c>
      <c r="AG1612" t="n">
        <v>31</v>
      </c>
      <c r="AH1612" t="n">
        <v>3</v>
      </c>
      <c r="AI1612" t="n">
        <v>11</v>
      </c>
      <c r="AJ1612" t="n">
        <v>1</v>
      </c>
      <c r="AK1612" t="n">
        <v>5</v>
      </c>
      <c r="AL1612" t="n">
        <v>3</v>
      </c>
      <c r="AM1612" t="n">
        <v>11</v>
      </c>
      <c r="AN1612" t="n">
        <v>1</v>
      </c>
      <c r="AO1612" t="n">
        <v>7</v>
      </c>
      <c r="AP1612" t="n">
        <v>0</v>
      </c>
      <c r="AQ1612" t="n">
        <v>0</v>
      </c>
      <c r="AR1612" t="inlineStr">
        <is>
          <t>No</t>
        </is>
      </c>
      <c r="AS1612" t="inlineStr">
        <is>
          <t>No</t>
        </is>
      </c>
      <c r="AU1612">
        <f>HYPERLINK("https://creighton-primo.hosted.exlibrisgroup.com/primo-explore/search?tab=default_tab&amp;search_scope=EVERYTHING&amp;vid=01CRU&amp;lang=en_US&amp;offset=0&amp;query=any,contains,991000423409702656","Catalog Record")</f>
        <v/>
      </c>
      <c r="AV1612">
        <f>HYPERLINK("http://www.worldcat.org/oclc/51982677","WorldCat Record")</f>
        <v/>
      </c>
      <c r="AW1612" t="inlineStr">
        <is>
          <t>866527047:eng</t>
        </is>
      </c>
      <c r="AX1612" t="inlineStr">
        <is>
          <t>51982677</t>
        </is>
      </c>
      <c r="AY1612" t="inlineStr">
        <is>
          <t>991000423409702656</t>
        </is>
      </c>
      <c r="AZ1612" t="inlineStr">
        <is>
          <t>991000423409702656</t>
        </is>
      </c>
      <c r="BA1612" t="inlineStr">
        <is>
          <t>2268556910002656</t>
        </is>
      </c>
      <c r="BB1612" t="inlineStr">
        <is>
          <t>BOOK</t>
        </is>
      </c>
      <c r="BD1612" t="inlineStr">
        <is>
          <t>9780323020084</t>
        </is>
      </c>
      <c r="BE1612" t="inlineStr">
        <is>
          <t>30001004910651</t>
        </is>
      </c>
      <c r="BF1612" t="inlineStr">
        <is>
          <t>893822135</t>
        </is>
      </c>
    </row>
    <row r="1613">
      <c r="A1613" t="inlineStr">
        <is>
          <t>No</t>
        </is>
      </c>
      <c r="B1613" t="inlineStr">
        <is>
          <t>CUHSL</t>
        </is>
      </c>
      <c r="C1613" t="inlineStr">
        <is>
          <t>SHELVES</t>
        </is>
      </c>
      <c r="D1613" t="inlineStr">
        <is>
          <t>WY 157.3 M4266 1995</t>
        </is>
      </c>
      <c r="E1613" t="inlineStr">
        <is>
          <t>0                      WY 0157300M  4266        1995</t>
        </is>
      </c>
      <c r="F1613" t="inlineStr">
        <is>
          <t>Maternity nursing / [edited by] Irene M. Bobak, Deitra Leonard Lowdermilk, Maragaret Duncan Jensen ; associate editor, Shannon E. Perry.</t>
        </is>
      </c>
      <c r="H1613" t="inlineStr">
        <is>
          <t>No</t>
        </is>
      </c>
      <c r="I1613" t="inlineStr">
        <is>
          <t>1</t>
        </is>
      </c>
      <c r="J1613" t="inlineStr">
        <is>
          <t>No</t>
        </is>
      </c>
      <c r="K1613" t="inlineStr">
        <is>
          <t>Yes</t>
        </is>
      </c>
      <c r="L1613" t="inlineStr">
        <is>
          <t>0</t>
        </is>
      </c>
      <c r="N1613" t="inlineStr">
        <is>
          <t>St. Louis : Mosby, c1995.</t>
        </is>
      </c>
      <c r="O1613" t="inlineStr">
        <is>
          <t>1995</t>
        </is>
      </c>
      <c r="P1613" t="inlineStr">
        <is>
          <t>4th ed.</t>
        </is>
      </c>
      <c r="Q1613" t="inlineStr">
        <is>
          <t>eng</t>
        </is>
      </c>
      <c r="R1613" t="inlineStr">
        <is>
          <t>mou</t>
        </is>
      </c>
      <c r="T1613" t="inlineStr">
        <is>
          <t xml:space="preserve">WY </t>
        </is>
      </c>
      <c r="U1613" t="n">
        <v>4</v>
      </c>
      <c r="V1613" t="n">
        <v>4</v>
      </c>
      <c r="W1613" t="inlineStr">
        <is>
          <t>1997-04-03</t>
        </is>
      </c>
      <c r="X1613" t="inlineStr">
        <is>
          <t>1997-04-03</t>
        </is>
      </c>
      <c r="Y1613" t="inlineStr">
        <is>
          <t>1996-06-25</t>
        </is>
      </c>
      <c r="Z1613" t="inlineStr">
        <is>
          <t>1996-06-25</t>
        </is>
      </c>
      <c r="AA1613" t="n">
        <v>256</v>
      </c>
      <c r="AB1613" t="n">
        <v>193</v>
      </c>
      <c r="AC1613" t="n">
        <v>772</v>
      </c>
      <c r="AD1613" t="n">
        <v>2</v>
      </c>
      <c r="AE1613" t="n">
        <v>4</v>
      </c>
      <c r="AF1613" t="n">
        <v>5</v>
      </c>
      <c r="AG1613" t="n">
        <v>22</v>
      </c>
      <c r="AH1613" t="n">
        <v>2</v>
      </c>
      <c r="AI1613" t="n">
        <v>9</v>
      </c>
      <c r="AJ1613" t="n">
        <v>0</v>
      </c>
      <c r="AK1613" t="n">
        <v>4</v>
      </c>
      <c r="AL1613" t="n">
        <v>2</v>
      </c>
      <c r="AM1613" t="n">
        <v>8</v>
      </c>
      <c r="AN1613" t="n">
        <v>1</v>
      </c>
      <c r="AO1613" t="n">
        <v>3</v>
      </c>
      <c r="AP1613" t="n">
        <v>0</v>
      </c>
      <c r="AQ1613" t="n">
        <v>0</v>
      </c>
      <c r="AR1613" t="inlineStr">
        <is>
          <t>No</t>
        </is>
      </c>
      <c r="AS1613" t="inlineStr">
        <is>
          <t>Yes</t>
        </is>
      </c>
      <c r="AT1613">
        <f>HYPERLINK("http://catalog.hathitrust.org/Record/002938561","HathiTrust Record")</f>
        <v/>
      </c>
      <c r="AU1613">
        <f>HYPERLINK("https://creighton-primo.hosted.exlibrisgroup.com/primo-explore/search?tab=default_tab&amp;search_scope=EVERYTHING&amp;vid=01CRU&amp;lang=en_US&amp;offset=0&amp;query=any,contains,991001507439702656","Catalog Record")</f>
        <v/>
      </c>
      <c r="AV1613">
        <f>HYPERLINK("http://www.worldcat.org/oclc/31131558","WorldCat Record")</f>
        <v/>
      </c>
      <c r="AW1613" t="inlineStr">
        <is>
          <t>4920349519:eng</t>
        </is>
      </c>
      <c r="AX1613" t="inlineStr">
        <is>
          <t>31131558</t>
        </is>
      </c>
      <c r="AY1613" t="inlineStr">
        <is>
          <t>991001507439702656</t>
        </is>
      </c>
      <c r="AZ1613" t="inlineStr">
        <is>
          <t>991001507439702656</t>
        </is>
      </c>
      <c r="BA1613" t="inlineStr">
        <is>
          <t>2269604180002656</t>
        </is>
      </c>
      <c r="BB1613" t="inlineStr">
        <is>
          <t>BOOK</t>
        </is>
      </c>
      <c r="BD1613" t="inlineStr">
        <is>
          <t>9780801678837</t>
        </is>
      </c>
      <c r="BE1613" t="inlineStr">
        <is>
          <t>30001003264860</t>
        </is>
      </c>
      <c r="BF1613" t="inlineStr">
        <is>
          <t>893821263</t>
        </is>
      </c>
    </row>
    <row r="1614">
      <c r="A1614" t="inlineStr">
        <is>
          <t>No</t>
        </is>
      </c>
      <c r="B1614" t="inlineStr">
        <is>
          <t>CUHSL</t>
        </is>
      </c>
      <c r="C1614" t="inlineStr">
        <is>
          <t>SHELVES</t>
        </is>
      </c>
      <c r="D1614" t="inlineStr">
        <is>
          <t>WY 157.3 M4266 2003</t>
        </is>
      </c>
      <c r="E1614" t="inlineStr">
        <is>
          <t>0                      WY 0157300M  4266        2003</t>
        </is>
      </c>
      <c r="F1614" t="inlineStr">
        <is>
          <t>Maternity nursing / [edited by] Deitra Leonard Lowdermilk, Shannon E. Perry ; associate editor, Karen A. Piotrowski.</t>
        </is>
      </c>
      <c r="H1614" t="inlineStr">
        <is>
          <t>No</t>
        </is>
      </c>
      <c r="I1614" t="inlineStr">
        <is>
          <t>1</t>
        </is>
      </c>
      <c r="J1614" t="inlineStr">
        <is>
          <t>No</t>
        </is>
      </c>
      <c r="K1614" t="inlineStr">
        <is>
          <t>Yes</t>
        </is>
      </c>
      <c r="L1614" t="inlineStr">
        <is>
          <t>0</t>
        </is>
      </c>
      <c r="N1614" t="inlineStr">
        <is>
          <t>St. Louis : Mosby, c2003.</t>
        </is>
      </c>
      <c r="O1614" t="inlineStr">
        <is>
          <t>2003</t>
        </is>
      </c>
      <c r="P1614" t="inlineStr">
        <is>
          <t>6th ed.</t>
        </is>
      </c>
      <c r="Q1614" t="inlineStr">
        <is>
          <t>eng</t>
        </is>
      </c>
      <c r="R1614" t="inlineStr">
        <is>
          <t>mou</t>
        </is>
      </c>
      <c r="T1614" t="inlineStr">
        <is>
          <t xml:space="preserve">WY </t>
        </is>
      </c>
      <c r="U1614" t="n">
        <v>4</v>
      </c>
      <c r="V1614" t="n">
        <v>4</v>
      </c>
      <c r="W1614" t="inlineStr">
        <is>
          <t>2004-02-25</t>
        </is>
      </c>
      <c r="X1614" t="inlineStr">
        <is>
          <t>2004-02-25</t>
        </is>
      </c>
      <c r="Y1614" t="inlineStr">
        <is>
          <t>2002-11-22</t>
        </is>
      </c>
      <c r="Z1614" t="inlineStr">
        <is>
          <t>2002-11-22</t>
        </is>
      </c>
      <c r="AA1614" t="n">
        <v>275</v>
      </c>
      <c r="AB1614" t="n">
        <v>219</v>
      </c>
      <c r="AC1614" t="n">
        <v>772</v>
      </c>
      <c r="AD1614" t="n">
        <v>2</v>
      </c>
      <c r="AE1614" t="n">
        <v>4</v>
      </c>
      <c r="AF1614" t="n">
        <v>7</v>
      </c>
      <c r="AG1614" t="n">
        <v>22</v>
      </c>
      <c r="AH1614" t="n">
        <v>3</v>
      </c>
      <c r="AI1614" t="n">
        <v>9</v>
      </c>
      <c r="AJ1614" t="n">
        <v>0</v>
      </c>
      <c r="AK1614" t="n">
        <v>4</v>
      </c>
      <c r="AL1614" t="n">
        <v>3</v>
      </c>
      <c r="AM1614" t="n">
        <v>8</v>
      </c>
      <c r="AN1614" t="n">
        <v>1</v>
      </c>
      <c r="AO1614" t="n">
        <v>3</v>
      </c>
      <c r="AP1614" t="n">
        <v>0</v>
      </c>
      <c r="AQ1614" t="n">
        <v>0</v>
      </c>
      <c r="AR1614" t="inlineStr">
        <is>
          <t>No</t>
        </is>
      </c>
      <c r="AS1614" t="inlineStr">
        <is>
          <t>Yes</t>
        </is>
      </c>
      <c r="AT1614">
        <f>HYPERLINK("http://catalog.hathitrust.org/Record/003785418","HathiTrust Record")</f>
        <v/>
      </c>
      <c r="AU1614">
        <f>HYPERLINK("https://creighton-primo.hosted.exlibrisgroup.com/primo-explore/search?tab=default_tab&amp;search_scope=EVERYTHING&amp;vid=01CRU&amp;lang=en_US&amp;offset=0&amp;query=any,contains,991000332959702656","Catalog Record")</f>
        <v/>
      </c>
      <c r="AV1614">
        <f>HYPERLINK("http://www.worldcat.org/oclc/49526892","WorldCat Record")</f>
        <v/>
      </c>
      <c r="AW1614" t="inlineStr">
        <is>
          <t>4920349519:eng</t>
        </is>
      </c>
      <c r="AX1614" t="inlineStr">
        <is>
          <t>49526892</t>
        </is>
      </c>
      <c r="AY1614" t="inlineStr">
        <is>
          <t>991000332959702656</t>
        </is>
      </c>
      <c r="AZ1614" t="inlineStr">
        <is>
          <t>991000332959702656</t>
        </is>
      </c>
      <c r="BA1614" t="inlineStr">
        <is>
          <t>2272688480002656</t>
        </is>
      </c>
      <c r="BB1614" t="inlineStr">
        <is>
          <t>BOOK</t>
        </is>
      </c>
      <c r="BD1614" t="inlineStr">
        <is>
          <t>9780323016438</t>
        </is>
      </c>
      <c r="BE1614" t="inlineStr">
        <is>
          <t>30001004500460</t>
        </is>
      </c>
      <c r="BF1614" t="inlineStr">
        <is>
          <t>893547715</t>
        </is>
      </c>
    </row>
    <row r="1615">
      <c r="A1615" t="inlineStr">
        <is>
          <t>No</t>
        </is>
      </c>
      <c r="B1615" t="inlineStr">
        <is>
          <t>CUHSL</t>
        </is>
      </c>
      <c r="C1615" t="inlineStr">
        <is>
          <t>SHELVES</t>
        </is>
      </c>
      <c r="D1615" t="inlineStr">
        <is>
          <t>WY157.3 M4266 2006</t>
        </is>
      </c>
      <c r="E1615" t="inlineStr">
        <is>
          <t>0                      WY 0157300M  4266        2006</t>
        </is>
      </c>
      <c r="F1615" t="inlineStr">
        <is>
          <t>Maternity nursing / [edited by] Deitra Leonard Lowdermilk, Shannon E. Perry ; associate editors, Kathryn Rhodes Alden, Kitty Cashion, Robin Webb Corbett.</t>
        </is>
      </c>
      <c r="H1615" t="inlineStr">
        <is>
          <t>No</t>
        </is>
      </c>
      <c r="I1615" t="inlineStr">
        <is>
          <t>1</t>
        </is>
      </c>
      <c r="J1615" t="inlineStr">
        <is>
          <t>No</t>
        </is>
      </c>
      <c r="K1615" t="inlineStr">
        <is>
          <t>Yes</t>
        </is>
      </c>
      <c r="L1615" t="inlineStr">
        <is>
          <t>0</t>
        </is>
      </c>
      <c r="N1615" t="inlineStr">
        <is>
          <t>St. Louis, Mo. : Mosby Elsevier, c2006.</t>
        </is>
      </c>
      <c r="O1615" t="inlineStr">
        <is>
          <t>2006</t>
        </is>
      </c>
      <c r="P1615" t="inlineStr">
        <is>
          <t>7th ed.</t>
        </is>
      </c>
      <c r="Q1615" t="inlineStr">
        <is>
          <t>eng</t>
        </is>
      </c>
      <c r="R1615" t="inlineStr">
        <is>
          <t>mou</t>
        </is>
      </c>
      <c r="T1615" t="inlineStr">
        <is>
          <t xml:space="preserve">WY </t>
        </is>
      </c>
      <c r="U1615" t="n">
        <v>1</v>
      </c>
      <c r="V1615" t="n">
        <v>1</v>
      </c>
      <c r="W1615" t="inlineStr">
        <is>
          <t>2006-09-08</t>
        </is>
      </c>
      <c r="X1615" t="inlineStr">
        <is>
          <t>2006-09-08</t>
        </is>
      </c>
      <c r="Y1615" t="inlineStr">
        <is>
          <t>2006-09-07</t>
        </is>
      </c>
      <c r="Z1615" t="inlineStr">
        <is>
          <t>2006-09-07</t>
        </is>
      </c>
      <c r="AA1615" t="n">
        <v>299</v>
      </c>
      <c r="AB1615" t="n">
        <v>242</v>
      </c>
      <c r="AC1615" t="n">
        <v>772</v>
      </c>
      <c r="AD1615" t="n">
        <v>1</v>
      </c>
      <c r="AE1615" t="n">
        <v>4</v>
      </c>
      <c r="AF1615" t="n">
        <v>7</v>
      </c>
      <c r="AG1615" t="n">
        <v>22</v>
      </c>
      <c r="AH1615" t="n">
        <v>1</v>
      </c>
      <c r="AI1615" t="n">
        <v>9</v>
      </c>
      <c r="AJ1615" t="n">
        <v>1</v>
      </c>
      <c r="AK1615" t="n">
        <v>4</v>
      </c>
      <c r="AL1615" t="n">
        <v>5</v>
      </c>
      <c r="AM1615" t="n">
        <v>8</v>
      </c>
      <c r="AN1615" t="n">
        <v>0</v>
      </c>
      <c r="AO1615" t="n">
        <v>3</v>
      </c>
      <c r="AP1615" t="n">
        <v>0</v>
      </c>
      <c r="AQ1615" t="n">
        <v>0</v>
      </c>
      <c r="AR1615" t="inlineStr">
        <is>
          <t>No</t>
        </is>
      </c>
      <c r="AS1615" t="inlineStr">
        <is>
          <t>Yes</t>
        </is>
      </c>
      <c r="AT1615">
        <f>HYPERLINK("http://catalog.hathitrust.org/Record/005241980","HathiTrust Record")</f>
        <v/>
      </c>
      <c r="AU1615">
        <f>HYPERLINK("https://creighton-primo.hosted.exlibrisgroup.com/primo-explore/search?tab=default_tab&amp;search_scope=EVERYTHING&amp;vid=01CRU&amp;lang=en_US&amp;offset=0&amp;query=any,contains,991000535859702656","Catalog Record")</f>
        <v/>
      </c>
      <c r="AV1615">
        <f>HYPERLINK("http://www.worldcat.org/oclc/62759362","WorldCat Record")</f>
        <v/>
      </c>
      <c r="AW1615" t="inlineStr">
        <is>
          <t>4920349519:eng</t>
        </is>
      </c>
      <c r="AX1615" t="inlineStr">
        <is>
          <t>62759362</t>
        </is>
      </c>
      <c r="AY1615" t="inlineStr">
        <is>
          <t>991000535859702656</t>
        </is>
      </c>
      <c r="AZ1615" t="inlineStr">
        <is>
          <t>991000535859702656</t>
        </is>
      </c>
      <c r="BA1615" t="inlineStr">
        <is>
          <t>2272482300002656</t>
        </is>
      </c>
      <c r="BB1615" t="inlineStr">
        <is>
          <t>BOOK</t>
        </is>
      </c>
      <c r="BD1615" t="inlineStr">
        <is>
          <t>9780323033664</t>
        </is>
      </c>
      <c r="BE1615" t="inlineStr">
        <is>
          <t>30001005127313</t>
        </is>
      </c>
      <c r="BF1615" t="inlineStr">
        <is>
          <t>893166053</t>
        </is>
      </c>
    </row>
    <row r="1616">
      <c r="A1616" t="inlineStr">
        <is>
          <t>No</t>
        </is>
      </c>
      <c r="B1616" t="inlineStr">
        <is>
          <t>CUHSL</t>
        </is>
      </c>
      <c r="C1616" t="inlineStr">
        <is>
          <t>SHELVES</t>
        </is>
      </c>
      <c r="D1616" t="inlineStr">
        <is>
          <t>WY157.3 M984f 2006</t>
        </is>
      </c>
      <c r="E1616" t="inlineStr">
        <is>
          <t>0                      WY 0157300M  984f        2006</t>
        </is>
      </c>
      <c r="F1616" t="inlineStr">
        <is>
          <t>Foundations of maternal-newborn nursing / Sharon Smith Murray, Emily Slone McKinney.</t>
        </is>
      </c>
      <c r="H1616" t="inlineStr">
        <is>
          <t>No</t>
        </is>
      </c>
      <c r="I1616" t="inlineStr">
        <is>
          <t>1</t>
        </is>
      </c>
      <c r="J1616" t="inlineStr">
        <is>
          <t>No</t>
        </is>
      </c>
      <c r="K1616" t="inlineStr">
        <is>
          <t>No</t>
        </is>
      </c>
      <c r="L1616" t="inlineStr">
        <is>
          <t>0</t>
        </is>
      </c>
      <c r="M1616" t="inlineStr">
        <is>
          <t>Murray, Sharon Smith.</t>
        </is>
      </c>
      <c r="N1616" t="inlineStr">
        <is>
          <t>St. Louis, Mo. : Elsevier Saunders, c2006.</t>
        </is>
      </c>
      <c r="O1616" t="inlineStr">
        <is>
          <t>2006</t>
        </is>
      </c>
      <c r="P1616" t="inlineStr">
        <is>
          <t>4th ed.</t>
        </is>
      </c>
      <c r="Q1616" t="inlineStr">
        <is>
          <t>eng</t>
        </is>
      </c>
      <c r="R1616" t="inlineStr">
        <is>
          <t>mou</t>
        </is>
      </c>
      <c r="T1616" t="inlineStr">
        <is>
          <t xml:space="preserve">WY </t>
        </is>
      </c>
      <c r="U1616" t="n">
        <v>0</v>
      </c>
      <c r="V1616" t="n">
        <v>0</v>
      </c>
      <c r="W1616" t="inlineStr">
        <is>
          <t>2006-10-05</t>
        </is>
      </c>
      <c r="X1616" t="inlineStr">
        <is>
          <t>2006-10-05</t>
        </is>
      </c>
      <c r="Y1616" t="inlineStr">
        <is>
          <t>2006-09-29</t>
        </is>
      </c>
      <c r="Z1616" t="inlineStr">
        <is>
          <t>2006-09-29</t>
        </is>
      </c>
      <c r="AA1616" t="n">
        <v>230</v>
      </c>
      <c r="AB1616" t="n">
        <v>153</v>
      </c>
      <c r="AC1616" t="n">
        <v>392</v>
      </c>
      <c r="AD1616" t="n">
        <v>1</v>
      </c>
      <c r="AE1616" t="n">
        <v>2</v>
      </c>
      <c r="AF1616" t="n">
        <v>3</v>
      </c>
      <c r="AG1616" t="n">
        <v>10</v>
      </c>
      <c r="AH1616" t="n">
        <v>1</v>
      </c>
      <c r="AI1616" t="n">
        <v>3</v>
      </c>
      <c r="AJ1616" t="n">
        <v>0</v>
      </c>
      <c r="AK1616" t="n">
        <v>2</v>
      </c>
      <c r="AL1616" t="n">
        <v>2</v>
      </c>
      <c r="AM1616" t="n">
        <v>6</v>
      </c>
      <c r="AN1616" t="n">
        <v>0</v>
      </c>
      <c r="AO1616" t="n">
        <v>0</v>
      </c>
      <c r="AP1616" t="n">
        <v>0</v>
      </c>
      <c r="AQ1616" t="n">
        <v>0</v>
      </c>
      <c r="AR1616" t="inlineStr">
        <is>
          <t>No</t>
        </is>
      </c>
      <c r="AS1616" t="inlineStr">
        <is>
          <t>Yes</t>
        </is>
      </c>
      <c r="AT1616">
        <f>HYPERLINK("http://catalog.hathitrust.org/Record/005091049","HathiTrust Record")</f>
        <v/>
      </c>
      <c r="AU1616">
        <f>HYPERLINK("https://creighton-primo.hosted.exlibrisgroup.com/primo-explore/search?tab=default_tab&amp;search_scope=EVERYTHING&amp;vid=01CRU&amp;lang=en_US&amp;offset=0&amp;query=any,contains,991000547519702656","Catalog Record")</f>
        <v/>
      </c>
      <c r="AV1616">
        <f>HYPERLINK("http://www.worldcat.org/oclc/60825596","WorldCat Record")</f>
        <v/>
      </c>
      <c r="AW1616" t="inlineStr">
        <is>
          <t>9438563273:eng</t>
        </is>
      </c>
      <c r="AX1616" t="inlineStr">
        <is>
          <t>60825596</t>
        </is>
      </c>
      <c r="AY1616" t="inlineStr">
        <is>
          <t>991000547519702656</t>
        </is>
      </c>
      <c r="AZ1616" t="inlineStr">
        <is>
          <t>991000547519702656</t>
        </is>
      </c>
      <c r="BA1616" t="inlineStr">
        <is>
          <t>2269025300002656</t>
        </is>
      </c>
      <c r="BB1616" t="inlineStr">
        <is>
          <t>BOOK</t>
        </is>
      </c>
      <c r="BD1616" t="inlineStr">
        <is>
          <t>9781416001416</t>
        </is>
      </c>
      <c r="BE1616" t="inlineStr">
        <is>
          <t>30001005175957</t>
        </is>
      </c>
      <c r="BF1616" t="inlineStr">
        <is>
          <t>893550168</t>
        </is>
      </c>
    </row>
    <row r="1617">
      <c r="A1617" t="inlineStr">
        <is>
          <t>No</t>
        </is>
      </c>
      <c r="B1617" t="inlineStr">
        <is>
          <t>CUHSL</t>
        </is>
      </c>
      <c r="C1617" t="inlineStr">
        <is>
          <t>SHELVES</t>
        </is>
      </c>
      <c r="D1617" t="inlineStr">
        <is>
          <t>WY157.3 N438 2000</t>
        </is>
      </c>
      <c r="E1617" t="inlineStr">
        <is>
          <t>0                      WY 0157300N  438         2000</t>
        </is>
      </c>
      <c r="F1617" t="inlineStr">
        <is>
          <t>Neonatal intensive care nursing / edited by Glenys Boxwell.</t>
        </is>
      </c>
      <c r="H1617" t="inlineStr">
        <is>
          <t>No</t>
        </is>
      </c>
      <c r="I1617" t="inlineStr">
        <is>
          <t>1</t>
        </is>
      </c>
      <c r="J1617" t="inlineStr">
        <is>
          <t>No</t>
        </is>
      </c>
      <c r="K1617" t="inlineStr">
        <is>
          <t>No</t>
        </is>
      </c>
      <c r="L1617" t="inlineStr">
        <is>
          <t>0</t>
        </is>
      </c>
      <c r="N1617" t="inlineStr">
        <is>
          <t>London ; New York : Routledge, 2000.</t>
        </is>
      </c>
      <c r="O1617" t="inlineStr">
        <is>
          <t>2000</t>
        </is>
      </c>
      <c r="Q1617" t="inlineStr">
        <is>
          <t>eng</t>
        </is>
      </c>
      <c r="R1617" t="inlineStr">
        <is>
          <t>enk</t>
        </is>
      </c>
      <c r="T1617" t="inlineStr">
        <is>
          <t xml:space="preserve">WY </t>
        </is>
      </c>
      <c r="U1617" t="n">
        <v>9</v>
      </c>
      <c r="V1617" t="n">
        <v>9</v>
      </c>
      <c r="W1617" t="inlineStr">
        <is>
          <t>2006-11-21</t>
        </is>
      </c>
      <c r="X1617" t="inlineStr">
        <is>
          <t>2006-11-21</t>
        </is>
      </c>
      <c r="Y1617" t="inlineStr">
        <is>
          <t>2002-06-26</t>
        </is>
      </c>
      <c r="Z1617" t="inlineStr">
        <is>
          <t>2002-06-26</t>
        </is>
      </c>
      <c r="AA1617" t="n">
        <v>216</v>
      </c>
      <c r="AB1617" t="n">
        <v>103</v>
      </c>
      <c r="AC1617" t="n">
        <v>574</v>
      </c>
      <c r="AD1617" t="n">
        <v>1</v>
      </c>
      <c r="AE1617" t="n">
        <v>4</v>
      </c>
      <c r="AF1617" t="n">
        <v>3</v>
      </c>
      <c r="AG1617" t="n">
        <v>16</v>
      </c>
      <c r="AH1617" t="n">
        <v>0</v>
      </c>
      <c r="AI1617" t="n">
        <v>6</v>
      </c>
      <c r="AJ1617" t="n">
        <v>1</v>
      </c>
      <c r="AK1617" t="n">
        <v>3</v>
      </c>
      <c r="AL1617" t="n">
        <v>2</v>
      </c>
      <c r="AM1617" t="n">
        <v>7</v>
      </c>
      <c r="AN1617" t="n">
        <v>0</v>
      </c>
      <c r="AO1617" t="n">
        <v>3</v>
      </c>
      <c r="AP1617" t="n">
        <v>0</v>
      </c>
      <c r="AQ1617" t="n">
        <v>0</v>
      </c>
      <c r="AR1617" t="inlineStr">
        <is>
          <t>No</t>
        </is>
      </c>
      <c r="AS1617" t="inlineStr">
        <is>
          <t>No</t>
        </is>
      </c>
      <c r="AU1617">
        <f>HYPERLINK("https://creighton-primo.hosted.exlibrisgroup.com/primo-explore/search?tab=default_tab&amp;search_scope=EVERYTHING&amp;vid=01CRU&amp;lang=en_US&amp;offset=0&amp;query=any,contains,991000318419702656","Catalog Record")</f>
        <v/>
      </c>
      <c r="AV1617">
        <f>HYPERLINK("http://www.worldcat.org/oclc/42772951","WorldCat Record")</f>
        <v/>
      </c>
      <c r="AW1617" t="inlineStr">
        <is>
          <t>1073257542:eng</t>
        </is>
      </c>
      <c r="AX1617" t="inlineStr">
        <is>
          <t>42772951</t>
        </is>
      </c>
      <c r="AY1617" t="inlineStr">
        <is>
          <t>991000318419702656</t>
        </is>
      </c>
      <c r="AZ1617" t="inlineStr">
        <is>
          <t>991000318419702656</t>
        </is>
      </c>
      <c r="BA1617" t="inlineStr">
        <is>
          <t>2272802590002656</t>
        </is>
      </c>
      <c r="BB1617" t="inlineStr">
        <is>
          <t>BOOK</t>
        </is>
      </c>
      <c r="BD1617" t="inlineStr">
        <is>
          <t>9780415203395</t>
        </is>
      </c>
      <c r="BE1617" t="inlineStr">
        <is>
          <t>30001004442366</t>
        </is>
      </c>
      <c r="BF1617" t="inlineStr">
        <is>
          <t>893109404</t>
        </is>
      </c>
    </row>
    <row r="1618">
      <c r="A1618" t="inlineStr">
        <is>
          <t>No</t>
        </is>
      </c>
      <c r="B1618" t="inlineStr">
        <is>
          <t>CUHSL</t>
        </is>
      </c>
      <c r="C1618" t="inlineStr">
        <is>
          <t>SHELVES</t>
        </is>
      </c>
      <c r="D1618" t="inlineStr">
        <is>
          <t>WY 157.3 N935i 1999</t>
        </is>
      </c>
      <c r="E1618" t="inlineStr">
        <is>
          <t>0                      WY 0157300N  935i        1999</t>
        </is>
      </c>
      <c r="F1618" t="inlineStr">
        <is>
          <t>Ingalls &amp; Salerno's maternal and child health nursing.</t>
        </is>
      </c>
      <c r="H1618" t="inlineStr">
        <is>
          <t>No</t>
        </is>
      </c>
      <c r="I1618" t="inlineStr">
        <is>
          <t>1</t>
        </is>
      </c>
      <c r="J1618" t="inlineStr">
        <is>
          <t>No</t>
        </is>
      </c>
      <c r="K1618" t="inlineStr">
        <is>
          <t>No</t>
        </is>
      </c>
      <c r="L1618" t="inlineStr">
        <is>
          <t>0</t>
        </is>
      </c>
      <c r="M1618" t="inlineStr">
        <is>
          <t>Novak, Julie C.</t>
        </is>
      </c>
      <c r="N1618" t="inlineStr">
        <is>
          <t>St. Louis, Mo. : Mosby, c1999.</t>
        </is>
      </c>
      <c r="O1618" t="inlineStr">
        <is>
          <t>1999</t>
        </is>
      </c>
      <c r="P1618" t="inlineStr">
        <is>
          <t>9th ed. / Julie C. Novak, Betty L. Broom.</t>
        </is>
      </c>
      <c r="Q1618" t="inlineStr">
        <is>
          <t>eng</t>
        </is>
      </c>
      <c r="R1618" t="inlineStr">
        <is>
          <t>mou</t>
        </is>
      </c>
      <c r="T1618" t="inlineStr">
        <is>
          <t xml:space="preserve">WY </t>
        </is>
      </c>
      <c r="U1618" t="n">
        <v>5</v>
      </c>
      <c r="V1618" t="n">
        <v>5</v>
      </c>
      <c r="W1618" t="inlineStr">
        <is>
          <t>1999-04-20</t>
        </is>
      </c>
      <c r="X1618" t="inlineStr">
        <is>
          <t>1999-04-20</t>
        </is>
      </c>
      <c r="Y1618" t="inlineStr">
        <is>
          <t>1999-04-16</t>
        </is>
      </c>
      <c r="Z1618" t="inlineStr">
        <is>
          <t>1999-04-16</t>
        </is>
      </c>
      <c r="AA1618" t="n">
        <v>251</v>
      </c>
      <c r="AB1618" t="n">
        <v>201</v>
      </c>
      <c r="AC1618" t="n">
        <v>281</v>
      </c>
      <c r="AD1618" t="n">
        <v>3</v>
      </c>
      <c r="AE1618" t="n">
        <v>3</v>
      </c>
      <c r="AF1618" t="n">
        <v>3</v>
      </c>
      <c r="AG1618" t="n">
        <v>4</v>
      </c>
      <c r="AH1618" t="n">
        <v>1</v>
      </c>
      <c r="AI1618" t="n">
        <v>2</v>
      </c>
      <c r="AJ1618" t="n">
        <v>0</v>
      </c>
      <c r="AK1618" t="n">
        <v>0</v>
      </c>
      <c r="AL1618" t="n">
        <v>2</v>
      </c>
      <c r="AM1618" t="n">
        <v>3</v>
      </c>
      <c r="AN1618" t="n">
        <v>0</v>
      </c>
      <c r="AO1618" t="n">
        <v>0</v>
      </c>
      <c r="AP1618" t="n">
        <v>0</v>
      </c>
      <c r="AQ1618" t="n">
        <v>0</v>
      </c>
      <c r="AR1618" t="inlineStr">
        <is>
          <t>No</t>
        </is>
      </c>
      <c r="AS1618" t="inlineStr">
        <is>
          <t>Yes</t>
        </is>
      </c>
      <c r="AT1618">
        <f>HYPERLINK("http://catalog.hathitrust.org/Record/004027697","HathiTrust Record")</f>
        <v/>
      </c>
      <c r="AU1618">
        <f>HYPERLINK("https://creighton-primo.hosted.exlibrisgroup.com/primo-explore/search?tab=default_tab&amp;search_scope=EVERYTHING&amp;vid=01CRU&amp;lang=en_US&amp;offset=0&amp;query=any,contains,991001561859702656","Catalog Record")</f>
        <v/>
      </c>
      <c r="AV1618">
        <f>HYPERLINK("http://www.worldcat.org/oclc/40698401","WorldCat Record")</f>
        <v/>
      </c>
      <c r="AW1618" t="inlineStr">
        <is>
          <t>3857555947:eng</t>
        </is>
      </c>
      <c r="AX1618" t="inlineStr">
        <is>
          <t>40698401</t>
        </is>
      </c>
      <c r="AY1618" t="inlineStr">
        <is>
          <t>991001561859702656</t>
        </is>
      </c>
      <c r="AZ1618" t="inlineStr">
        <is>
          <t>991001561859702656</t>
        </is>
      </c>
      <c r="BA1618" t="inlineStr">
        <is>
          <t>2264539550002656</t>
        </is>
      </c>
      <c r="BB1618" t="inlineStr">
        <is>
          <t>BOOK</t>
        </is>
      </c>
      <c r="BD1618" t="inlineStr">
        <is>
          <t>9780323003223</t>
        </is>
      </c>
      <c r="BE1618" t="inlineStr">
        <is>
          <t>30001004071793</t>
        </is>
      </c>
      <c r="BF1618" t="inlineStr">
        <is>
          <t>893649329</t>
        </is>
      </c>
    </row>
    <row r="1619">
      <c r="A1619" t="inlineStr">
        <is>
          <t>No</t>
        </is>
      </c>
      <c r="B1619" t="inlineStr">
        <is>
          <t>CUHSL</t>
        </is>
      </c>
      <c r="C1619" t="inlineStr">
        <is>
          <t>SHELVES</t>
        </is>
      </c>
      <c r="D1619" t="inlineStr">
        <is>
          <t>WY 157.3 N974 1982</t>
        </is>
      </c>
      <c r="E1619" t="inlineStr">
        <is>
          <t>0                      WY 0157300N  974         1982</t>
        </is>
      </c>
      <c r="F1619" t="inlineStr">
        <is>
          <t>Nursing care planning guides for maternity and pediatric care / Margo Creighton Neal ... [et al.].</t>
        </is>
      </c>
      <c r="H1619" t="inlineStr">
        <is>
          <t>No</t>
        </is>
      </c>
      <c r="I1619" t="inlineStr">
        <is>
          <t>1</t>
        </is>
      </c>
      <c r="J1619" t="inlineStr">
        <is>
          <t>No</t>
        </is>
      </c>
      <c r="K1619" t="inlineStr">
        <is>
          <t>No</t>
        </is>
      </c>
      <c r="L1619" t="inlineStr">
        <is>
          <t>0</t>
        </is>
      </c>
      <c r="N1619" t="inlineStr">
        <is>
          <t>Pacific Palisades, CA : Nurseco, c1982.</t>
        </is>
      </c>
      <c r="O1619" t="inlineStr">
        <is>
          <t>1982</t>
        </is>
      </c>
      <c r="Q1619" t="inlineStr">
        <is>
          <t>eng</t>
        </is>
      </c>
      <c r="R1619" t="inlineStr">
        <is>
          <t>xxu</t>
        </is>
      </c>
      <c r="T1619" t="inlineStr">
        <is>
          <t xml:space="preserve">WY </t>
        </is>
      </c>
      <c r="U1619" t="n">
        <v>2</v>
      </c>
      <c r="V1619" t="n">
        <v>2</v>
      </c>
      <c r="W1619" t="inlineStr">
        <is>
          <t>1992-04-01</t>
        </is>
      </c>
      <c r="X1619" t="inlineStr">
        <is>
          <t>1992-04-01</t>
        </is>
      </c>
      <c r="Y1619" t="inlineStr">
        <is>
          <t>1989-07-13</t>
        </is>
      </c>
      <c r="Z1619" t="inlineStr">
        <is>
          <t>1989-07-13</t>
        </is>
      </c>
      <c r="AA1619" t="n">
        <v>61</v>
      </c>
      <c r="AB1619" t="n">
        <v>51</v>
      </c>
      <c r="AC1619" t="n">
        <v>57</v>
      </c>
      <c r="AD1619" t="n">
        <v>1</v>
      </c>
      <c r="AE1619" t="n">
        <v>1</v>
      </c>
      <c r="AF1619" t="n">
        <v>1</v>
      </c>
      <c r="AG1619" t="n">
        <v>1</v>
      </c>
      <c r="AH1619" t="n">
        <v>0</v>
      </c>
      <c r="AI1619" t="n">
        <v>0</v>
      </c>
      <c r="AJ1619" t="n">
        <v>0</v>
      </c>
      <c r="AK1619" t="n">
        <v>0</v>
      </c>
      <c r="AL1619" t="n">
        <v>1</v>
      </c>
      <c r="AM1619" t="n">
        <v>1</v>
      </c>
      <c r="AN1619" t="n">
        <v>0</v>
      </c>
      <c r="AO1619" t="n">
        <v>0</v>
      </c>
      <c r="AP1619" t="n">
        <v>0</v>
      </c>
      <c r="AQ1619" t="n">
        <v>0</v>
      </c>
      <c r="AR1619" t="inlineStr">
        <is>
          <t>No</t>
        </is>
      </c>
      <c r="AS1619" t="inlineStr">
        <is>
          <t>No</t>
        </is>
      </c>
      <c r="AU1619">
        <f>HYPERLINK("https://creighton-primo.hosted.exlibrisgroup.com/primo-explore/search?tab=default_tab&amp;search_scope=EVERYTHING&amp;vid=01CRU&amp;lang=en_US&amp;offset=0&amp;query=any,contains,991000921919702656","Catalog Record")</f>
        <v/>
      </c>
      <c r="AV1619">
        <f>HYPERLINK("http://www.worldcat.org/oclc/7999109","WorldCat Record")</f>
        <v/>
      </c>
      <c r="AW1619" t="inlineStr">
        <is>
          <t>3372221681:eng</t>
        </is>
      </c>
      <c r="AX1619" t="inlineStr">
        <is>
          <t>7999109</t>
        </is>
      </c>
      <c r="AY1619" t="inlineStr">
        <is>
          <t>991000921919702656</t>
        </is>
      </c>
      <c r="AZ1619" t="inlineStr">
        <is>
          <t>991000921919702656</t>
        </is>
      </c>
      <c r="BA1619" t="inlineStr">
        <is>
          <t>2271254150002656</t>
        </is>
      </c>
      <c r="BB1619" t="inlineStr">
        <is>
          <t>BOOK</t>
        </is>
      </c>
      <c r="BD1619" t="inlineStr">
        <is>
          <t>9780935236248</t>
        </is>
      </c>
      <c r="BE1619" t="inlineStr">
        <is>
          <t>30001000181646</t>
        </is>
      </c>
      <c r="BF1619" t="inlineStr">
        <is>
          <t>893465012</t>
        </is>
      </c>
    </row>
    <row r="1620">
      <c r="A1620" t="inlineStr">
        <is>
          <t>No</t>
        </is>
      </c>
      <c r="B1620" t="inlineStr">
        <is>
          <t>CUHSL</t>
        </is>
      </c>
      <c r="C1620" t="inlineStr">
        <is>
          <t>SHELVES</t>
        </is>
      </c>
      <c r="D1620" t="inlineStr">
        <is>
          <t>WY 157.3 O44m 1992</t>
        </is>
      </c>
      <c r="E1620" t="inlineStr">
        <is>
          <t>0                      WY 0157300O  44m         1992</t>
        </is>
      </c>
      <c r="F1620" t="inlineStr">
        <is>
          <t>Maternal-newborn nursing : a family-centered approach / Sally B. Olds, Marcia L. London, Patricia A. Ladewig.</t>
        </is>
      </c>
      <c r="H1620" t="inlineStr">
        <is>
          <t>No</t>
        </is>
      </c>
      <c r="I1620" t="inlineStr">
        <is>
          <t>1</t>
        </is>
      </c>
      <c r="J1620" t="inlineStr">
        <is>
          <t>No</t>
        </is>
      </c>
      <c r="K1620" t="inlineStr">
        <is>
          <t>Yes</t>
        </is>
      </c>
      <c r="L1620" t="inlineStr">
        <is>
          <t>0</t>
        </is>
      </c>
      <c r="M1620" t="inlineStr">
        <is>
          <t>Olds, Sally B., 1940-</t>
        </is>
      </c>
      <c r="N1620" t="inlineStr">
        <is>
          <t>Redwood City, Calif. : Addison-Wesley Nursing, c1992.</t>
        </is>
      </c>
      <c r="O1620" t="inlineStr">
        <is>
          <t>1992</t>
        </is>
      </c>
      <c r="P1620" t="inlineStr">
        <is>
          <t>4th ed.</t>
        </is>
      </c>
      <c r="Q1620" t="inlineStr">
        <is>
          <t>eng</t>
        </is>
      </c>
      <c r="R1620" t="inlineStr">
        <is>
          <t>cau</t>
        </is>
      </c>
      <c r="T1620" t="inlineStr">
        <is>
          <t xml:space="preserve">WY </t>
        </is>
      </c>
      <c r="U1620" t="n">
        <v>112</v>
      </c>
      <c r="V1620" t="n">
        <v>112</v>
      </c>
      <c r="W1620" t="inlineStr">
        <is>
          <t>1997-07-15</t>
        </is>
      </c>
      <c r="X1620" t="inlineStr">
        <is>
          <t>1997-07-15</t>
        </is>
      </c>
      <c r="Y1620" t="inlineStr">
        <is>
          <t>1992-02-18</t>
        </is>
      </c>
      <c r="Z1620" t="inlineStr">
        <is>
          <t>1992-02-18</t>
        </is>
      </c>
      <c r="AA1620" t="n">
        <v>324</v>
      </c>
      <c r="AB1620" t="n">
        <v>261</v>
      </c>
      <c r="AC1620" t="n">
        <v>459</v>
      </c>
      <c r="AD1620" t="n">
        <v>1</v>
      </c>
      <c r="AE1620" t="n">
        <v>4</v>
      </c>
      <c r="AF1620" t="n">
        <v>4</v>
      </c>
      <c r="AG1620" t="n">
        <v>11</v>
      </c>
      <c r="AH1620" t="n">
        <v>3</v>
      </c>
      <c r="AI1620" t="n">
        <v>5</v>
      </c>
      <c r="AJ1620" t="n">
        <v>0</v>
      </c>
      <c r="AK1620" t="n">
        <v>1</v>
      </c>
      <c r="AL1620" t="n">
        <v>3</v>
      </c>
      <c r="AM1620" t="n">
        <v>6</v>
      </c>
      <c r="AN1620" t="n">
        <v>0</v>
      </c>
      <c r="AO1620" t="n">
        <v>1</v>
      </c>
      <c r="AP1620" t="n">
        <v>0</v>
      </c>
      <c r="AQ1620" t="n">
        <v>0</v>
      </c>
      <c r="AR1620" t="inlineStr">
        <is>
          <t>No</t>
        </is>
      </c>
      <c r="AS1620" t="inlineStr">
        <is>
          <t>No</t>
        </is>
      </c>
      <c r="AU1620">
        <f>HYPERLINK("https://creighton-primo.hosted.exlibrisgroup.com/primo-explore/search?tab=default_tab&amp;search_scope=EVERYTHING&amp;vid=01CRU&amp;lang=en_US&amp;offset=0&amp;query=any,contains,991001033559702656","Catalog Record")</f>
        <v/>
      </c>
      <c r="AV1620">
        <f>HYPERLINK("http://www.worldcat.org/oclc/23972283","WorldCat Record")</f>
        <v/>
      </c>
      <c r="AW1620" t="inlineStr">
        <is>
          <t>2999365246:eng</t>
        </is>
      </c>
      <c r="AX1620" t="inlineStr">
        <is>
          <t>23972283</t>
        </is>
      </c>
      <c r="AY1620" t="inlineStr">
        <is>
          <t>991001033559702656</t>
        </is>
      </c>
      <c r="AZ1620" t="inlineStr">
        <is>
          <t>991001033559702656</t>
        </is>
      </c>
      <c r="BA1620" t="inlineStr">
        <is>
          <t>2258575220002656</t>
        </is>
      </c>
      <c r="BB1620" t="inlineStr">
        <is>
          <t>BOOK</t>
        </is>
      </c>
      <c r="BD1620" t="inlineStr">
        <is>
          <t>9780805355802</t>
        </is>
      </c>
      <c r="BE1620" t="inlineStr">
        <is>
          <t>30001002244293</t>
        </is>
      </c>
      <c r="BF1620" t="inlineStr">
        <is>
          <t>893740692</t>
        </is>
      </c>
    </row>
    <row r="1621">
      <c r="A1621" t="inlineStr">
        <is>
          <t>No</t>
        </is>
      </c>
      <c r="B1621" t="inlineStr">
        <is>
          <t>CUHSL</t>
        </is>
      </c>
      <c r="C1621" t="inlineStr">
        <is>
          <t>SHELVES</t>
        </is>
      </c>
      <c r="D1621" t="inlineStr">
        <is>
          <t>WY 157.3 O44m 1996</t>
        </is>
      </c>
      <c r="E1621" t="inlineStr">
        <is>
          <t>0                      WY 0157300O  44m         1996</t>
        </is>
      </c>
      <c r="F1621" t="inlineStr">
        <is>
          <t>Maternal-newborn nursing : a family centered approach / Sally B. Olds, Marcia L. London, Patricia Wieland Ladewig.</t>
        </is>
      </c>
      <c r="H1621" t="inlineStr">
        <is>
          <t>No</t>
        </is>
      </c>
      <c r="I1621" t="inlineStr">
        <is>
          <t>1</t>
        </is>
      </c>
      <c r="J1621" t="inlineStr">
        <is>
          <t>No</t>
        </is>
      </c>
      <c r="K1621" t="inlineStr">
        <is>
          <t>Yes</t>
        </is>
      </c>
      <c r="L1621" t="inlineStr">
        <is>
          <t>0</t>
        </is>
      </c>
      <c r="M1621" t="inlineStr">
        <is>
          <t>Olds, Sally B., 1940-</t>
        </is>
      </c>
      <c r="N1621" t="inlineStr">
        <is>
          <t>Menlo Park, Calif. : Addison-Wesley Nursing, c1996.</t>
        </is>
      </c>
      <c r="O1621" t="inlineStr">
        <is>
          <t>1996</t>
        </is>
      </c>
      <c r="P1621" t="inlineStr">
        <is>
          <t>5th ed.</t>
        </is>
      </c>
      <c r="Q1621" t="inlineStr">
        <is>
          <t>eng</t>
        </is>
      </c>
      <c r="R1621" t="inlineStr">
        <is>
          <t>cau</t>
        </is>
      </c>
      <c r="T1621" t="inlineStr">
        <is>
          <t xml:space="preserve">WY </t>
        </is>
      </c>
      <c r="U1621" t="n">
        <v>66</v>
      </c>
      <c r="V1621" t="n">
        <v>66</v>
      </c>
      <c r="W1621" t="inlineStr">
        <is>
          <t>2000-05-01</t>
        </is>
      </c>
      <c r="X1621" t="inlineStr">
        <is>
          <t>2000-05-01</t>
        </is>
      </c>
      <c r="Y1621" t="inlineStr">
        <is>
          <t>1996-06-03</t>
        </is>
      </c>
      <c r="Z1621" t="inlineStr">
        <is>
          <t>1996-06-03</t>
        </is>
      </c>
      <c r="AA1621" t="n">
        <v>249</v>
      </c>
      <c r="AB1621" t="n">
        <v>186</v>
      </c>
      <c r="AC1621" t="n">
        <v>459</v>
      </c>
      <c r="AD1621" t="n">
        <v>1</v>
      </c>
      <c r="AE1621" t="n">
        <v>4</v>
      </c>
      <c r="AF1621" t="n">
        <v>6</v>
      </c>
      <c r="AG1621" t="n">
        <v>11</v>
      </c>
      <c r="AH1621" t="n">
        <v>3</v>
      </c>
      <c r="AI1621" t="n">
        <v>5</v>
      </c>
      <c r="AJ1621" t="n">
        <v>0</v>
      </c>
      <c r="AK1621" t="n">
        <v>1</v>
      </c>
      <c r="AL1621" t="n">
        <v>3</v>
      </c>
      <c r="AM1621" t="n">
        <v>6</v>
      </c>
      <c r="AN1621" t="n">
        <v>0</v>
      </c>
      <c r="AO1621" t="n">
        <v>1</v>
      </c>
      <c r="AP1621" t="n">
        <v>0</v>
      </c>
      <c r="AQ1621" t="n">
        <v>0</v>
      </c>
      <c r="AR1621" t="inlineStr">
        <is>
          <t>No</t>
        </is>
      </c>
      <c r="AS1621" t="inlineStr">
        <is>
          <t>Yes</t>
        </is>
      </c>
      <c r="AT1621">
        <f>HYPERLINK("http://catalog.hathitrust.org/Record/004562875","HathiTrust Record")</f>
        <v/>
      </c>
      <c r="AU1621">
        <f>HYPERLINK("https://creighton-primo.hosted.exlibrisgroup.com/primo-explore/search?tab=default_tab&amp;search_scope=EVERYTHING&amp;vid=01CRU&amp;lang=en_US&amp;offset=0&amp;query=any,contains,991001488639702656","Catalog Record")</f>
        <v/>
      </c>
      <c r="AV1621">
        <f>HYPERLINK("http://www.worldcat.org/oclc/33010146","WorldCat Record")</f>
        <v/>
      </c>
      <c r="AW1621" t="inlineStr">
        <is>
          <t>2999365246:eng</t>
        </is>
      </c>
      <c r="AX1621" t="inlineStr">
        <is>
          <t>33010146</t>
        </is>
      </c>
      <c r="AY1621" t="inlineStr">
        <is>
          <t>991001488639702656</t>
        </is>
      </c>
      <c r="AZ1621" t="inlineStr">
        <is>
          <t>991001488639702656</t>
        </is>
      </c>
      <c r="BA1621" t="inlineStr">
        <is>
          <t>2271295010002656</t>
        </is>
      </c>
      <c r="BB1621" t="inlineStr">
        <is>
          <t>BOOK</t>
        </is>
      </c>
      <c r="BD1621" t="inlineStr">
        <is>
          <t>9780805356120</t>
        </is>
      </c>
      <c r="BE1621" t="inlineStr">
        <is>
          <t>30001003248541</t>
        </is>
      </c>
      <c r="BF1621" t="inlineStr">
        <is>
          <t>893727671</t>
        </is>
      </c>
    </row>
    <row r="1622">
      <c r="A1622" t="inlineStr">
        <is>
          <t>No</t>
        </is>
      </c>
      <c r="B1622" t="inlineStr">
        <is>
          <t>CUHSL</t>
        </is>
      </c>
      <c r="C1622" t="inlineStr">
        <is>
          <t>SHELVES</t>
        </is>
      </c>
      <c r="D1622" t="inlineStr">
        <is>
          <t>WY 157.3 P4456 1986</t>
        </is>
      </c>
      <c r="E1622" t="inlineStr">
        <is>
          <t>0                      WY 0157300P  4456        1986</t>
        </is>
      </c>
      <c r="F1622" t="inlineStr">
        <is>
          <t>Perinatal/neonatal nursing : a clinical handbook / edited by Diane Angelini, Christine M. Whelan Knapp, Rita M. Gibes.</t>
        </is>
      </c>
      <c r="H1622" t="inlineStr">
        <is>
          <t>No</t>
        </is>
      </c>
      <c r="I1622" t="inlineStr">
        <is>
          <t>1</t>
        </is>
      </c>
      <c r="J1622" t="inlineStr">
        <is>
          <t>No</t>
        </is>
      </c>
      <c r="K1622" t="inlineStr">
        <is>
          <t>No</t>
        </is>
      </c>
      <c r="L1622" t="inlineStr">
        <is>
          <t>0</t>
        </is>
      </c>
      <c r="N1622" t="inlineStr">
        <is>
          <t>Boston : Blackwell Scientific Publications, c1986.</t>
        </is>
      </c>
      <c r="O1622" t="inlineStr">
        <is>
          <t>1986</t>
        </is>
      </c>
      <c r="Q1622" t="inlineStr">
        <is>
          <t>eng</t>
        </is>
      </c>
      <c r="R1622" t="inlineStr">
        <is>
          <t>xxu</t>
        </is>
      </c>
      <c r="T1622" t="inlineStr">
        <is>
          <t xml:space="preserve">WY </t>
        </is>
      </c>
      <c r="U1622" t="n">
        <v>4</v>
      </c>
      <c r="V1622" t="n">
        <v>4</v>
      </c>
      <c r="W1622" t="inlineStr">
        <is>
          <t>1995-10-20</t>
        </is>
      </c>
      <c r="X1622" t="inlineStr">
        <is>
          <t>1995-10-20</t>
        </is>
      </c>
      <c r="Y1622" t="inlineStr">
        <is>
          <t>1987-12-23</t>
        </is>
      </c>
      <c r="Z1622" t="inlineStr">
        <is>
          <t>1987-12-23</t>
        </is>
      </c>
      <c r="AA1622" t="n">
        <v>181</v>
      </c>
      <c r="AB1622" t="n">
        <v>149</v>
      </c>
      <c r="AC1622" t="n">
        <v>154</v>
      </c>
      <c r="AD1622" t="n">
        <v>2</v>
      </c>
      <c r="AE1622" t="n">
        <v>2</v>
      </c>
      <c r="AF1622" t="n">
        <v>5</v>
      </c>
      <c r="AG1622" t="n">
        <v>5</v>
      </c>
      <c r="AH1622" t="n">
        <v>1</v>
      </c>
      <c r="AI1622" t="n">
        <v>1</v>
      </c>
      <c r="AJ1622" t="n">
        <v>1</v>
      </c>
      <c r="AK1622" t="n">
        <v>1</v>
      </c>
      <c r="AL1622" t="n">
        <v>3</v>
      </c>
      <c r="AM1622" t="n">
        <v>3</v>
      </c>
      <c r="AN1622" t="n">
        <v>0</v>
      </c>
      <c r="AO1622" t="n">
        <v>0</v>
      </c>
      <c r="AP1622" t="n">
        <v>0</v>
      </c>
      <c r="AQ1622" t="n">
        <v>0</v>
      </c>
      <c r="AR1622" t="inlineStr">
        <is>
          <t>No</t>
        </is>
      </c>
      <c r="AS1622" t="inlineStr">
        <is>
          <t>No</t>
        </is>
      </c>
      <c r="AU1622">
        <f>HYPERLINK("https://creighton-primo.hosted.exlibrisgroup.com/primo-explore/search?tab=default_tab&amp;search_scope=EVERYTHING&amp;vid=01CRU&amp;lang=en_US&amp;offset=0&amp;query=any,contains,991000921869702656","Catalog Record")</f>
        <v/>
      </c>
      <c r="AV1622">
        <f>HYPERLINK("http://www.worldcat.org/oclc/12132514","WorldCat Record")</f>
        <v/>
      </c>
      <c r="AW1622" t="inlineStr">
        <is>
          <t>836715990:eng</t>
        </is>
      </c>
      <c r="AX1622" t="inlineStr">
        <is>
          <t>12132514</t>
        </is>
      </c>
      <c r="AY1622" t="inlineStr">
        <is>
          <t>991000921869702656</t>
        </is>
      </c>
      <c r="AZ1622" t="inlineStr">
        <is>
          <t>991000921869702656</t>
        </is>
      </c>
      <c r="BA1622" t="inlineStr">
        <is>
          <t>2261020320002656</t>
        </is>
      </c>
      <c r="BB1622" t="inlineStr">
        <is>
          <t>BOOK</t>
        </is>
      </c>
      <c r="BD1622" t="inlineStr">
        <is>
          <t>9780865420205</t>
        </is>
      </c>
      <c r="BE1622" t="inlineStr">
        <is>
          <t>30001000181653</t>
        </is>
      </c>
      <c r="BF1622" t="inlineStr">
        <is>
          <t>893134094</t>
        </is>
      </c>
    </row>
    <row r="1623">
      <c r="A1623" t="inlineStr">
        <is>
          <t>No</t>
        </is>
      </c>
      <c r="B1623" t="inlineStr">
        <is>
          <t>CUHSL</t>
        </is>
      </c>
      <c r="C1623" t="inlineStr">
        <is>
          <t>SHELVES</t>
        </is>
      </c>
      <c r="D1623" t="inlineStr">
        <is>
          <t>WY 157.3 P641m 1992</t>
        </is>
      </c>
      <c r="E1623" t="inlineStr">
        <is>
          <t>0                      WY 0157300P  641m        1992</t>
        </is>
      </c>
      <c r="F1623" t="inlineStr">
        <is>
          <t>Maternal and child health nursing : care of the childbearing and childrearing family / Adele Pillitteri.</t>
        </is>
      </c>
      <c r="H1623" t="inlineStr">
        <is>
          <t>No</t>
        </is>
      </c>
      <c r="I1623" t="inlineStr">
        <is>
          <t>1</t>
        </is>
      </c>
      <c r="J1623" t="inlineStr">
        <is>
          <t>No</t>
        </is>
      </c>
      <c r="K1623" t="inlineStr">
        <is>
          <t>Yes</t>
        </is>
      </c>
      <c r="L1623" t="inlineStr">
        <is>
          <t>0</t>
        </is>
      </c>
      <c r="M1623" t="inlineStr">
        <is>
          <t>Pillitteri, Adele.</t>
        </is>
      </c>
      <c r="N1623" t="inlineStr">
        <is>
          <t>Philadelphia : J.B. Lippincott, c1992.</t>
        </is>
      </c>
      <c r="O1623" t="inlineStr">
        <is>
          <t>1992</t>
        </is>
      </c>
      <c r="Q1623" t="inlineStr">
        <is>
          <t>eng</t>
        </is>
      </c>
      <c r="R1623" t="inlineStr">
        <is>
          <t>pau</t>
        </is>
      </c>
      <c r="T1623" t="inlineStr">
        <is>
          <t xml:space="preserve">WY </t>
        </is>
      </c>
      <c r="U1623" t="n">
        <v>14</v>
      </c>
      <c r="V1623" t="n">
        <v>14</v>
      </c>
      <c r="W1623" t="inlineStr">
        <is>
          <t>1995-12-02</t>
        </is>
      </c>
      <c r="X1623" t="inlineStr">
        <is>
          <t>1995-12-02</t>
        </is>
      </c>
      <c r="Y1623" t="inlineStr">
        <is>
          <t>1993-03-26</t>
        </is>
      </c>
      <c r="Z1623" t="inlineStr">
        <is>
          <t>1993-03-26</t>
        </is>
      </c>
      <c r="AA1623" t="n">
        <v>242</v>
      </c>
      <c r="AB1623" t="n">
        <v>195</v>
      </c>
      <c r="AC1623" t="n">
        <v>962</v>
      </c>
      <c r="AD1623" t="n">
        <v>1</v>
      </c>
      <c r="AE1623" t="n">
        <v>4</v>
      </c>
      <c r="AF1623" t="n">
        <v>3</v>
      </c>
      <c r="AG1623" t="n">
        <v>21</v>
      </c>
      <c r="AH1623" t="n">
        <v>1</v>
      </c>
      <c r="AI1623" t="n">
        <v>8</v>
      </c>
      <c r="AJ1623" t="n">
        <v>1</v>
      </c>
      <c r="AK1623" t="n">
        <v>4</v>
      </c>
      <c r="AL1623" t="n">
        <v>2</v>
      </c>
      <c r="AM1623" t="n">
        <v>10</v>
      </c>
      <c r="AN1623" t="n">
        <v>0</v>
      </c>
      <c r="AO1623" t="n">
        <v>2</v>
      </c>
      <c r="AP1623" t="n">
        <v>0</v>
      </c>
      <c r="AQ1623" t="n">
        <v>0</v>
      </c>
      <c r="AR1623" t="inlineStr">
        <is>
          <t>No</t>
        </is>
      </c>
      <c r="AS1623" t="inlineStr">
        <is>
          <t>No</t>
        </is>
      </c>
      <c r="AU1623">
        <f>HYPERLINK("https://creighton-primo.hosted.exlibrisgroup.com/primo-explore/search?tab=default_tab&amp;search_scope=EVERYTHING&amp;vid=01CRU&amp;lang=en_US&amp;offset=0&amp;query=any,contains,991001476519702656","Catalog Record")</f>
        <v/>
      </c>
      <c r="AV1623">
        <f>HYPERLINK("http://www.worldcat.org/oclc/24319430","WorldCat Record")</f>
        <v/>
      </c>
      <c r="AW1623" t="inlineStr">
        <is>
          <t>39717233:eng</t>
        </is>
      </c>
      <c r="AX1623" t="inlineStr">
        <is>
          <t>24319430</t>
        </is>
      </c>
      <c r="AY1623" t="inlineStr">
        <is>
          <t>991001476519702656</t>
        </is>
      </c>
      <c r="AZ1623" t="inlineStr">
        <is>
          <t>991001476519702656</t>
        </is>
      </c>
      <c r="BA1623" t="inlineStr">
        <is>
          <t>2271922680002656</t>
        </is>
      </c>
      <c r="BB1623" t="inlineStr">
        <is>
          <t>BOOK</t>
        </is>
      </c>
      <c r="BD1623" t="inlineStr">
        <is>
          <t>9780397548620</t>
        </is>
      </c>
      <c r="BE1623" t="inlineStr">
        <is>
          <t>30001002563478</t>
        </is>
      </c>
      <c r="BF1623" t="inlineStr">
        <is>
          <t>893460624</t>
        </is>
      </c>
    </row>
    <row r="1624">
      <c r="A1624" t="inlineStr">
        <is>
          <t>No</t>
        </is>
      </c>
      <c r="B1624" t="inlineStr">
        <is>
          <t>CUHSL</t>
        </is>
      </c>
      <c r="C1624" t="inlineStr">
        <is>
          <t>SHELVES</t>
        </is>
      </c>
      <c r="D1624" t="inlineStr">
        <is>
          <t>WY 157.3 P641m 1995</t>
        </is>
      </c>
      <c r="E1624" t="inlineStr">
        <is>
          <t>0                      WY 0157300P  641m        1995</t>
        </is>
      </c>
      <c r="F1624" t="inlineStr">
        <is>
          <t>Maternal &amp; child health nursing : care of the childbearing and childrearing family / Adele Pillitteri.</t>
        </is>
      </c>
      <c r="H1624" t="inlineStr">
        <is>
          <t>No</t>
        </is>
      </c>
      <c r="I1624" t="inlineStr">
        <is>
          <t>1</t>
        </is>
      </c>
      <c r="J1624" t="inlineStr">
        <is>
          <t>No</t>
        </is>
      </c>
      <c r="K1624" t="inlineStr">
        <is>
          <t>Yes</t>
        </is>
      </c>
      <c r="L1624" t="inlineStr">
        <is>
          <t>0</t>
        </is>
      </c>
      <c r="M1624" t="inlineStr">
        <is>
          <t>Pillitteri, Adele.</t>
        </is>
      </c>
      <c r="N1624" t="inlineStr">
        <is>
          <t>Philadelphia : Lippincott, c1995.</t>
        </is>
      </c>
      <c r="O1624" t="inlineStr">
        <is>
          <t>1995</t>
        </is>
      </c>
      <c r="P1624" t="inlineStr">
        <is>
          <t>2nd ed.</t>
        </is>
      </c>
      <c r="Q1624" t="inlineStr">
        <is>
          <t>eng</t>
        </is>
      </c>
      <c r="R1624" t="inlineStr">
        <is>
          <t>pau</t>
        </is>
      </c>
      <c r="T1624" t="inlineStr">
        <is>
          <t xml:space="preserve">WY </t>
        </is>
      </c>
      <c r="U1624" t="n">
        <v>3</v>
      </c>
      <c r="V1624" t="n">
        <v>3</v>
      </c>
      <c r="W1624" t="inlineStr">
        <is>
          <t>2008-03-28</t>
        </is>
      </c>
      <c r="X1624" t="inlineStr">
        <is>
          <t>2008-03-28</t>
        </is>
      </c>
      <c r="Y1624" t="inlineStr">
        <is>
          <t>1996-06-25</t>
        </is>
      </c>
      <c r="Z1624" t="inlineStr">
        <is>
          <t>1996-06-25</t>
        </is>
      </c>
      <c r="AA1624" t="n">
        <v>243</v>
      </c>
      <c r="AB1624" t="n">
        <v>190</v>
      </c>
      <c r="AC1624" t="n">
        <v>962</v>
      </c>
      <c r="AD1624" t="n">
        <v>2</v>
      </c>
      <c r="AE1624" t="n">
        <v>4</v>
      </c>
      <c r="AF1624" t="n">
        <v>5</v>
      </c>
      <c r="AG1624" t="n">
        <v>21</v>
      </c>
      <c r="AH1624" t="n">
        <v>3</v>
      </c>
      <c r="AI1624" t="n">
        <v>8</v>
      </c>
      <c r="AJ1624" t="n">
        <v>0</v>
      </c>
      <c r="AK1624" t="n">
        <v>4</v>
      </c>
      <c r="AL1624" t="n">
        <v>3</v>
      </c>
      <c r="AM1624" t="n">
        <v>10</v>
      </c>
      <c r="AN1624" t="n">
        <v>0</v>
      </c>
      <c r="AO1624" t="n">
        <v>2</v>
      </c>
      <c r="AP1624" t="n">
        <v>0</v>
      </c>
      <c r="AQ1624" t="n">
        <v>0</v>
      </c>
      <c r="AR1624" t="inlineStr">
        <is>
          <t>No</t>
        </is>
      </c>
      <c r="AS1624" t="inlineStr">
        <is>
          <t>No</t>
        </is>
      </c>
      <c r="AU1624">
        <f>HYPERLINK("https://creighton-primo.hosted.exlibrisgroup.com/primo-explore/search?tab=default_tab&amp;search_scope=EVERYTHING&amp;vid=01CRU&amp;lang=en_US&amp;offset=0&amp;query=any,contains,991001507859702656","Catalog Record")</f>
        <v/>
      </c>
      <c r="AV1624">
        <f>HYPERLINK("http://www.worldcat.org/oclc/30400828","WorldCat Record")</f>
        <v/>
      </c>
      <c r="AW1624" t="inlineStr">
        <is>
          <t>39717233:eng</t>
        </is>
      </c>
      <c r="AX1624" t="inlineStr">
        <is>
          <t>30400828</t>
        </is>
      </c>
      <c r="AY1624" t="inlineStr">
        <is>
          <t>991001507859702656</t>
        </is>
      </c>
      <c r="AZ1624" t="inlineStr">
        <is>
          <t>991001507859702656</t>
        </is>
      </c>
      <c r="BA1624" t="inlineStr">
        <is>
          <t>2266049050002656</t>
        </is>
      </c>
      <c r="BB1624" t="inlineStr">
        <is>
          <t>BOOK</t>
        </is>
      </c>
      <c r="BD1624" t="inlineStr">
        <is>
          <t>9780397551132</t>
        </is>
      </c>
      <c r="BE1624" t="inlineStr">
        <is>
          <t>30001003264985</t>
        </is>
      </c>
      <c r="BF1624" t="inlineStr">
        <is>
          <t>893451282</t>
        </is>
      </c>
    </row>
    <row r="1625">
      <c r="A1625" t="inlineStr">
        <is>
          <t>No</t>
        </is>
      </c>
      <c r="B1625" t="inlineStr">
        <is>
          <t>CUHSL</t>
        </is>
      </c>
      <c r="C1625" t="inlineStr">
        <is>
          <t>SHELVES</t>
        </is>
      </c>
      <c r="D1625" t="inlineStr">
        <is>
          <t>WY157.3 P641m 2003</t>
        </is>
      </c>
      <c r="E1625" t="inlineStr">
        <is>
          <t>0                      WY 0157300P  641m        2003</t>
        </is>
      </c>
      <c r="F1625" t="inlineStr">
        <is>
          <t>Maternal &amp; child health nursing : care of the childbearing &amp; childrearing family / Adele Pillitteri.</t>
        </is>
      </c>
      <c r="H1625" t="inlineStr">
        <is>
          <t>No</t>
        </is>
      </c>
      <c r="I1625" t="inlineStr">
        <is>
          <t>1</t>
        </is>
      </c>
      <c r="J1625" t="inlineStr">
        <is>
          <t>No</t>
        </is>
      </c>
      <c r="K1625" t="inlineStr">
        <is>
          <t>Yes</t>
        </is>
      </c>
      <c r="L1625" t="inlineStr">
        <is>
          <t>0</t>
        </is>
      </c>
      <c r="M1625" t="inlineStr">
        <is>
          <t>Pillitteri, Adele.</t>
        </is>
      </c>
      <c r="N1625" t="inlineStr">
        <is>
          <t>Philadelphia : Lippincott Williams &amp; Wilkins, c2003.</t>
        </is>
      </c>
      <c r="O1625" t="inlineStr">
        <is>
          <t>2003</t>
        </is>
      </c>
      <c r="P1625" t="inlineStr">
        <is>
          <t>4th ed.</t>
        </is>
      </c>
      <c r="Q1625" t="inlineStr">
        <is>
          <t>eng</t>
        </is>
      </c>
      <c r="R1625" t="inlineStr">
        <is>
          <t>pau</t>
        </is>
      </c>
      <c r="T1625" t="inlineStr">
        <is>
          <t xml:space="preserve">WY </t>
        </is>
      </c>
      <c r="U1625" t="n">
        <v>1</v>
      </c>
      <c r="V1625" t="n">
        <v>1</v>
      </c>
      <c r="W1625" t="inlineStr">
        <is>
          <t>2002-12-10</t>
        </is>
      </c>
      <c r="X1625" t="inlineStr">
        <is>
          <t>2002-12-10</t>
        </is>
      </c>
      <c r="Y1625" t="inlineStr">
        <is>
          <t>2002-11-05</t>
        </is>
      </c>
      <c r="Z1625" t="inlineStr">
        <is>
          <t>2002-11-05</t>
        </is>
      </c>
      <c r="AA1625" t="n">
        <v>354</v>
      </c>
      <c r="AB1625" t="n">
        <v>279</v>
      </c>
      <c r="AC1625" t="n">
        <v>962</v>
      </c>
      <c r="AD1625" t="n">
        <v>1</v>
      </c>
      <c r="AE1625" t="n">
        <v>4</v>
      </c>
      <c r="AF1625" t="n">
        <v>6</v>
      </c>
      <c r="AG1625" t="n">
        <v>21</v>
      </c>
      <c r="AH1625" t="n">
        <v>3</v>
      </c>
      <c r="AI1625" t="n">
        <v>8</v>
      </c>
      <c r="AJ1625" t="n">
        <v>1</v>
      </c>
      <c r="AK1625" t="n">
        <v>4</v>
      </c>
      <c r="AL1625" t="n">
        <v>3</v>
      </c>
      <c r="AM1625" t="n">
        <v>10</v>
      </c>
      <c r="AN1625" t="n">
        <v>0</v>
      </c>
      <c r="AO1625" t="n">
        <v>2</v>
      </c>
      <c r="AP1625" t="n">
        <v>0</v>
      </c>
      <c r="AQ1625" t="n">
        <v>0</v>
      </c>
      <c r="AR1625" t="inlineStr">
        <is>
          <t>No</t>
        </is>
      </c>
      <c r="AS1625" t="inlineStr">
        <is>
          <t>No</t>
        </is>
      </c>
      <c r="AU1625">
        <f>HYPERLINK("https://creighton-primo.hosted.exlibrisgroup.com/primo-explore/search?tab=default_tab&amp;search_scope=EVERYTHING&amp;vid=01CRU&amp;lang=en_US&amp;offset=0&amp;query=any,contains,991000331869702656","Catalog Record")</f>
        <v/>
      </c>
      <c r="AV1625">
        <f>HYPERLINK("http://www.worldcat.org/oclc/49649700","WorldCat Record")</f>
        <v/>
      </c>
      <c r="AW1625" t="inlineStr">
        <is>
          <t>39717233:eng</t>
        </is>
      </c>
      <c r="AX1625" t="inlineStr">
        <is>
          <t>49649700</t>
        </is>
      </c>
      <c r="AY1625" t="inlineStr">
        <is>
          <t>991000331869702656</t>
        </is>
      </c>
      <c r="AZ1625" t="inlineStr">
        <is>
          <t>991000331869702656</t>
        </is>
      </c>
      <c r="BA1625" t="inlineStr">
        <is>
          <t>2272007610002656</t>
        </is>
      </c>
      <c r="BB1625" t="inlineStr">
        <is>
          <t>BOOK</t>
        </is>
      </c>
      <c r="BD1625" t="inlineStr">
        <is>
          <t>9780781736282</t>
        </is>
      </c>
      <c r="BE1625" t="inlineStr">
        <is>
          <t>30001004500486</t>
        </is>
      </c>
      <c r="BF1625" t="inlineStr">
        <is>
          <t>893832774</t>
        </is>
      </c>
    </row>
    <row r="1626">
      <c r="A1626" t="inlineStr">
        <is>
          <t>No</t>
        </is>
      </c>
      <c r="B1626" t="inlineStr">
        <is>
          <t>CUHSL</t>
        </is>
      </c>
      <c r="C1626" t="inlineStr">
        <is>
          <t>SHELVES</t>
        </is>
      </c>
      <c r="D1626" t="inlineStr">
        <is>
          <t>WY157.3 P641m 2007</t>
        </is>
      </c>
      <c r="E1626" t="inlineStr">
        <is>
          <t>0                      WY 0157300P  641m        2007</t>
        </is>
      </c>
      <c r="F1626" t="inlineStr">
        <is>
          <t>Maternal &amp; child health nursing : care of the childbearing &amp; childrearing family / Adele Pillitteri.</t>
        </is>
      </c>
      <c r="H1626" t="inlineStr">
        <is>
          <t>No</t>
        </is>
      </c>
      <c r="I1626" t="inlineStr">
        <is>
          <t>1</t>
        </is>
      </c>
      <c r="J1626" t="inlineStr">
        <is>
          <t>No</t>
        </is>
      </c>
      <c r="K1626" t="inlineStr">
        <is>
          <t>Yes</t>
        </is>
      </c>
      <c r="L1626" t="inlineStr">
        <is>
          <t>0</t>
        </is>
      </c>
      <c r="M1626" t="inlineStr">
        <is>
          <t>Pillitteri, Adele.</t>
        </is>
      </c>
      <c r="N1626" t="inlineStr">
        <is>
          <t>Philadelphia, PA : Lippincott Williams &amp; Wilkins, c2007.</t>
        </is>
      </c>
      <c r="O1626" t="inlineStr">
        <is>
          <t>2007</t>
        </is>
      </c>
      <c r="P1626" t="inlineStr">
        <is>
          <t>5th ed.</t>
        </is>
      </c>
      <c r="Q1626" t="inlineStr">
        <is>
          <t>eng</t>
        </is>
      </c>
      <c r="R1626" t="inlineStr">
        <is>
          <t>pau</t>
        </is>
      </c>
      <c r="T1626" t="inlineStr">
        <is>
          <t xml:space="preserve">WY </t>
        </is>
      </c>
      <c r="U1626" t="n">
        <v>0</v>
      </c>
      <c r="V1626" t="n">
        <v>0</v>
      </c>
      <c r="W1626" t="inlineStr">
        <is>
          <t>2006-04-05</t>
        </is>
      </c>
      <c r="X1626" t="inlineStr">
        <is>
          <t>2006-04-05</t>
        </is>
      </c>
      <c r="Y1626" t="inlineStr">
        <is>
          <t>2006-03-30</t>
        </is>
      </c>
      <c r="Z1626" t="inlineStr">
        <is>
          <t>2006-03-30</t>
        </is>
      </c>
      <c r="AA1626" t="n">
        <v>426</v>
      </c>
      <c r="AB1626" t="n">
        <v>312</v>
      </c>
      <c r="AC1626" t="n">
        <v>962</v>
      </c>
      <c r="AD1626" t="n">
        <v>3</v>
      </c>
      <c r="AE1626" t="n">
        <v>4</v>
      </c>
      <c r="AF1626" t="n">
        <v>6</v>
      </c>
      <c r="AG1626" t="n">
        <v>21</v>
      </c>
      <c r="AH1626" t="n">
        <v>2</v>
      </c>
      <c r="AI1626" t="n">
        <v>8</v>
      </c>
      <c r="AJ1626" t="n">
        <v>0</v>
      </c>
      <c r="AK1626" t="n">
        <v>4</v>
      </c>
      <c r="AL1626" t="n">
        <v>2</v>
      </c>
      <c r="AM1626" t="n">
        <v>10</v>
      </c>
      <c r="AN1626" t="n">
        <v>2</v>
      </c>
      <c r="AO1626" t="n">
        <v>2</v>
      </c>
      <c r="AP1626" t="n">
        <v>0</v>
      </c>
      <c r="AQ1626" t="n">
        <v>0</v>
      </c>
      <c r="AR1626" t="inlineStr">
        <is>
          <t>No</t>
        </is>
      </c>
      <c r="AS1626" t="inlineStr">
        <is>
          <t>No</t>
        </is>
      </c>
      <c r="AU1626">
        <f>HYPERLINK("https://creighton-primo.hosted.exlibrisgroup.com/primo-explore/search?tab=default_tab&amp;search_scope=EVERYTHING&amp;vid=01CRU&amp;lang=en_US&amp;offset=0&amp;query=any,contains,991001738099702656","Catalog Record")</f>
        <v/>
      </c>
      <c r="AV1626">
        <f>HYPERLINK("http://www.worldcat.org/oclc/62078266","WorldCat Record")</f>
        <v/>
      </c>
      <c r="AW1626" t="inlineStr">
        <is>
          <t>39717233:eng</t>
        </is>
      </c>
      <c r="AX1626" t="inlineStr">
        <is>
          <t>62078266</t>
        </is>
      </c>
      <c r="AY1626" t="inlineStr">
        <is>
          <t>991001738099702656</t>
        </is>
      </c>
      <c r="AZ1626" t="inlineStr">
        <is>
          <t>991001738099702656</t>
        </is>
      </c>
      <c r="BA1626" t="inlineStr">
        <is>
          <t>2265648920002656</t>
        </is>
      </c>
      <c r="BB1626" t="inlineStr">
        <is>
          <t>BOOK</t>
        </is>
      </c>
      <c r="BD1626" t="inlineStr">
        <is>
          <t>9780781777766</t>
        </is>
      </c>
      <c r="BE1626" t="inlineStr">
        <is>
          <t>30001005127115</t>
        </is>
      </c>
      <c r="BF1626" t="inlineStr">
        <is>
          <t>893546898</t>
        </is>
      </c>
    </row>
    <row r="1627">
      <c r="A1627" t="inlineStr">
        <is>
          <t>No</t>
        </is>
      </c>
      <c r="B1627" t="inlineStr">
        <is>
          <t>CUHSL</t>
        </is>
      </c>
      <c r="C1627" t="inlineStr">
        <is>
          <t>SHELVES</t>
        </is>
      </c>
      <c r="D1627" t="inlineStr">
        <is>
          <t>WY 157.3 S785 1983</t>
        </is>
      </c>
      <c r="E1627" t="inlineStr">
        <is>
          <t>0                      WY 0157300S  785         1983</t>
        </is>
      </c>
      <c r="F1627" t="inlineStr">
        <is>
          <t>Standards of maternal &amp; child health nursing practice / American Nurses' Association, Division on Maternal &amp; Child Health Nursing Practice.</t>
        </is>
      </c>
      <c r="H1627" t="inlineStr">
        <is>
          <t>No</t>
        </is>
      </c>
      <c r="I1627" t="inlineStr">
        <is>
          <t>1</t>
        </is>
      </c>
      <c r="J1627" t="inlineStr">
        <is>
          <t>No</t>
        </is>
      </c>
      <c r="K1627" t="inlineStr">
        <is>
          <t>No</t>
        </is>
      </c>
      <c r="L1627" t="inlineStr">
        <is>
          <t>0</t>
        </is>
      </c>
      <c r="N1627" t="inlineStr">
        <is>
          <t>Kansas City, Mo. (2420 Pershing Rd., Kansas City, Mo. 64108) : American Nurses' Association, c1983.</t>
        </is>
      </c>
      <c r="O1627" t="inlineStr">
        <is>
          <t>1983</t>
        </is>
      </c>
      <c r="Q1627" t="inlineStr">
        <is>
          <t>eng</t>
        </is>
      </c>
      <c r="R1627" t="inlineStr">
        <is>
          <t>xxu</t>
        </is>
      </c>
      <c r="S1627" t="inlineStr">
        <is>
          <t>ANA pub ; no. MCH-3</t>
        </is>
      </c>
      <c r="T1627" t="inlineStr">
        <is>
          <t xml:space="preserve">WY </t>
        </is>
      </c>
      <c r="U1627" t="n">
        <v>2</v>
      </c>
      <c r="V1627" t="n">
        <v>2</v>
      </c>
      <c r="W1627" t="inlineStr">
        <is>
          <t>2003-03-28</t>
        </is>
      </c>
      <c r="X1627" t="inlineStr">
        <is>
          <t>2003-03-28</t>
        </is>
      </c>
      <c r="Y1627" t="inlineStr">
        <is>
          <t>1988-03-18</t>
        </is>
      </c>
      <c r="Z1627" t="inlineStr">
        <is>
          <t>1988-03-18</t>
        </is>
      </c>
      <c r="AA1627" t="n">
        <v>163</v>
      </c>
      <c r="AB1627" t="n">
        <v>152</v>
      </c>
      <c r="AC1627" t="n">
        <v>167</v>
      </c>
      <c r="AD1627" t="n">
        <v>2</v>
      </c>
      <c r="AE1627" t="n">
        <v>2</v>
      </c>
      <c r="AF1627" t="n">
        <v>7</v>
      </c>
      <c r="AG1627" t="n">
        <v>7</v>
      </c>
      <c r="AH1627" t="n">
        <v>2</v>
      </c>
      <c r="AI1627" t="n">
        <v>2</v>
      </c>
      <c r="AJ1627" t="n">
        <v>1</v>
      </c>
      <c r="AK1627" t="n">
        <v>1</v>
      </c>
      <c r="AL1627" t="n">
        <v>4</v>
      </c>
      <c r="AM1627" t="n">
        <v>4</v>
      </c>
      <c r="AN1627" t="n">
        <v>0</v>
      </c>
      <c r="AO1627" t="n">
        <v>0</v>
      </c>
      <c r="AP1627" t="n">
        <v>0</v>
      </c>
      <c r="AQ1627" t="n">
        <v>0</v>
      </c>
      <c r="AR1627" t="inlineStr">
        <is>
          <t>No</t>
        </is>
      </c>
      <c r="AS1627" t="inlineStr">
        <is>
          <t>Yes</t>
        </is>
      </c>
      <c r="AT1627">
        <f>HYPERLINK("http://catalog.hathitrust.org/Record/000325165","HathiTrust Record")</f>
        <v/>
      </c>
      <c r="AU1627">
        <f>HYPERLINK("https://creighton-primo.hosted.exlibrisgroup.com/primo-explore/search?tab=default_tab&amp;search_scope=EVERYTHING&amp;vid=01CRU&amp;lang=en_US&amp;offset=0&amp;query=any,contains,991001179839702656","Catalog Record")</f>
        <v/>
      </c>
      <c r="AV1627">
        <f>HYPERLINK("http://www.worldcat.org/oclc/10479378","WorldCat Record")</f>
        <v/>
      </c>
      <c r="AW1627" t="inlineStr">
        <is>
          <t>3855265172:eng</t>
        </is>
      </c>
      <c r="AX1627" t="inlineStr">
        <is>
          <t>10479378</t>
        </is>
      </c>
      <c r="AY1627" t="inlineStr">
        <is>
          <t>991001179839702656</t>
        </is>
      </c>
      <c r="AZ1627" t="inlineStr">
        <is>
          <t>991001179839702656</t>
        </is>
      </c>
      <c r="BA1627" t="inlineStr">
        <is>
          <t>2267272790002656</t>
        </is>
      </c>
      <c r="BB1627" t="inlineStr">
        <is>
          <t>BOOK</t>
        </is>
      </c>
      <c r="BE1627" t="inlineStr">
        <is>
          <t>30001000976763</t>
        </is>
      </c>
      <c r="BF1627" t="inlineStr">
        <is>
          <t>893740845</t>
        </is>
      </c>
    </row>
    <row r="1628">
      <c r="A1628" t="inlineStr">
        <is>
          <t>No</t>
        </is>
      </c>
      <c r="B1628" t="inlineStr">
        <is>
          <t>CUHSL</t>
        </is>
      </c>
      <c r="C1628" t="inlineStr">
        <is>
          <t>SHELVES</t>
        </is>
      </c>
      <c r="D1628" t="inlineStr">
        <is>
          <t>WY 157.3 W872m 1998</t>
        </is>
      </c>
      <c r="E1628" t="inlineStr">
        <is>
          <t>0                      WY 0157300W  872m        1998</t>
        </is>
      </c>
      <c r="F1628" t="inlineStr">
        <is>
          <t>Maternal child nursing care / Donna L. Wong, Shannon E. Perry ; contributing editor, Caryn Stoermer Hess.</t>
        </is>
      </c>
      <c r="H1628" t="inlineStr">
        <is>
          <t>No</t>
        </is>
      </c>
      <c r="I1628" t="inlineStr">
        <is>
          <t>1</t>
        </is>
      </c>
      <c r="J1628" t="inlineStr">
        <is>
          <t>No</t>
        </is>
      </c>
      <c r="K1628" t="inlineStr">
        <is>
          <t>No</t>
        </is>
      </c>
      <c r="L1628" t="inlineStr">
        <is>
          <t>0</t>
        </is>
      </c>
      <c r="M1628" t="inlineStr">
        <is>
          <t>Wong, Donna L., 1948-2008.</t>
        </is>
      </c>
      <c r="N1628" t="inlineStr">
        <is>
          <t>St. Louis : Mosby, c1998.</t>
        </is>
      </c>
      <c r="O1628" t="inlineStr">
        <is>
          <t>1998</t>
        </is>
      </c>
      <c r="Q1628" t="inlineStr">
        <is>
          <t>eng</t>
        </is>
      </c>
      <c r="R1628" t="inlineStr">
        <is>
          <t>mou</t>
        </is>
      </c>
      <c r="T1628" t="inlineStr">
        <is>
          <t xml:space="preserve">WY </t>
        </is>
      </c>
      <c r="U1628" t="n">
        <v>68</v>
      </c>
      <c r="V1628" t="n">
        <v>68</v>
      </c>
      <c r="W1628" t="inlineStr">
        <is>
          <t>2001-05-30</t>
        </is>
      </c>
      <c r="X1628" t="inlineStr">
        <is>
          <t>2001-05-30</t>
        </is>
      </c>
      <c r="Y1628" t="inlineStr">
        <is>
          <t>1998-05-01</t>
        </is>
      </c>
      <c r="Z1628" t="inlineStr">
        <is>
          <t>1998-05-01</t>
        </is>
      </c>
      <c r="AA1628" t="n">
        <v>196</v>
      </c>
      <c r="AB1628" t="n">
        <v>160</v>
      </c>
      <c r="AC1628" t="n">
        <v>486</v>
      </c>
      <c r="AD1628" t="n">
        <v>1</v>
      </c>
      <c r="AE1628" t="n">
        <v>5</v>
      </c>
      <c r="AF1628" t="n">
        <v>4</v>
      </c>
      <c r="AG1628" t="n">
        <v>13</v>
      </c>
      <c r="AH1628" t="n">
        <v>1</v>
      </c>
      <c r="AI1628" t="n">
        <v>3</v>
      </c>
      <c r="AJ1628" t="n">
        <v>1</v>
      </c>
      <c r="AK1628" t="n">
        <v>4</v>
      </c>
      <c r="AL1628" t="n">
        <v>2</v>
      </c>
      <c r="AM1628" t="n">
        <v>6</v>
      </c>
      <c r="AN1628" t="n">
        <v>0</v>
      </c>
      <c r="AO1628" t="n">
        <v>2</v>
      </c>
      <c r="AP1628" t="n">
        <v>0</v>
      </c>
      <c r="AQ1628" t="n">
        <v>0</v>
      </c>
      <c r="AR1628" t="inlineStr">
        <is>
          <t>No</t>
        </is>
      </c>
      <c r="AS1628" t="inlineStr">
        <is>
          <t>No</t>
        </is>
      </c>
      <c r="AU1628">
        <f>HYPERLINK("https://creighton-primo.hosted.exlibrisgroup.com/primo-explore/search?tab=default_tab&amp;search_scope=EVERYTHING&amp;vid=01CRU&amp;lang=en_US&amp;offset=0&amp;query=any,contains,991000901149702656","Catalog Record")</f>
        <v/>
      </c>
      <c r="AV1628">
        <f>HYPERLINK("http://www.worldcat.org/oclc/36729031","WorldCat Record")</f>
        <v/>
      </c>
      <c r="AW1628" t="inlineStr">
        <is>
          <t>195328027:eng</t>
        </is>
      </c>
      <c r="AX1628" t="inlineStr">
        <is>
          <t>36729031</t>
        </is>
      </c>
      <c r="AY1628" t="inlineStr">
        <is>
          <t>991000901149702656</t>
        </is>
      </c>
      <c r="AZ1628" t="inlineStr">
        <is>
          <t>991000901149702656</t>
        </is>
      </c>
      <c r="BA1628" t="inlineStr">
        <is>
          <t>2258224290002656</t>
        </is>
      </c>
      <c r="BB1628" t="inlineStr">
        <is>
          <t>BOOK</t>
        </is>
      </c>
      <c r="BD1628" t="inlineStr">
        <is>
          <t>9780815128373</t>
        </is>
      </c>
      <c r="BE1628" t="inlineStr">
        <is>
          <t>30001004176311</t>
        </is>
      </c>
      <c r="BF1628" t="inlineStr">
        <is>
          <t>893363524</t>
        </is>
      </c>
    </row>
    <row r="1629">
      <c r="A1629" t="inlineStr">
        <is>
          <t>No</t>
        </is>
      </c>
      <c r="B1629" t="inlineStr">
        <is>
          <t>CUHSL</t>
        </is>
      </c>
      <c r="C1629" t="inlineStr">
        <is>
          <t>SHELVES</t>
        </is>
      </c>
      <c r="D1629" t="inlineStr">
        <is>
          <t>WY 157.3 W872m 2006 Suppl.</t>
        </is>
      </c>
      <c r="E1629" t="inlineStr">
        <is>
          <t>0                      WY 0157300W  872m        2006                                        Suppl.</t>
        </is>
      </c>
      <c r="F1629" t="inlineStr">
        <is>
          <t>Maternal child nursing care : study guide / Donna L. Wong ... [et al.] ; prepared by Karen A. Piotrowski, Anne Rath Rentfro.</t>
        </is>
      </c>
      <c r="G1629" t="inlineStr">
        <is>
          <t>Suppl.*</t>
        </is>
      </c>
      <c r="H1629" t="inlineStr">
        <is>
          <t>No</t>
        </is>
      </c>
      <c r="I1629" t="inlineStr">
        <is>
          <t>1</t>
        </is>
      </c>
      <c r="J1629" t="inlineStr">
        <is>
          <t>No</t>
        </is>
      </c>
      <c r="K1629" t="inlineStr">
        <is>
          <t>No</t>
        </is>
      </c>
      <c r="L1629" t="inlineStr">
        <is>
          <t>0</t>
        </is>
      </c>
      <c r="M1629" t="inlineStr">
        <is>
          <t>Wong, Donna L., 1948-2008.</t>
        </is>
      </c>
      <c r="N1629" t="inlineStr">
        <is>
          <t>St. Louis : Mosby, c2006.</t>
        </is>
      </c>
      <c r="O1629" t="inlineStr">
        <is>
          <t>2006</t>
        </is>
      </c>
      <c r="P1629" t="inlineStr">
        <is>
          <t>3rd. ed.</t>
        </is>
      </c>
      <c r="Q1629" t="inlineStr">
        <is>
          <t>eng</t>
        </is>
      </c>
      <c r="R1629" t="inlineStr">
        <is>
          <t>mou</t>
        </is>
      </c>
      <c r="T1629" t="inlineStr">
        <is>
          <t xml:space="preserve">WY </t>
        </is>
      </c>
      <c r="U1629" t="n">
        <v>0</v>
      </c>
      <c r="V1629" t="n">
        <v>0</v>
      </c>
      <c r="W1629" t="inlineStr">
        <is>
          <t>2007-06-28</t>
        </is>
      </c>
      <c r="X1629" t="inlineStr">
        <is>
          <t>2007-06-28</t>
        </is>
      </c>
      <c r="Y1629" t="inlineStr">
        <is>
          <t>2007-06-07</t>
        </is>
      </c>
      <c r="Z1629" t="inlineStr">
        <is>
          <t>2007-06-07</t>
        </is>
      </c>
      <c r="AA1629" t="n">
        <v>5</v>
      </c>
      <c r="AB1629" t="n">
        <v>4</v>
      </c>
      <c r="AC1629" t="n">
        <v>22</v>
      </c>
      <c r="AD1629" t="n">
        <v>1</v>
      </c>
      <c r="AE1629" t="n">
        <v>1</v>
      </c>
      <c r="AF1629" t="n">
        <v>0</v>
      </c>
      <c r="AG1629" t="n">
        <v>1</v>
      </c>
      <c r="AH1629" t="n">
        <v>0</v>
      </c>
      <c r="AI1629" t="n">
        <v>0</v>
      </c>
      <c r="AJ1629" t="n">
        <v>0</v>
      </c>
      <c r="AK1629" t="n">
        <v>0</v>
      </c>
      <c r="AL1629" t="n">
        <v>0</v>
      </c>
      <c r="AM1629" t="n">
        <v>1</v>
      </c>
      <c r="AN1629" t="n">
        <v>0</v>
      </c>
      <c r="AO1629" t="n">
        <v>0</v>
      </c>
      <c r="AP1629" t="n">
        <v>0</v>
      </c>
      <c r="AQ1629" t="n">
        <v>0</v>
      </c>
      <c r="AR1629" t="inlineStr">
        <is>
          <t>No</t>
        </is>
      </c>
      <c r="AS1629" t="inlineStr">
        <is>
          <t>No</t>
        </is>
      </c>
      <c r="AU1629">
        <f>HYPERLINK("https://creighton-primo.hosted.exlibrisgroup.com/primo-explore/search?tab=default_tab&amp;search_scope=EVERYTHING&amp;vid=01CRU&amp;lang=en_US&amp;offset=0&amp;query=any,contains,991000631449702656","Catalog Record")</f>
        <v/>
      </c>
      <c r="AV1629">
        <f>HYPERLINK("http://www.worldcat.org/oclc/70845449","WorldCat Record")</f>
        <v/>
      </c>
      <c r="AW1629" t="inlineStr">
        <is>
          <t>4920349628:eng</t>
        </is>
      </c>
      <c r="AX1629" t="inlineStr">
        <is>
          <t>70845449</t>
        </is>
      </c>
      <c r="AY1629" t="inlineStr">
        <is>
          <t>991000631449702656</t>
        </is>
      </c>
      <c r="AZ1629" t="inlineStr">
        <is>
          <t>991000631449702656</t>
        </is>
      </c>
      <c r="BA1629" t="inlineStr">
        <is>
          <t>2262647310002656</t>
        </is>
      </c>
      <c r="BB1629" t="inlineStr">
        <is>
          <t>BOOK</t>
        </is>
      </c>
      <c r="BD1629" t="inlineStr">
        <is>
          <t>9780323017039</t>
        </is>
      </c>
      <c r="BE1629" t="inlineStr">
        <is>
          <t>30001005218567</t>
        </is>
      </c>
      <c r="BF1629" t="inlineStr">
        <is>
          <t>893449920</t>
        </is>
      </c>
    </row>
    <row r="1630">
      <c r="A1630" t="inlineStr">
        <is>
          <t>No</t>
        </is>
      </c>
      <c r="B1630" t="inlineStr">
        <is>
          <t>CUHSL</t>
        </is>
      </c>
      <c r="C1630" t="inlineStr">
        <is>
          <t>SHELVES</t>
        </is>
      </c>
      <c r="D1630" t="inlineStr">
        <is>
          <t>WY 157.6 M294 1980</t>
        </is>
      </c>
      <c r="E1630" t="inlineStr">
        <is>
          <t>0                      WY 0157600M  294         1980</t>
        </is>
      </c>
      <c r="F1630" t="inlineStr">
        <is>
          <t>Manual of orthopedics / [edited by] Nancy E. Hilt, Shirley B. Cogburn.</t>
        </is>
      </c>
      <c r="H1630" t="inlineStr">
        <is>
          <t>No</t>
        </is>
      </c>
      <c r="I1630" t="inlineStr">
        <is>
          <t>1</t>
        </is>
      </c>
      <c r="J1630" t="inlineStr">
        <is>
          <t>No</t>
        </is>
      </c>
      <c r="K1630" t="inlineStr">
        <is>
          <t>No</t>
        </is>
      </c>
      <c r="L1630" t="inlineStr">
        <is>
          <t>0</t>
        </is>
      </c>
      <c r="M1630" t="inlineStr">
        <is>
          <t>Hilt, Nancy E., 1943-</t>
        </is>
      </c>
      <c r="N1630" t="inlineStr">
        <is>
          <t>St. Louis : Mosby, c1980.</t>
        </is>
      </c>
      <c r="O1630" t="inlineStr">
        <is>
          <t>1980</t>
        </is>
      </c>
      <c r="Q1630" t="inlineStr">
        <is>
          <t>eng</t>
        </is>
      </c>
      <c r="R1630" t="inlineStr">
        <is>
          <t>mou</t>
        </is>
      </c>
      <c r="T1630" t="inlineStr">
        <is>
          <t xml:space="preserve">WY </t>
        </is>
      </c>
      <c r="U1630" t="n">
        <v>7</v>
      </c>
      <c r="V1630" t="n">
        <v>7</v>
      </c>
      <c r="W1630" t="inlineStr">
        <is>
          <t>1991-04-16</t>
        </is>
      </c>
      <c r="X1630" t="inlineStr">
        <is>
          <t>1991-04-16</t>
        </is>
      </c>
      <c r="Y1630" t="inlineStr">
        <is>
          <t>1987-10-24</t>
        </is>
      </c>
      <c r="Z1630" t="inlineStr">
        <is>
          <t>1987-10-24</t>
        </is>
      </c>
      <c r="AA1630" t="n">
        <v>323</v>
      </c>
      <c r="AB1630" t="n">
        <v>268</v>
      </c>
      <c r="AC1630" t="n">
        <v>277</v>
      </c>
      <c r="AD1630" t="n">
        <v>2</v>
      </c>
      <c r="AE1630" t="n">
        <v>2</v>
      </c>
      <c r="AF1630" t="n">
        <v>8</v>
      </c>
      <c r="AG1630" t="n">
        <v>8</v>
      </c>
      <c r="AH1630" t="n">
        <v>4</v>
      </c>
      <c r="AI1630" t="n">
        <v>4</v>
      </c>
      <c r="AJ1630" t="n">
        <v>1</v>
      </c>
      <c r="AK1630" t="n">
        <v>1</v>
      </c>
      <c r="AL1630" t="n">
        <v>5</v>
      </c>
      <c r="AM1630" t="n">
        <v>5</v>
      </c>
      <c r="AN1630" t="n">
        <v>1</v>
      </c>
      <c r="AO1630" t="n">
        <v>1</v>
      </c>
      <c r="AP1630" t="n">
        <v>0</v>
      </c>
      <c r="AQ1630" t="n">
        <v>0</v>
      </c>
      <c r="AR1630" t="inlineStr">
        <is>
          <t>No</t>
        </is>
      </c>
      <c r="AS1630" t="inlineStr">
        <is>
          <t>Yes</t>
        </is>
      </c>
      <c r="AT1630">
        <f>HYPERLINK("http://catalog.hathitrust.org/Record/000742686","HathiTrust Record")</f>
        <v/>
      </c>
      <c r="AU1630">
        <f>HYPERLINK("https://creighton-primo.hosted.exlibrisgroup.com/primo-explore/search?tab=default_tab&amp;search_scope=EVERYTHING&amp;vid=01CRU&amp;lang=en_US&amp;offset=0&amp;query=any,contains,991000732519702656","Catalog Record")</f>
        <v/>
      </c>
      <c r="AV1630">
        <f>HYPERLINK("http://www.worldcat.org/oclc/4570425","WorldCat Record")</f>
        <v/>
      </c>
      <c r="AW1630" t="inlineStr">
        <is>
          <t>14846064:eng</t>
        </is>
      </c>
      <c r="AX1630" t="inlineStr">
        <is>
          <t>4570425</t>
        </is>
      </c>
      <c r="AY1630" t="inlineStr">
        <is>
          <t>991000732519702656</t>
        </is>
      </c>
      <c r="AZ1630" t="inlineStr">
        <is>
          <t>991000732519702656</t>
        </is>
      </c>
      <c r="BA1630" t="inlineStr">
        <is>
          <t>2268299620002656</t>
        </is>
      </c>
      <c r="BB1630" t="inlineStr">
        <is>
          <t>BOOK</t>
        </is>
      </c>
      <c r="BD1630" t="inlineStr">
        <is>
          <t>9780801621987</t>
        </is>
      </c>
      <c r="BE1630" t="inlineStr">
        <is>
          <t>30001000040685</t>
        </is>
      </c>
      <c r="BF1630" t="inlineStr">
        <is>
          <t>893362912</t>
        </is>
      </c>
    </row>
    <row r="1631">
      <c r="A1631" t="inlineStr">
        <is>
          <t>No</t>
        </is>
      </c>
      <c r="B1631" t="inlineStr">
        <is>
          <t>CUHSL</t>
        </is>
      </c>
      <c r="C1631" t="inlineStr">
        <is>
          <t>SHELVES</t>
        </is>
      </c>
      <c r="D1631" t="inlineStr">
        <is>
          <t>WY 157.6 M478m 1982</t>
        </is>
      </c>
      <c r="E1631" t="inlineStr">
        <is>
          <t>0                      WY 0157600M  478m        1982</t>
        </is>
      </c>
      <c r="F1631" t="inlineStr">
        <is>
          <t>Manual of orthopedic surgery for nurses / by Norma McWilliams ; illustrations and postoperative care by Nancy C. Clayton.</t>
        </is>
      </c>
      <c r="H1631" t="inlineStr">
        <is>
          <t>No</t>
        </is>
      </c>
      <c r="I1631" t="inlineStr">
        <is>
          <t>1</t>
        </is>
      </c>
      <c r="J1631" t="inlineStr">
        <is>
          <t>No</t>
        </is>
      </c>
      <c r="K1631" t="inlineStr">
        <is>
          <t>No</t>
        </is>
      </c>
      <c r="L1631" t="inlineStr">
        <is>
          <t>0</t>
        </is>
      </c>
      <c r="M1631" t="inlineStr">
        <is>
          <t>McWilliams, Norma, 1929-</t>
        </is>
      </c>
      <c r="N1631" t="inlineStr">
        <is>
          <t>Bowie, Md. : Brady, 1982.</t>
        </is>
      </c>
      <c r="O1631" t="inlineStr">
        <is>
          <t>1982</t>
        </is>
      </c>
      <c r="Q1631" t="inlineStr">
        <is>
          <t>eng</t>
        </is>
      </c>
      <c r="R1631" t="inlineStr">
        <is>
          <t xml:space="preserve">xx </t>
        </is>
      </c>
      <c r="T1631" t="inlineStr">
        <is>
          <t xml:space="preserve">WY </t>
        </is>
      </c>
      <c r="U1631" t="n">
        <v>3</v>
      </c>
      <c r="V1631" t="n">
        <v>3</v>
      </c>
      <c r="W1631" t="inlineStr">
        <is>
          <t>1991-03-20</t>
        </is>
      </c>
      <c r="X1631" t="inlineStr">
        <is>
          <t>1991-03-20</t>
        </is>
      </c>
      <c r="Y1631" t="inlineStr">
        <is>
          <t>1987-12-23</t>
        </is>
      </c>
      <c r="Z1631" t="inlineStr">
        <is>
          <t>1987-12-23</t>
        </is>
      </c>
      <c r="AA1631" t="n">
        <v>98</v>
      </c>
      <c r="AB1631" t="n">
        <v>74</v>
      </c>
      <c r="AC1631" t="n">
        <v>74</v>
      </c>
      <c r="AD1631" t="n">
        <v>1</v>
      </c>
      <c r="AE1631" t="n">
        <v>1</v>
      </c>
      <c r="AF1631" t="n">
        <v>0</v>
      </c>
      <c r="AG1631" t="n">
        <v>0</v>
      </c>
      <c r="AH1631" t="n">
        <v>0</v>
      </c>
      <c r="AI1631" t="n">
        <v>0</v>
      </c>
      <c r="AJ1631" t="n">
        <v>0</v>
      </c>
      <c r="AK1631" t="n">
        <v>0</v>
      </c>
      <c r="AL1631" t="n">
        <v>0</v>
      </c>
      <c r="AM1631" t="n">
        <v>0</v>
      </c>
      <c r="AN1631" t="n">
        <v>0</v>
      </c>
      <c r="AO1631" t="n">
        <v>0</v>
      </c>
      <c r="AP1631" t="n">
        <v>0</v>
      </c>
      <c r="AQ1631" t="n">
        <v>0</v>
      </c>
      <c r="AR1631" t="inlineStr">
        <is>
          <t>No</t>
        </is>
      </c>
      <c r="AS1631" t="inlineStr">
        <is>
          <t>No</t>
        </is>
      </c>
      <c r="AU1631">
        <f>HYPERLINK("https://creighton-primo.hosted.exlibrisgroup.com/primo-explore/search?tab=default_tab&amp;search_scope=EVERYTHING&amp;vid=01CRU&amp;lang=en_US&amp;offset=0&amp;query=any,contains,991000922009702656","Catalog Record")</f>
        <v/>
      </c>
      <c r="AV1631">
        <f>HYPERLINK("http://www.worldcat.org/oclc/7835240","WorldCat Record")</f>
        <v/>
      </c>
      <c r="AW1631" t="inlineStr">
        <is>
          <t>29735875:eng</t>
        </is>
      </c>
      <c r="AX1631" t="inlineStr">
        <is>
          <t>7835240</t>
        </is>
      </c>
      <c r="AY1631" t="inlineStr">
        <is>
          <t>991000922009702656</t>
        </is>
      </c>
      <c r="AZ1631" t="inlineStr">
        <is>
          <t>991000922009702656</t>
        </is>
      </c>
      <c r="BA1631" t="inlineStr">
        <is>
          <t>2266267060002656</t>
        </is>
      </c>
      <c r="BB1631" t="inlineStr">
        <is>
          <t>BOOK</t>
        </is>
      </c>
      <c r="BD1631" t="inlineStr">
        <is>
          <t>9780893030568</t>
        </is>
      </c>
      <c r="BE1631" t="inlineStr">
        <is>
          <t>30001000181695</t>
        </is>
      </c>
      <c r="BF1631" t="inlineStr">
        <is>
          <t>893363537</t>
        </is>
      </c>
    </row>
    <row r="1632">
      <c r="A1632" t="inlineStr">
        <is>
          <t>No</t>
        </is>
      </c>
      <c r="B1632" t="inlineStr">
        <is>
          <t>CUHSL</t>
        </is>
      </c>
      <c r="C1632" t="inlineStr">
        <is>
          <t>SHELVES</t>
        </is>
      </c>
      <c r="D1632" t="inlineStr">
        <is>
          <t>WY 157.6 M929 1980</t>
        </is>
      </c>
      <c r="E1632" t="inlineStr">
        <is>
          <t>0                      WY 0157600M  929         1980</t>
        </is>
      </c>
      <c r="F1632" t="inlineStr">
        <is>
          <t>Nursing care of adult with orthopedic conditions / Leona A. Mourad.</t>
        </is>
      </c>
      <c r="H1632" t="inlineStr">
        <is>
          <t>No</t>
        </is>
      </c>
      <c r="I1632" t="inlineStr">
        <is>
          <t>1</t>
        </is>
      </c>
      <c r="J1632" t="inlineStr">
        <is>
          <t>No</t>
        </is>
      </c>
      <c r="K1632" t="inlineStr">
        <is>
          <t>No</t>
        </is>
      </c>
      <c r="L1632" t="inlineStr">
        <is>
          <t>0</t>
        </is>
      </c>
      <c r="M1632" t="inlineStr">
        <is>
          <t>Mourad, Leona A.</t>
        </is>
      </c>
      <c r="N1632" t="inlineStr">
        <is>
          <t>New York : Wiley, c1980.</t>
        </is>
      </c>
      <c r="O1632" t="inlineStr">
        <is>
          <t>1980</t>
        </is>
      </c>
      <c r="Q1632" t="inlineStr">
        <is>
          <t>eng</t>
        </is>
      </c>
      <c r="R1632" t="inlineStr">
        <is>
          <t>nyu</t>
        </is>
      </c>
      <c r="S1632" t="inlineStr">
        <is>
          <t>A Wiley medical publication</t>
        </is>
      </c>
      <c r="T1632" t="inlineStr">
        <is>
          <t xml:space="preserve">WY </t>
        </is>
      </c>
      <c r="U1632" t="n">
        <v>4</v>
      </c>
      <c r="V1632" t="n">
        <v>4</v>
      </c>
      <c r="W1632" t="inlineStr">
        <is>
          <t>1989-12-04</t>
        </is>
      </c>
      <c r="X1632" t="inlineStr">
        <is>
          <t>1989-12-04</t>
        </is>
      </c>
      <c r="Y1632" t="inlineStr">
        <is>
          <t>1987-12-23</t>
        </is>
      </c>
      <c r="Z1632" t="inlineStr">
        <is>
          <t>1987-12-23</t>
        </is>
      </c>
      <c r="AA1632" t="n">
        <v>242</v>
      </c>
      <c r="AB1632" t="n">
        <v>197</v>
      </c>
      <c r="AC1632" t="n">
        <v>204</v>
      </c>
      <c r="AD1632" t="n">
        <v>1</v>
      </c>
      <c r="AE1632" t="n">
        <v>1</v>
      </c>
      <c r="AF1632" t="n">
        <v>4</v>
      </c>
      <c r="AG1632" t="n">
        <v>4</v>
      </c>
      <c r="AH1632" t="n">
        <v>0</v>
      </c>
      <c r="AI1632" t="n">
        <v>0</v>
      </c>
      <c r="AJ1632" t="n">
        <v>1</v>
      </c>
      <c r="AK1632" t="n">
        <v>1</v>
      </c>
      <c r="AL1632" t="n">
        <v>4</v>
      </c>
      <c r="AM1632" t="n">
        <v>4</v>
      </c>
      <c r="AN1632" t="n">
        <v>0</v>
      </c>
      <c r="AO1632" t="n">
        <v>0</v>
      </c>
      <c r="AP1632" t="n">
        <v>0</v>
      </c>
      <c r="AQ1632" t="n">
        <v>0</v>
      </c>
      <c r="AR1632" t="inlineStr">
        <is>
          <t>No</t>
        </is>
      </c>
      <c r="AS1632" t="inlineStr">
        <is>
          <t>Yes</t>
        </is>
      </c>
      <c r="AT1632">
        <f>HYPERLINK("http://catalog.hathitrust.org/Record/000023595","HathiTrust Record")</f>
        <v/>
      </c>
      <c r="AU1632">
        <f>HYPERLINK("https://creighton-primo.hosted.exlibrisgroup.com/primo-explore/search?tab=default_tab&amp;search_scope=EVERYTHING&amp;vid=01CRU&amp;lang=en_US&amp;offset=0&amp;query=any,contains,991000922049702656","Catalog Record")</f>
        <v/>
      </c>
      <c r="AV1632">
        <f>HYPERLINK("http://www.worldcat.org/oclc/5677021","WorldCat Record")</f>
        <v/>
      </c>
      <c r="AW1632" t="inlineStr">
        <is>
          <t>15979814:eng</t>
        </is>
      </c>
      <c r="AX1632" t="inlineStr">
        <is>
          <t>5677021</t>
        </is>
      </c>
      <c r="AY1632" t="inlineStr">
        <is>
          <t>991000922049702656</t>
        </is>
      </c>
      <c r="AZ1632" t="inlineStr">
        <is>
          <t>991000922049702656</t>
        </is>
      </c>
      <c r="BA1632" t="inlineStr">
        <is>
          <t>2261547110002656</t>
        </is>
      </c>
      <c r="BB1632" t="inlineStr">
        <is>
          <t>BOOK</t>
        </is>
      </c>
      <c r="BD1632" t="inlineStr">
        <is>
          <t>9780471046776</t>
        </is>
      </c>
      <c r="BE1632" t="inlineStr">
        <is>
          <t>30001000181703</t>
        </is>
      </c>
      <c r="BF1632" t="inlineStr">
        <is>
          <t>893731536</t>
        </is>
      </c>
    </row>
    <row r="1633">
      <c r="A1633" t="inlineStr">
        <is>
          <t>No</t>
        </is>
      </c>
      <c r="B1633" t="inlineStr">
        <is>
          <t>CUHSL</t>
        </is>
      </c>
      <c r="C1633" t="inlineStr">
        <is>
          <t>SHELVES</t>
        </is>
      </c>
      <c r="D1633" t="inlineStr">
        <is>
          <t>WY 157.6 M929n 1988</t>
        </is>
      </c>
      <c r="E1633" t="inlineStr">
        <is>
          <t>0                      WY 0157600M  929n        1988</t>
        </is>
      </c>
      <c r="F1633" t="inlineStr">
        <is>
          <t>The nursing process in the care of adults with orthopaedic conditions / Leona A. Mourad, Millie M. Droste.</t>
        </is>
      </c>
      <c r="H1633" t="inlineStr">
        <is>
          <t>No</t>
        </is>
      </c>
      <c r="I1633" t="inlineStr">
        <is>
          <t>1</t>
        </is>
      </c>
      <c r="J1633" t="inlineStr">
        <is>
          <t>No</t>
        </is>
      </c>
      <c r="K1633" t="inlineStr">
        <is>
          <t>No</t>
        </is>
      </c>
      <c r="L1633" t="inlineStr">
        <is>
          <t>0</t>
        </is>
      </c>
      <c r="M1633" t="inlineStr">
        <is>
          <t>Mourad, Leona A.</t>
        </is>
      </c>
      <c r="N1633" t="inlineStr">
        <is>
          <t>New York : Wiley, c1988.</t>
        </is>
      </c>
      <c r="O1633" t="inlineStr">
        <is>
          <t>1988</t>
        </is>
      </c>
      <c r="P1633" t="inlineStr">
        <is>
          <t>2nd ed.</t>
        </is>
      </c>
      <c r="Q1633" t="inlineStr">
        <is>
          <t>eng</t>
        </is>
      </c>
      <c r="R1633" t="inlineStr">
        <is>
          <t>xxu</t>
        </is>
      </c>
      <c r="S1633" t="inlineStr">
        <is>
          <t>A Wiley medical publication.</t>
        </is>
      </c>
      <c r="T1633" t="inlineStr">
        <is>
          <t xml:space="preserve">WY </t>
        </is>
      </c>
      <c r="U1633" t="n">
        <v>7</v>
      </c>
      <c r="V1633" t="n">
        <v>7</v>
      </c>
      <c r="W1633" t="inlineStr">
        <is>
          <t>1991-03-20</t>
        </is>
      </c>
      <c r="X1633" t="inlineStr">
        <is>
          <t>1991-03-20</t>
        </is>
      </c>
      <c r="Y1633" t="inlineStr">
        <is>
          <t>1989-06-16</t>
        </is>
      </c>
      <c r="Z1633" t="inlineStr">
        <is>
          <t>1989-06-16</t>
        </is>
      </c>
      <c r="AA1633" t="n">
        <v>259</v>
      </c>
      <c r="AB1633" t="n">
        <v>223</v>
      </c>
      <c r="AC1633" t="n">
        <v>379</v>
      </c>
      <c r="AD1633" t="n">
        <v>3</v>
      </c>
      <c r="AE1633" t="n">
        <v>3</v>
      </c>
      <c r="AF1633" t="n">
        <v>7</v>
      </c>
      <c r="AG1633" t="n">
        <v>13</v>
      </c>
      <c r="AH1633" t="n">
        <v>1</v>
      </c>
      <c r="AI1633" t="n">
        <v>4</v>
      </c>
      <c r="AJ1633" t="n">
        <v>3</v>
      </c>
      <c r="AK1633" t="n">
        <v>4</v>
      </c>
      <c r="AL1633" t="n">
        <v>4</v>
      </c>
      <c r="AM1633" t="n">
        <v>7</v>
      </c>
      <c r="AN1633" t="n">
        <v>1</v>
      </c>
      <c r="AO1633" t="n">
        <v>1</v>
      </c>
      <c r="AP1633" t="n">
        <v>0</v>
      </c>
      <c r="AQ1633" t="n">
        <v>0</v>
      </c>
      <c r="AR1633" t="inlineStr">
        <is>
          <t>No</t>
        </is>
      </c>
      <c r="AS1633" t="inlineStr">
        <is>
          <t>Yes</t>
        </is>
      </c>
      <c r="AT1633">
        <f>HYPERLINK("http://catalog.hathitrust.org/Record/000941841","HathiTrust Record")</f>
        <v/>
      </c>
      <c r="AU1633">
        <f>HYPERLINK("https://creighton-primo.hosted.exlibrisgroup.com/primo-explore/search?tab=default_tab&amp;search_scope=EVERYTHING&amp;vid=01CRU&amp;lang=en_US&amp;offset=0&amp;query=any,contains,991001309059702656","Catalog Record")</f>
        <v/>
      </c>
      <c r="AV1633">
        <f>HYPERLINK("http://www.worldcat.org/oclc/17385912","WorldCat Record")</f>
        <v/>
      </c>
      <c r="AW1633" t="inlineStr">
        <is>
          <t>3901238907:eng</t>
        </is>
      </c>
      <c r="AX1633" t="inlineStr">
        <is>
          <t>17385912</t>
        </is>
      </c>
      <c r="AY1633" t="inlineStr">
        <is>
          <t>991001309059702656</t>
        </is>
      </c>
      <c r="AZ1633" t="inlineStr">
        <is>
          <t>991001309059702656</t>
        </is>
      </c>
      <c r="BA1633" t="inlineStr">
        <is>
          <t>2265515990002656</t>
        </is>
      </c>
      <c r="BB1633" t="inlineStr">
        <is>
          <t>BOOK</t>
        </is>
      </c>
      <c r="BD1633" t="inlineStr">
        <is>
          <t>9780471852551</t>
        </is>
      </c>
      <c r="BE1633" t="inlineStr">
        <is>
          <t>30001001750241</t>
        </is>
      </c>
      <c r="BF1633" t="inlineStr">
        <is>
          <t>893149077</t>
        </is>
      </c>
    </row>
    <row r="1634">
      <c r="A1634" t="inlineStr">
        <is>
          <t>No</t>
        </is>
      </c>
      <c r="B1634" t="inlineStr">
        <is>
          <t>CUHSL</t>
        </is>
      </c>
      <c r="C1634" t="inlineStr">
        <is>
          <t>SHELVES</t>
        </is>
      </c>
      <c r="D1634" t="inlineStr">
        <is>
          <t>WY 157.6 M929o 1991</t>
        </is>
      </c>
      <c r="E1634" t="inlineStr">
        <is>
          <t>0                      WY 0157600M  929o        1991</t>
        </is>
      </c>
      <c r="F1634" t="inlineStr">
        <is>
          <t>Orthopedic disorders / Leona A. Mourad.</t>
        </is>
      </c>
      <c r="H1634" t="inlineStr">
        <is>
          <t>No</t>
        </is>
      </c>
      <c r="I1634" t="inlineStr">
        <is>
          <t>1</t>
        </is>
      </c>
      <c r="J1634" t="inlineStr">
        <is>
          <t>No</t>
        </is>
      </c>
      <c r="K1634" t="inlineStr">
        <is>
          <t>No</t>
        </is>
      </c>
      <c r="L1634" t="inlineStr">
        <is>
          <t>0</t>
        </is>
      </c>
      <c r="M1634" t="inlineStr">
        <is>
          <t>Mourad, Leona A.</t>
        </is>
      </c>
      <c r="N1634" t="inlineStr">
        <is>
          <t>St. Louis : Mosby Year Book, c1991.</t>
        </is>
      </c>
      <c r="O1634" t="inlineStr">
        <is>
          <t>1991</t>
        </is>
      </c>
      <c r="Q1634" t="inlineStr">
        <is>
          <t>eng</t>
        </is>
      </c>
      <c r="R1634" t="inlineStr">
        <is>
          <t>mou</t>
        </is>
      </c>
      <c r="S1634" t="inlineStr">
        <is>
          <t>Mosby's clinical nursing series</t>
        </is>
      </c>
      <c r="T1634" t="inlineStr">
        <is>
          <t xml:space="preserve">WY </t>
        </is>
      </c>
      <c r="U1634" t="n">
        <v>11</v>
      </c>
      <c r="V1634" t="n">
        <v>11</v>
      </c>
      <c r="W1634" t="inlineStr">
        <is>
          <t>2000-09-07</t>
        </is>
      </c>
      <c r="X1634" t="inlineStr">
        <is>
          <t>2000-09-07</t>
        </is>
      </c>
      <c r="Y1634" t="inlineStr">
        <is>
          <t>1991-09-17</t>
        </is>
      </c>
      <c r="Z1634" t="inlineStr">
        <is>
          <t>1991-09-17</t>
        </is>
      </c>
      <c r="AA1634" t="n">
        <v>432</v>
      </c>
      <c r="AB1634" t="n">
        <v>347</v>
      </c>
      <c r="AC1634" t="n">
        <v>355</v>
      </c>
      <c r="AD1634" t="n">
        <v>2</v>
      </c>
      <c r="AE1634" t="n">
        <v>2</v>
      </c>
      <c r="AF1634" t="n">
        <v>10</v>
      </c>
      <c r="AG1634" t="n">
        <v>10</v>
      </c>
      <c r="AH1634" t="n">
        <v>3</v>
      </c>
      <c r="AI1634" t="n">
        <v>3</v>
      </c>
      <c r="AJ1634" t="n">
        <v>2</v>
      </c>
      <c r="AK1634" t="n">
        <v>2</v>
      </c>
      <c r="AL1634" t="n">
        <v>8</v>
      </c>
      <c r="AM1634" t="n">
        <v>8</v>
      </c>
      <c r="AN1634" t="n">
        <v>1</v>
      </c>
      <c r="AO1634" t="n">
        <v>1</v>
      </c>
      <c r="AP1634" t="n">
        <v>0</v>
      </c>
      <c r="AQ1634" t="n">
        <v>0</v>
      </c>
      <c r="AR1634" t="inlineStr">
        <is>
          <t>No</t>
        </is>
      </c>
      <c r="AS1634" t="inlineStr">
        <is>
          <t>Yes</t>
        </is>
      </c>
      <c r="AT1634">
        <f>HYPERLINK("http://catalog.hathitrust.org/Record/002474064","HathiTrust Record")</f>
        <v/>
      </c>
      <c r="AU1634">
        <f>HYPERLINK("https://creighton-primo.hosted.exlibrisgroup.com/primo-explore/search?tab=default_tab&amp;search_scope=EVERYTHING&amp;vid=01CRU&amp;lang=en_US&amp;offset=0&amp;query=any,contains,991001780269702656","Catalog Record")</f>
        <v/>
      </c>
      <c r="AV1634">
        <f>HYPERLINK("http://www.worldcat.org/oclc/23766882","WorldCat Record")</f>
        <v/>
      </c>
      <c r="AW1634" t="inlineStr">
        <is>
          <t>25047453:eng</t>
        </is>
      </c>
      <c r="AX1634" t="inlineStr">
        <is>
          <t>23766882</t>
        </is>
      </c>
      <c r="AY1634" t="inlineStr">
        <is>
          <t>991001780269702656</t>
        </is>
      </c>
      <c r="AZ1634" t="inlineStr">
        <is>
          <t>991001780269702656</t>
        </is>
      </c>
      <c r="BA1634" t="inlineStr">
        <is>
          <t>2269684490002656</t>
        </is>
      </c>
      <c r="BB1634" t="inlineStr">
        <is>
          <t>BOOK</t>
        </is>
      </c>
      <c r="BD1634" t="inlineStr">
        <is>
          <t>9780801634383</t>
        </is>
      </c>
      <c r="BE1634" t="inlineStr">
        <is>
          <t>30001002240671</t>
        </is>
      </c>
      <c r="BF1634" t="inlineStr">
        <is>
          <t>893652157</t>
        </is>
      </c>
    </row>
    <row r="1635">
      <c r="A1635" t="inlineStr">
        <is>
          <t>No</t>
        </is>
      </c>
      <c r="B1635" t="inlineStr">
        <is>
          <t>CUHSL</t>
        </is>
      </c>
      <c r="C1635" t="inlineStr">
        <is>
          <t>SHELVES</t>
        </is>
      </c>
      <c r="D1635" t="inlineStr">
        <is>
          <t>WY 157.6 O769 1998</t>
        </is>
      </c>
      <c r="E1635" t="inlineStr">
        <is>
          <t>0                      WY 0157600O  769         1998</t>
        </is>
      </c>
      <c r="F1635" t="inlineStr">
        <is>
          <t>Orthopaedic nursing / [edited by] Ann Butler Maher, Susan Warner Salmond, Teresa A. Pellino.</t>
        </is>
      </c>
      <c r="H1635" t="inlineStr">
        <is>
          <t>No</t>
        </is>
      </c>
      <c r="I1635" t="inlineStr">
        <is>
          <t>1</t>
        </is>
      </c>
      <c r="J1635" t="inlineStr">
        <is>
          <t>No</t>
        </is>
      </c>
      <c r="K1635" t="inlineStr">
        <is>
          <t>Yes</t>
        </is>
      </c>
      <c r="L1635" t="inlineStr">
        <is>
          <t>0</t>
        </is>
      </c>
      <c r="N1635" t="inlineStr">
        <is>
          <t>Philadelphia : Saunders, c1998.</t>
        </is>
      </c>
      <c r="O1635" t="inlineStr">
        <is>
          <t>1998</t>
        </is>
      </c>
      <c r="P1635" t="inlineStr">
        <is>
          <t>2nd ed.</t>
        </is>
      </c>
      <c r="Q1635" t="inlineStr">
        <is>
          <t>eng</t>
        </is>
      </c>
      <c r="R1635" t="inlineStr">
        <is>
          <t>pau</t>
        </is>
      </c>
      <c r="T1635" t="inlineStr">
        <is>
          <t xml:space="preserve">WY </t>
        </is>
      </c>
      <c r="U1635" t="n">
        <v>4</v>
      </c>
      <c r="V1635" t="n">
        <v>4</v>
      </c>
      <c r="W1635" t="inlineStr">
        <is>
          <t>2000-09-07</t>
        </is>
      </c>
      <c r="X1635" t="inlineStr">
        <is>
          <t>2000-09-07</t>
        </is>
      </c>
      <c r="Y1635" t="inlineStr">
        <is>
          <t>1998-03-24</t>
        </is>
      </c>
      <c r="Z1635" t="inlineStr">
        <is>
          <t>1998-03-24</t>
        </is>
      </c>
      <c r="AA1635" t="n">
        <v>335</v>
      </c>
      <c r="AB1635" t="n">
        <v>267</v>
      </c>
      <c r="AC1635" t="n">
        <v>661</v>
      </c>
      <c r="AD1635" t="n">
        <v>2</v>
      </c>
      <c r="AE1635" t="n">
        <v>2</v>
      </c>
      <c r="AF1635" t="n">
        <v>8</v>
      </c>
      <c r="AG1635" t="n">
        <v>22</v>
      </c>
      <c r="AH1635" t="n">
        <v>5</v>
      </c>
      <c r="AI1635" t="n">
        <v>9</v>
      </c>
      <c r="AJ1635" t="n">
        <v>1</v>
      </c>
      <c r="AK1635" t="n">
        <v>5</v>
      </c>
      <c r="AL1635" t="n">
        <v>3</v>
      </c>
      <c r="AM1635" t="n">
        <v>12</v>
      </c>
      <c r="AN1635" t="n">
        <v>0</v>
      </c>
      <c r="AO1635" t="n">
        <v>0</v>
      </c>
      <c r="AP1635" t="n">
        <v>0</v>
      </c>
      <c r="AQ1635" t="n">
        <v>0</v>
      </c>
      <c r="AR1635" t="inlineStr">
        <is>
          <t>No</t>
        </is>
      </c>
      <c r="AS1635" t="inlineStr">
        <is>
          <t>Yes</t>
        </is>
      </c>
      <c r="AT1635">
        <f>HYPERLINK("http://catalog.hathitrust.org/Record/003248877","HathiTrust Record")</f>
        <v/>
      </c>
      <c r="AU1635">
        <f>HYPERLINK("https://creighton-primo.hosted.exlibrisgroup.com/primo-explore/search?tab=default_tab&amp;search_scope=EVERYTHING&amp;vid=01CRU&amp;lang=en_US&amp;offset=0&amp;query=any,contains,991001427259702656","Catalog Record")</f>
        <v/>
      </c>
      <c r="AV1635">
        <f>HYPERLINK("http://www.worldcat.org/oclc/37553721","WorldCat Record")</f>
        <v/>
      </c>
      <c r="AW1635" t="inlineStr">
        <is>
          <t>364452952:eng</t>
        </is>
      </c>
      <c r="AX1635" t="inlineStr">
        <is>
          <t>37553721</t>
        </is>
      </c>
      <c r="AY1635" t="inlineStr">
        <is>
          <t>991001427259702656</t>
        </is>
      </c>
      <c r="AZ1635" t="inlineStr">
        <is>
          <t>991001427259702656</t>
        </is>
      </c>
      <c r="BA1635" t="inlineStr">
        <is>
          <t>2258824590002656</t>
        </is>
      </c>
      <c r="BB1635" t="inlineStr">
        <is>
          <t>BOOK</t>
        </is>
      </c>
      <c r="BD1635" t="inlineStr">
        <is>
          <t>9780721669526</t>
        </is>
      </c>
      <c r="BE1635" t="inlineStr">
        <is>
          <t>30001003860444</t>
        </is>
      </c>
      <c r="BF1635" t="inlineStr">
        <is>
          <t>893652018</t>
        </is>
      </c>
    </row>
    <row r="1636">
      <c r="A1636" t="inlineStr">
        <is>
          <t>No</t>
        </is>
      </c>
      <c r="B1636" t="inlineStr">
        <is>
          <t>CUHSL</t>
        </is>
      </c>
      <c r="C1636" t="inlineStr">
        <is>
          <t>SHELVES</t>
        </is>
      </c>
      <c r="D1636" t="inlineStr">
        <is>
          <t>WY 157.6 O769 2002</t>
        </is>
      </c>
      <c r="E1636" t="inlineStr">
        <is>
          <t>0                      WY 0157600O  769         2002</t>
        </is>
      </c>
      <c r="F1636" t="inlineStr">
        <is>
          <t>Orthopaedic nursing / [edited by] Ann Butler Maher, Susan Warner Salmond, Teresa A. Pellino.</t>
        </is>
      </c>
      <c r="H1636" t="inlineStr">
        <is>
          <t>No</t>
        </is>
      </c>
      <c r="I1636" t="inlineStr">
        <is>
          <t>1</t>
        </is>
      </c>
      <c r="J1636" t="inlineStr">
        <is>
          <t>No</t>
        </is>
      </c>
      <c r="K1636" t="inlineStr">
        <is>
          <t>Yes</t>
        </is>
      </c>
      <c r="L1636" t="inlineStr">
        <is>
          <t>0</t>
        </is>
      </c>
      <c r="N1636" t="inlineStr">
        <is>
          <t>Philadelphia : Saunders, c2002.</t>
        </is>
      </c>
      <c r="O1636" t="inlineStr">
        <is>
          <t>2002</t>
        </is>
      </c>
      <c r="P1636" t="inlineStr">
        <is>
          <t>3rd ed.</t>
        </is>
      </c>
      <c r="Q1636" t="inlineStr">
        <is>
          <t>eng</t>
        </is>
      </c>
      <c r="R1636" t="inlineStr">
        <is>
          <t>pau</t>
        </is>
      </c>
      <c r="T1636" t="inlineStr">
        <is>
          <t xml:space="preserve">WY </t>
        </is>
      </c>
      <c r="U1636" t="n">
        <v>1</v>
      </c>
      <c r="V1636" t="n">
        <v>1</v>
      </c>
      <c r="W1636" t="inlineStr">
        <is>
          <t>2006-04-21</t>
        </is>
      </c>
      <c r="X1636" t="inlineStr">
        <is>
          <t>2006-04-21</t>
        </is>
      </c>
      <c r="Y1636" t="inlineStr">
        <is>
          <t>2003-06-13</t>
        </is>
      </c>
      <c r="Z1636" t="inlineStr">
        <is>
          <t>2003-06-13</t>
        </is>
      </c>
      <c r="AA1636" t="n">
        <v>520</v>
      </c>
      <c r="AB1636" t="n">
        <v>391</v>
      </c>
      <c r="AC1636" t="n">
        <v>661</v>
      </c>
      <c r="AD1636" t="n">
        <v>0</v>
      </c>
      <c r="AE1636" t="n">
        <v>2</v>
      </c>
      <c r="AF1636" t="n">
        <v>18</v>
      </c>
      <c r="AG1636" t="n">
        <v>22</v>
      </c>
      <c r="AH1636" t="n">
        <v>7</v>
      </c>
      <c r="AI1636" t="n">
        <v>9</v>
      </c>
      <c r="AJ1636" t="n">
        <v>5</v>
      </c>
      <c r="AK1636" t="n">
        <v>5</v>
      </c>
      <c r="AL1636" t="n">
        <v>10</v>
      </c>
      <c r="AM1636" t="n">
        <v>12</v>
      </c>
      <c r="AN1636" t="n">
        <v>0</v>
      </c>
      <c r="AO1636" t="n">
        <v>0</v>
      </c>
      <c r="AP1636" t="n">
        <v>0</v>
      </c>
      <c r="AQ1636" t="n">
        <v>0</v>
      </c>
      <c r="AR1636" t="inlineStr">
        <is>
          <t>No</t>
        </is>
      </c>
      <c r="AS1636" t="inlineStr">
        <is>
          <t>Yes</t>
        </is>
      </c>
      <c r="AT1636">
        <f>HYPERLINK("http://catalog.hathitrust.org/Record/004229931","HathiTrust Record")</f>
        <v/>
      </c>
      <c r="AU1636">
        <f>HYPERLINK("https://creighton-primo.hosted.exlibrisgroup.com/primo-explore/search?tab=default_tab&amp;search_scope=EVERYTHING&amp;vid=01CRU&amp;lang=en_US&amp;offset=0&amp;query=any,contains,991001717499702656","Catalog Record")</f>
        <v/>
      </c>
      <c r="AV1636">
        <f>HYPERLINK("http://www.worldcat.org/oclc/47706110","WorldCat Record")</f>
        <v/>
      </c>
      <c r="AW1636" t="inlineStr">
        <is>
          <t>364452952:eng</t>
        </is>
      </c>
      <c r="AX1636" t="inlineStr">
        <is>
          <t>47706110</t>
        </is>
      </c>
      <c r="AY1636" t="inlineStr">
        <is>
          <t>991001717499702656</t>
        </is>
      </c>
      <c r="AZ1636" t="inlineStr">
        <is>
          <t>991001717499702656</t>
        </is>
      </c>
      <c r="BA1636" t="inlineStr">
        <is>
          <t>2270939000002656</t>
        </is>
      </c>
      <c r="BB1636" t="inlineStr">
        <is>
          <t>BOOK</t>
        </is>
      </c>
      <c r="BD1636" t="inlineStr">
        <is>
          <t>9780721693026</t>
        </is>
      </c>
      <c r="BE1636" t="inlineStr">
        <is>
          <t>30001004500056</t>
        </is>
      </c>
      <c r="BF1636" t="inlineStr">
        <is>
          <t>893274423</t>
        </is>
      </c>
    </row>
    <row r="1637">
      <c r="A1637" t="inlineStr">
        <is>
          <t>No</t>
        </is>
      </c>
      <c r="B1637" t="inlineStr">
        <is>
          <t>CUHSL</t>
        </is>
      </c>
      <c r="C1637" t="inlineStr">
        <is>
          <t>SHELVES</t>
        </is>
      </c>
      <c r="D1637" t="inlineStr">
        <is>
          <t>WY 157.6 R628t 1971</t>
        </is>
      </c>
      <c r="E1637" t="inlineStr">
        <is>
          <t>0                      WY 0157600R  628t        1971</t>
        </is>
      </c>
      <c r="F1637" t="inlineStr">
        <is>
          <t>Textbook of orthopaedic nursing / by Robert Roaf and Leonard J. Hodkinson.</t>
        </is>
      </c>
      <c r="H1637" t="inlineStr">
        <is>
          <t>No</t>
        </is>
      </c>
      <c r="I1637" t="inlineStr">
        <is>
          <t>1</t>
        </is>
      </c>
      <c r="J1637" t="inlineStr">
        <is>
          <t>No</t>
        </is>
      </c>
      <c r="K1637" t="inlineStr">
        <is>
          <t>No</t>
        </is>
      </c>
      <c r="L1637" t="inlineStr">
        <is>
          <t>0</t>
        </is>
      </c>
      <c r="M1637" t="inlineStr">
        <is>
          <t>Roaf, Robert.</t>
        </is>
      </c>
      <c r="N1637" t="inlineStr">
        <is>
          <t>Philadelphia : Davis, c1971.</t>
        </is>
      </c>
      <c r="O1637" t="inlineStr">
        <is>
          <t>1971</t>
        </is>
      </c>
      <c r="Q1637" t="inlineStr">
        <is>
          <t>eng</t>
        </is>
      </c>
      <c r="R1637" t="inlineStr">
        <is>
          <t xml:space="preserve">xx </t>
        </is>
      </c>
      <c r="T1637" t="inlineStr">
        <is>
          <t xml:space="preserve">WY </t>
        </is>
      </c>
      <c r="U1637" t="n">
        <v>2</v>
      </c>
      <c r="V1637" t="n">
        <v>2</v>
      </c>
      <c r="W1637" t="inlineStr">
        <is>
          <t>1990-01-04</t>
        </is>
      </c>
      <c r="X1637" t="inlineStr">
        <is>
          <t>1990-01-04</t>
        </is>
      </c>
      <c r="Y1637" t="inlineStr">
        <is>
          <t>1988-01-13</t>
        </is>
      </c>
      <c r="Z1637" t="inlineStr">
        <is>
          <t>1988-01-13</t>
        </is>
      </c>
      <c r="AA1637" t="n">
        <v>41</v>
      </c>
      <c r="AB1637" t="n">
        <v>38</v>
      </c>
      <c r="AC1637" t="n">
        <v>171</v>
      </c>
      <c r="AD1637" t="n">
        <v>1</v>
      </c>
      <c r="AE1637" t="n">
        <v>1</v>
      </c>
      <c r="AF1637" t="n">
        <v>1</v>
      </c>
      <c r="AG1637" t="n">
        <v>5</v>
      </c>
      <c r="AH1637" t="n">
        <v>0</v>
      </c>
      <c r="AI1637" t="n">
        <v>1</v>
      </c>
      <c r="AJ1637" t="n">
        <v>0</v>
      </c>
      <c r="AK1637" t="n">
        <v>0</v>
      </c>
      <c r="AL1637" t="n">
        <v>1</v>
      </c>
      <c r="AM1637" t="n">
        <v>4</v>
      </c>
      <c r="AN1637" t="n">
        <v>0</v>
      </c>
      <c r="AO1637" t="n">
        <v>0</v>
      </c>
      <c r="AP1637" t="n">
        <v>0</v>
      </c>
      <c r="AQ1637" t="n">
        <v>0</v>
      </c>
      <c r="AR1637" t="inlineStr">
        <is>
          <t>No</t>
        </is>
      </c>
      <c r="AS1637" t="inlineStr">
        <is>
          <t>Yes</t>
        </is>
      </c>
      <c r="AT1637">
        <f>HYPERLINK("http://catalog.hathitrust.org/Record/001568754","HathiTrust Record")</f>
        <v/>
      </c>
      <c r="AU1637">
        <f>HYPERLINK("https://creighton-primo.hosted.exlibrisgroup.com/primo-explore/search?tab=default_tab&amp;search_scope=EVERYTHING&amp;vid=01CRU&amp;lang=en_US&amp;offset=0&amp;query=any,contains,991001034509702656","Catalog Record")</f>
        <v/>
      </c>
      <c r="AV1637">
        <f>HYPERLINK("http://www.worldcat.org/oclc/136748","WorldCat Record")</f>
        <v/>
      </c>
      <c r="AW1637" t="inlineStr">
        <is>
          <t>1287703:eng</t>
        </is>
      </c>
      <c r="AX1637" t="inlineStr">
        <is>
          <t>136748</t>
        </is>
      </c>
      <c r="AY1637" t="inlineStr">
        <is>
          <t>991001034509702656</t>
        </is>
      </c>
      <c r="AZ1637" t="inlineStr">
        <is>
          <t>991001034509702656</t>
        </is>
      </c>
      <c r="BA1637" t="inlineStr">
        <is>
          <t>2261395840002656</t>
        </is>
      </c>
      <c r="BB1637" t="inlineStr">
        <is>
          <t>BOOK</t>
        </is>
      </c>
      <c r="BE1637" t="inlineStr">
        <is>
          <t>30001000240491</t>
        </is>
      </c>
      <c r="BF1637" t="inlineStr">
        <is>
          <t>893731617</t>
        </is>
      </c>
    </row>
    <row r="1638">
      <c r="A1638" t="inlineStr">
        <is>
          <t>No</t>
        </is>
      </c>
      <c r="B1638" t="inlineStr">
        <is>
          <t>CUHSL</t>
        </is>
      </c>
      <c r="C1638" t="inlineStr">
        <is>
          <t>SHELVES</t>
        </is>
      </c>
      <c r="D1638" t="inlineStr">
        <is>
          <t>WY 157.6 W926 1982</t>
        </is>
      </c>
      <c r="E1638" t="inlineStr">
        <is>
          <t>0                      WY 0157600W  926         1982</t>
        </is>
      </c>
      <c r="F1638" t="inlineStr">
        <is>
          <t>Working with orthopedic patients.</t>
        </is>
      </c>
      <c r="H1638" t="inlineStr">
        <is>
          <t>No</t>
        </is>
      </c>
      <c r="I1638" t="inlineStr">
        <is>
          <t>1</t>
        </is>
      </c>
      <c r="J1638" t="inlineStr">
        <is>
          <t>No</t>
        </is>
      </c>
      <c r="K1638" t="inlineStr">
        <is>
          <t>No</t>
        </is>
      </c>
      <c r="L1638" t="inlineStr">
        <is>
          <t>0</t>
        </is>
      </c>
      <c r="N1638" t="inlineStr">
        <is>
          <t>Springhouse, Pa. : Intermed Communications, c1982.</t>
        </is>
      </c>
      <c r="O1638" t="inlineStr">
        <is>
          <t>1982</t>
        </is>
      </c>
      <c r="Q1638" t="inlineStr">
        <is>
          <t>eng</t>
        </is>
      </c>
      <c r="R1638" t="inlineStr">
        <is>
          <t>xxu</t>
        </is>
      </c>
      <c r="S1638" t="inlineStr">
        <is>
          <t>Nursing photobook</t>
        </is>
      </c>
      <c r="T1638" t="inlineStr">
        <is>
          <t xml:space="preserve">WY </t>
        </is>
      </c>
      <c r="U1638" t="n">
        <v>5</v>
      </c>
      <c r="V1638" t="n">
        <v>5</v>
      </c>
      <c r="W1638" t="inlineStr">
        <is>
          <t>1995-02-27</t>
        </is>
      </c>
      <c r="X1638" t="inlineStr">
        <is>
          <t>1995-02-27</t>
        </is>
      </c>
      <c r="Y1638" t="inlineStr">
        <is>
          <t>1987-12-23</t>
        </is>
      </c>
      <c r="Z1638" t="inlineStr">
        <is>
          <t>1987-12-23</t>
        </is>
      </c>
      <c r="AA1638" t="n">
        <v>264</v>
      </c>
      <c r="AB1638" t="n">
        <v>233</v>
      </c>
      <c r="AC1638" t="n">
        <v>235</v>
      </c>
      <c r="AD1638" t="n">
        <v>2</v>
      </c>
      <c r="AE1638" t="n">
        <v>2</v>
      </c>
      <c r="AF1638" t="n">
        <v>5</v>
      </c>
      <c r="AG1638" t="n">
        <v>5</v>
      </c>
      <c r="AH1638" t="n">
        <v>2</v>
      </c>
      <c r="AI1638" t="n">
        <v>2</v>
      </c>
      <c r="AJ1638" t="n">
        <v>0</v>
      </c>
      <c r="AK1638" t="n">
        <v>0</v>
      </c>
      <c r="AL1638" t="n">
        <v>3</v>
      </c>
      <c r="AM1638" t="n">
        <v>3</v>
      </c>
      <c r="AN1638" t="n">
        <v>0</v>
      </c>
      <c r="AO1638" t="n">
        <v>0</v>
      </c>
      <c r="AP1638" t="n">
        <v>0</v>
      </c>
      <c r="AQ1638" t="n">
        <v>0</v>
      </c>
      <c r="AR1638" t="inlineStr">
        <is>
          <t>No</t>
        </is>
      </c>
      <c r="AS1638" t="inlineStr">
        <is>
          <t>Yes</t>
        </is>
      </c>
      <c r="AT1638">
        <f>HYPERLINK("http://catalog.hathitrust.org/Record/000190928","HathiTrust Record")</f>
        <v/>
      </c>
      <c r="AU1638">
        <f>HYPERLINK("https://creighton-primo.hosted.exlibrisgroup.com/primo-explore/search?tab=default_tab&amp;search_scope=EVERYTHING&amp;vid=01CRU&amp;lang=en_US&amp;offset=0&amp;query=any,contains,991000922069702656","Catalog Record")</f>
        <v/>
      </c>
      <c r="AV1638">
        <f>HYPERLINK("http://www.worldcat.org/oclc/8283386","WorldCat Record")</f>
        <v/>
      </c>
      <c r="AW1638" t="inlineStr">
        <is>
          <t>54492904:eng</t>
        </is>
      </c>
      <c r="AX1638" t="inlineStr">
        <is>
          <t>8283386</t>
        </is>
      </c>
      <c r="AY1638" t="inlineStr">
        <is>
          <t>991000922069702656</t>
        </is>
      </c>
      <c r="AZ1638" t="inlineStr">
        <is>
          <t>991000922069702656</t>
        </is>
      </c>
      <c r="BA1638" t="inlineStr">
        <is>
          <t>2268041480002656</t>
        </is>
      </c>
      <c r="BB1638" t="inlineStr">
        <is>
          <t>BOOK</t>
        </is>
      </c>
      <c r="BD1638" t="inlineStr">
        <is>
          <t>9780916730444</t>
        </is>
      </c>
      <c r="BE1638" t="inlineStr">
        <is>
          <t>30001000181711</t>
        </is>
      </c>
      <c r="BF1638" t="inlineStr">
        <is>
          <t>893740584</t>
        </is>
      </c>
    </row>
    <row r="1639">
      <c r="A1639" t="inlineStr">
        <is>
          <t>No</t>
        </is>
      </c>
      <c r="B1639" t="inlineStr">
        <is>
          <t>CUHSL</t>
        </is>
      </c>
      <c r="C1639" t="inlineStr">
        <is>
          <t>SHELVES</t>
        </is>
      </c>
      <c r="D1639" t="inlineStr">
        <is>
          <t>WY 158 A649c 1990</t>
        </is>
      </c>
      <c r="E1639" t="inlineStr">
        <is>
          <t>0                      WY 0158000A  649c        1990</t>
        </is>
      </c>
      <c r="F1639" t="inlineStr">
        <is>
          <t>Clinical optics / Budd Appleton.</t>
        </is>
      </c>
      <c r="H1639" t="inlineStr">
        <is>
          <t>No</t>
        </is>
      </c>
      <c r="I1639" t="inlineStr">
        <is>
          <t>1</t>
        </is>
      </c>
      <c r="J1639" t="inlineStr">
        <is>
          <t>No</t>
        </is>
      </c>
      <c r="K1639" t="inlineStr">
        <is>
          <t>No</t>
        </is>
      </c>
      <c r="L1639" t="inlineStr">
        <is>
          <t>0</t>
        </is>
      </c>
      <c r="M1639" t="inlineStr">
        <is>
          <t>Appleton, Budd.</t>
        </is>
      </c>
      <c r="N1639" t="inlineStr">
        <is>
          <t>Thorofare, NJ : Slack, Inc., c1990.</t>
        </is>
      </c>
      <c r="O1639" t="inlineStr">
        <is>
          <t>1990</t>
        </is>
      </c>
      <c r="Q1639" t="inlineStr">
        <is>
          <t>eng</t>
        </is>
      </c>
      <c r="R1639" t="inlineStr">
        <is>
          <t>nju</t>
        </is>
      </c>
      <c r="S1639" t="inlineStr">
        <is>
          <t>Ophthalmic technical skills series ; v. 2</t>
        </is>
      </c>
      <c r="T1639" t="inlineStr">
        <is>
          <t xml:space="preserve">WY </t>
        </is>
      </c>
      <c r="U1639" t="n">
        <v>5</v>
      </c>
      <c r="V1639" t="n">
        <v>5</v>
      </c>
      <c r="W1639" t="inlineStr">
        <is>
          <t>1997-06-23</t>
        </is>
      </c>
      <c r="X1639" t="inlineStr">
        <is>
          <t>1997-06-23</t>
        </is>
      </c>
      <c r="Y1639" t="inlineStr">
        <is>
          <t>1989-09-18</t>
        </is>
      </c>
      <c r="Z1639" t="inlineStr">
        <is>
          <t>1989-09-18</t>
        </is>
      </c>
      <c r="AA1639" t="n">
        <v>33</v>
      </c>
      <c r="AB1639" t="n">
        <v>31</v>
      </c>
      <c r="AC1639" t="n">
        <v>41</v>
      </c>
      <c r="AD1639" t="n">
        <v>2</v>
      </c>
      <c r="AE1639" t="n">
        <v>2</v>
      </c>
      <c r="AF1639" t="n">
        <v>1</v>
      </c>
      <c r="AG1639" t="n">
        <v>1</v>
      </c>
      <c r="AH1639" t="n">
        <v>0</v>
      </c>
      <c r="AI1639" t="n">
        <v>0</v>
      </c>
      <c r="AJ1639" t="n">
        <v>0</v>
      </c>
      <c r="AK1639" t="n">
        <v>0</v>
      </c>
      <c r="AL1639" t="n">
        <v>0</v>
      </c>
      <c r="AM1639" t="n">
        <v>0</v>
      </c>
      <c r="AN1639" t="n">
        <v>1</v>
      </c>
      <c r="AO1639" t="n">
        <v>1</v>
      </c>
      <c r="AP1639" t="n">
        <v>0</v>
      </c>
      <c r="AQ1639" t="n">
        <v>0</v>
      </c>
      <c r="AR1639" t="inlineStr">
        <is>
          <t>No</t>
        </is>
      </c>
      <c r="AS1639" t="inlineStr">
        <is>
          <t>Yes</t>
        </is>
      </c>
      <c r="AT1639">
        <f>HYPERLINK("http://catalog.hathitrust.org/Record/002476817","HathiTrust Record")</f>
        <v/>
      </c>
      <c r="AU1639">
        <f>HYPERLINK("https://creighton-primo.hosted.exlibrisgroup.com/primo-explore/search?tab=default_tab&amp;search_scope=EVERYTHING&amp;vid=01CRU&amp;lang=en_US&amp;offset=0&amp;query=any,contains,991001322029702656","Catalog Record")</f>
        <v/>
      </c>
      <c r="AV1639">
        <f>HYPERLINK("http://www.worldcat.org/oclc/20569805","WorldCat Record")</f>
        <v/>
      </c>
      <c r="AW1639" t="inlineStr">
        <is>
          <t>22306513:eng</t>
        </is>
      </c>
      <c r="AX1639" t="inlineStr">
        <is>
          <t>20569805</t>
        </is>
      </c>
      <c r="AY1639" t="inlineStr">
        <is>
          <t>991001322029702656</t>
        </is>
      </c>
      <c r="AZ1639" t="inlineStr">
        <is>
          <t>991001322029702656</t>
        </is>
      </c>
      <c r="BA1639" t="inlineStr">
        <is>
          <t>2263253410002656</t>
        </is>
      </c>
      <c r="BB1639" t="inlineStr">
        <is>
          <t>BOOK</t>
        </is>
      </c>
      <c r="BD1639" t="inlineStr">
        <is>
          <t>9780943432724</t>
        </is>
      </c>
      <c r="BE1639" t="inlineStr">
        <is>
          <t>30001001753856</t>
        </is>
      </c>
      <c r="BF1639" t="inlineStr">
        <is>
          <t>893363967</t>
        </is>
      </c>
    </row>
    <row r="1640">
      <c r="A1640" t="inlineStr">
        <is>
          <t>No</t>
        </is>
      </c>
      <c r="B1640" t="inlineStr">
        <is>
          <t>CUHSL</t>
        </is>
      </c>
      <c r="C1640" t="inlineStr">
        <is>
          <t>SHELVES</t>
        </is>
      </c>
      <c r="D1640" t="inlineStr">
        <is>
          <t>WY 158 B789n 1987</t>
        </is>
      </c>
      <c r="E1640" t="inlineStr">
        <is>
          <t>0                      WY 0158000B  789n        1987</t>
        </is>
      </c>
      <c r="F1640" t="inlineStr">
        <is>
          <t>Nursing care of the eye / Heather Boyd-Monk, Charles G. Steinmetz III.</t>
        </is>
      </c>
      <c r="H1640" t="inlineStr">
        <is>
          <t>No</t>
        </is>
      </c>
      <c r="I1640" t="inlineStr">
        <is>
          <t>1</t>
        </is>
      </c>
      <c r="J1640" t="inlineStr">
        <is>
          <t>No</t>
        </is>
      </c>
      <c r="K1640" t="inlineStr">
        <is>
          <t>No</t>
        </is>
      </c>
      <c r="L1640" t="inlineStr">
        <is>
          <t>0</t>
        </is>
      </c>
      <c r="M1640" t="inlineStr">
        <is>
          <t>Boyd-Monk, Heather.</t>
        </is>
      </c>
      <c r="N1640" t="inlineStr">
        <is>
          <t>East Norwalk, Conn. : Appleton &amp; Lange, c1987.</t>
        </is>
      </c>
      <c r="O1640" t="inlineStr">
        <is>
          <t>1987</t>
        </is>
      </c>
      <c r="Q1640" t="inlineStr">
        <is>
          <t>eng</t>
        </is>
      </c>
      <c r="R1640" t="inlineStr">
        <is>
          <t>xxu</t>
        </is>
      </c>
      <c r="T1640" t="inlineStr">
        <is>
          <t xml:space="preserve">WY </t>
        </is>
      </c>
      <c r="U1640" t="n">
        <v>1</v>
      </c>
      <c r="V1640" t="n">
        <v>1</v>
      </c>
      <c r="W1640" t="inlineStr">
        <is>
          <t>2001-01-24</t>
        </is>
      </c>
      <c r="X1640" t="inlineStr">
        <is>
          <t>2001-01-24</t>
        </is>
      </c>
      <c r="Y1640" t="inlineStr">
        <is>
          <t>1989-07-15</t>
        </is>
      </c>
      <c r="Z1640" t="inlineStr">
        <is>
          <t>1989-07-15</t>
        </is>
      </c>
      <c r="AA1640" t="n">
        <v>254</v>
      </c>
      <c r="AB1640" t="n">
        <v>217</v>
      </c>
      <c r="AC1640" t="n">
        <v>219</v>
      </c>
      <c r="AD1640" t="n">
        <v>2</v>
      </c>
      <c r="AE1640" t="n">
        <v>2</v>
      </c>
      <c r="AF1640" t="n">
        <v>6</v>
      </c>
      <c r="AG1640" t="n">
        <v>6</v>
      </c>
      <c r="AH1640" t="n">
        <v>2</v>
      </c>
      <c r="AI1640" t="n">
        <v>2</v>
      </c>
      <c r="AJ1640" t="n">
        <v>2</v>
      </c>
      <c r="AK1640" t="n">
        <v>2</v>
      </c>
      <c r="AL1640" t="n">
        <v>5</v>
      </c>
      <c r="AM1640" t="n">
        <v>5</v>
      </c>
      <c r="AN1640" t="n">
        <v>0</v>
      </c>
      <c r="AO1640" t="n">
        <v>0</v>
      </c>
      <c r="AP1640" t="n">
        <v>0</v>
      </c>
      <c r="AQ1640" t="n">
        <v>0</v>
      </c>
      <c r="AR1640" t="inlineStr">
        <is>
          <t>No</t>
        </is>
      </c>
      <c r="AS1640" t="inlineStr">
        <is>
          <t>Yes</t>
        </is>
      </c>
      <c r="AT1640">
        <f>HYPERLINK("http://catalog.hathitrust.org/Record/000911473","HathiTrust Record")</f>
        <v/>
      </c>
      <c r="AU1640">
        <f>HYPERLINK("https://creighton-primo.hosted.exlibrisgroup.com/primo-explore/search?tab=default_tab&amp;search_scope=EVERYTHING&amp;vid=01CRU&amp;lang=en_US&amp;offset=0&amp;query=any,contains,991001535159702656","Catalog Record")</f>
        <v/>
      </c>
      <c r="AV1640">
        <f>HYPERLINK("http://www.worldcat.org/oclc/15630901","WorldCat Record")</f>
        <v/>
      </c>
      <c r="AW1640" t="inlineStr">
        <is>
          <t>10422675:eng</t>
        </is>
      </c>
      <c r="AX1640" t="inlineStr">
        <is>
          <t>15630901</t>
        </is>
      </c>
      <c r="AY1640" t="inlineStr">
        <is>
          <t>991001535159702656</t>
        </is>
      </c>
      <c r="AZ1640" t="inlineStr">
        <is>
          <t>991001535159702656</t>
        </is>
      </c>
      <c r="BA1640" t="inlineStr">
        <is>
          <t>2256664340002656</t>
        </is>
      </c>
      <c r="BB1640" t="inlineStr">
        <is>
          <t>BOOK</t>
        </is>
      </c>
      <c r="BD1640" t="inlineStr">
        <is>
          <t>9780838570180</t>
        </is>
      </c>
      <c r="BE1640" t="inlineStr">
        <is>
          <t>30001000622615</t>
        </is>
      </c>
      <c r="BF1640" t="inlineStr">
        <is>
          <t>893732150</t>
        </is>
      </c>
    </row>
    <row r="1641">
      <c r="A1641" t="inlineStr">
        <is>
          <t>No</t>
        </is>
      </c>
      <c r="B1641" t="inlineStr">
        <is>
          <t>CUHSL</t>
        </is>
      </c>
      <c r="C1641" t="inlineStr">
        <is>
          <t>SHELVES</t>
        </is>
      </c>
      <c r="D1641" t="inlineStr">
        <is>
          <t>WY 158 G213v 1991</t>
        </is>
      </c>
      <c r="E1641" t="inlineStr">
        <is>
          <t>0                      WY 0158000G  213v        1991</t>
        </is>
      </c>
      <c r="F1641" t="inlineStr">
        <is>
          <t>Visual field examination / Norma Garber.</t>
        </is>
      </c>
      <c r="H1641" t="inlineStr">
        <is>
          <t>No</t>
        </is>
      </c>
      <c r="I1641" t="inlineStr">
        <is>
          <t>1</t>
        </is>
      </c>
      <c r="J1641" t="inlineStr">
        <is>
          <t>No</t>
        </is>
      </c>
      <c r="K1641" t="inlineStr">
        <is>
          <t>No</t>
        </is>
      </c>
      <c r="L1641" t="inlineStr">
        <is>
          <t>0</t>
        </is>
      </c>
      <c r="M1641" t="inlineStr">
        <is>
          <t>Garber, Norma.</t>
        </is>
      </c>
      <c r="N1641" t="inlineStr">
        <is>
          <t>Thorofare, N.J. : Slack, c1991.</t>
        </is>
      </c>
      <c r="O1641" t="inlineStr">
        <is>
          <t>1991</t>
        </is>
      </c>
      <c r="P1641" t="inlineStr">
        <is>
          <t>Rev. ed.</t>
        </is>
      </c>
      <c r="Q1641" t="inlineStr">
        <is>
          <t>eng</t>
        </is>
      </c>
      <c r="R1641" t="inlineStr">
        <is>
          <t>nju</t>
        </is>
      </c>
      <c r="S1641" t="inlineStr">
        <is>
          <t>Ophthalmic technical skills series ; v. 1</t>
        </is>
      </c>
      <c r="T1641" t="inlineStr">
        <is>
          <t xml:space="preserve">WY </t>
        </is>
      </c>
      <c r="U1641" t="n">
        <v>5</v>
      </c>
      <c r="V1641" t="n">
        <v>5</v>
      </c>
      <c r="W1641" t="inlineStr">
        <is>
          <t>1997-01-28</t>
        </is>
      </c>
      <c r="X1641" t="inlineStr">
        <is>
          <t>1997-01-28</t>
        </is>
      </c>
      <c r="Y1641" t="inlineStr">
        <is>
          <t>1992-01-24</t>
        </is>
      </c>
      <c r="Z1641" t="inlineStr">
        <is>
          <t>1992-01-24</t>
        </is>
      </c>
      <c r="AA1641" t="n">
        <v>23</v>
      </c>
      <c r="AB1641" t="n">
        <v>21</v>
      </c>
      <c r="AC1641" t="n">
        <v>40</v>
      </c>
      <c r="AD1641" t="n">
        <v>1</v>
      </c>
      <c r="AE1641" t="n">
        <v>1</v>
      </c>
      <c r="AF1641" t="n">
        <v>0</v>
      </c>
      <c r="AG1641" t="n">
        <v>0</v>
      </c>
      <c r="AH1641" t="n">
        <v>0</v>
      </c>
      <c r="AI1641" t="n">
        <v>0</v>
      </c>
      <c r="AJ1641" t="n">
        <v>0</v>
      </c>
      <c r="AK1641" t="n">
        <v>0</v>
      </c>
      <c r="AL1641" t="n">
        <v>0</v>
      </c>
      <c r="AM1641" t="n">
        <v>0</v>
      </c>
      <c r="AN1641" t="n">
        <v>0</v>
      </c>
      <c r="AO1641" t="n">
        <v>0</v>
      </c>
      <c r="AP1641" t="n">
        <v>0</v>
      </c>
      <c r="AQ1641" t="n">
        <v>0</v>
      </c>
      <c r="AR1641" t="inlineStr">
        <is>
          <t>No</t>
        </is>
      </c>
      <c r="AS1641" t="inlineStr">
        <is>
          <t>No</t>
        </is>
      </c>
      <c r="AU1641">
        <f>HYPERLINK("https://creighton-primo.hosted.exlibrisgroup.com/primo-explore/search?tab=default_tab&amp;search_scope=EVERYTHING&amp;vid=01CRU&amp;lang=en_US&amp;offset=0&amp;query=any,contains,991001030879702656","Catalog Record")</f>
        <v/>
      </c>
      <c r="AV1641">
        <f>HYPERLINK("http://www.worldcat.org/oclc/23210460","WorldCat Record")</f>
        <v/>
      </c>
      <c r="AW1641" t="inlineStr">
        <is>
          <t>21218961:eng</t>
        </is>
      </c>
      <c r="AX1641" t="inlineStr">
        <is>
          <t>23210460</t>
        </is>
      </c>
      <c r="AY1641" t="inlineStr">
        <is>
          <t>991001030879702656</t>
        </is>
      </c>
      <c r="AZ1641" t="inlineStr">
        <is>
          <t>991001030879702656</t>
        </is>
      </c>
      <c r="BA1641" t="inlineStr">
        <is>
          <t>2263390860002656</t>
        </is>
      </c>
      <c r="BB1641" t="inlineStr">
        <is>
          <t>BOOK</t>
        </is>
      </c>
      <c r="BD1641" t="inlineStr">
        <is>
          <t>9781556421723</t>
        </is>
      </c>
      <c r="BE1641" t="inlineStr">
        <is>
          <t>30001002243733</t>
        </is>
      </c>
      <c r="BF1641" t="inlineStr">
        <is>
          <t>893369041</t>
        </is>
      </c>
    </row>
    <row r="1642">
      <c r="A1642" t="inlineStr">
        <is>
          <t>No</t>
        </is>
      </c>
      <c r="B1642" t="inlineStr">
        <is>
          <t>CUHSL</t>
        </is>
      </c>
      <c r="C1642" t="inlineStr">
        <is>
          <t>SHELVES</t>
        </is>
      </c>
      <c r="D1642" t="inlineStr">
        <is>
          <t>WY 158 K33o 1990</t>
        </is>
      </c>
      <c r="E1642" t="inlineStr">
        <is>
          <t>0                      WY 0158000K  33o         1990</t>
        </is>
      </c>
      <c r="F1642" t="inlineStr">
        <is>
          <t>Ophthalmic echography / Cynthia J. Kendall.</t>
        </is>
      </c>
      <c r="H1642" t="inlineStr">
        <is>
          <t>No</t>
        </is>
      </c>
      <c r="I1642" t="inlineStr">
        <is>
          <t>1</t>
        </is>
      </c>
      <c r="J1642" t="inlineStr">
        <is>
          <t>No</t>
        </is>
      </c>
      <c r="K1642" t="inlineStr">
        <is>
          <t>No</t>
        </is>
      </c>
      <c r="L1642" t="inlineStr">
        <is>
          <t>0</t>
        </is>
      </c>
      <c r="M1642" t="inlineStr">
        <is>
          <t>Kendall, Cynthia J.</t>
        </is>
      </c>
      <c r="N1642" t="inlineStr">
        <is>
          <t>Thorofare, N.J. : SLACK, c1990.</t>
        </is>
      </c>
      <c r="O1642" t="inlineStr">
        <is>
          <t>1990</t>
        </is>
      </c>
      <c r="Q1642" t="inlineStr">
        <is>
          <t>eng</t>
        </is>
      </c>
      <c r="R1642" t="inlineStr">
        <is>
          <t>nju</t>
        </is>
      </c>
      <c r="S1642" t="inlineStr">
        <is>
          <t>Ophthalmic technical skills series ; v. 2</t>
        </is>
      </c>
      <c r="T1642" t="inlineStr">
        <is>
          <t xml:space="preserve">WY </t>
        </is>
      </c>
      <c r="U1642" t="n">
        <v>6</v>
      </c>
      <c r="V1642" t="n">
        <v>6</v>
      </c>
      <c r="W1642" t="inlineStr">
        <is>
          <t>1992-03-12</t>
        </is>
      </c>
      <c r="X1642" t="inlineStr">
        <is>
          <t>1992-03-12</t>
        </is>
      </c>
      <c r="Y1642" t="inlineStr">
        <is>
          <t>1992-01-24</t>
        </is>
      </c>
      <c r="Z1642" t="inlineStr">
        <is>
          <t>1992-01-24</t>
        </is>
      </c>
      <c r="AA1642" t="n">
        <v>44</v>
      </c>
      <c r="AB1642" t="n">
        <v>31</v>
      </c>
      <c r="AC1642" t="n">
        <v>31</v>
      </c>
      <c r="AD1642" t="n">
        <v>1</v>
      </c>
      <c r="AE1642" t="n">
        <v>1</v>
      </c>
      <c r="AF1642" t="n">
        <v>0</v>
      </c>
      <c r="AG1642" t="n">
        <v>0</v>
      </c>
      <c r="AH1642" t="n">
        <v>0</v>
      </c>
      <c r="AI1642" t="n">
        <v>0</v>
      </c>
      <c r="AJ1642" t="n">
        <v>0</v>
      </c>
      <c r="AK1642" t="n">
        <v>0</v>
      </c>
      <c r="AL1642" t="n">
        <v>0</v>
      </c>
      <c r="AM1642" t="n">
        <v>0</v>
      </c>
      <c r="AN1642" t="n">
        <v>0</v>
      </c>
      <c r="AO1642" t="n">
        <v>0</v>
      </c>
      <c r="AP1642" t="n">
        <v>0</v>
      </c>
      <c r="AQ1642" t="n">
        <v>0</v>
      </c>
      <c r="AR1642" t="inlineStr">
        <is>
          <t>No</t>
        </is>
      </c>
      <c r="AS1642" t="inlineStr">
        <is>
          <t>No</t>
        </is>
      </c>
      <c r="AU1642">
        <f>HYPERLINK("https://creighton-primo.hosted.exlibrisgroup.com/primo-explore/search?tab=default_tab&amp;search_scope=EVERYTHING&amp;vid=01CRU&amp;lang=en_US&amp;offset=0&amp;query=any,contains,991001030559702656","Catalog Record")</f>
        <v/>
      </c>
      <c r="AV1642">
        <f>HYPERLINK("http://www.worldcat.org/oclc/23096366","WorldCat Record")</f>
        <v/>
      </c>
      <c r="AW1642" t="inlineStr">
        <is>
          <t>1781376786:eng</t>
        </is>
      </c>
      <c r="AX1642" t="inlineStr">
        <is>
          <t>23096366</t>
        </is>
      </c>
      <c r="AY1642" t="inlineStr">
        <is>
          <t>991001030559702656</t>
        </is>
      </c>
      <c r="AZ1642" t="inlineStr">
        <is>
          <t>991001030559702656</t>
        </is>
      </c>
      <c r="BA1642" t="inlineStr">
        <is>
          <t>2257044120002656</t>
        </is>
      </c>
      <c r="BB1642" t="inlineStr">
        <is>
          <t>BOOK</t>
        </is>
      </c>
      <c r="BD1642" t="inlineStr">
        <is>
          <t>9781556420276</t>
        </is>
      </c>
      <c r="BE1642" t="inlineStr">
        <is>
          <t>30001002243634</t>
        </is>
      </c>
      <c r="BF1642" t="inlineStr">
        <is>
          <t>893134199</t>
        </is>
      </c>
    </row>
    <row r="1643">
      <c r="A1643" t="inlineStr">
        <is>
          <t>No</t>
        </is>
      </c>
      <c r="B1643" t="inlineStr">
        <is>
          <t>CUHSL</t>
        </is>
      </c>
      <c r="C1643" t="inlineStr">
        <is>
          <t>SHELVES</t>
        </is>
      </c>
      <c r="D1643" t="inlineStr">
        <is>
          <t>WY 158 L473i 1992</t>
        </is>
      </c>
      <c r="E1643" t="inlineStr">
        <is>
          <t>0                      WY 0158000L  473i        1992</t>
        </is>
      </c>
      <c r="F1643" t="inlineStr">
        <is>
          <t>In-office training manual and series review.</t>
        </is>
      </c>
      <c r="H1643" t="inlineStr">
        <is>
          <t>No</t>
        </is>
      </c>
      <c r="I1643" t="inlineStr">
        <is>
          <t>1</t>
        </is>
      </c>
      <c r="J1643" t="inlineStr">
        <is>
          <t>No</t>
        </is>
      </c>
      <c r="K1643" t="inlineStr">
        <is>
          <t>No</t>
        </is>
      </c>
      <c r="L1643" t="inlineStr">
        <is>
          <t>0</t>
        </is>
      </c>
      <c r="M1643" t="inlineStr">
        <is>
          <t>Ledford, Janice K.</t>
        </is>
      </c>
      <c r="N1643" t="inlineStr">
        <is>
          <t>Thorofare, NJ : Slack, c1992.</t>
        </is>
      </c>
      <c r="O1643" t="inlineStr">
        <is>
          <t>1992</t>
        </is>
      </c>
      <c r="Q1643" t="inlineStr">
        <is>
          <t>eng</t>
        </is>
      </c>
      <c r="R1643" t="inlineStr">
        <is>
          <t>nju</t>
        </is>
      </c>
      <c r="S1643" t="inlineStr">
        <is>
          <t>Ophthalmic technical skills series ; v. 2</t>
        </is>
      </c>
      <c r="T1643" t="inlineStr">
        <is>
          <t xml:space="preserve">WY </t>
        </is>
      </c>
      <c r="U1643" t="n">
        <v>8</v>
      </c>
      <c r="V1643" t="n">
        <v>8</v>
      </c>
      <c r="W1643" t="inlineStr">
        <is>
          <t>1992-03-12</t>
        </is>
      </c>
      <c r="X1643" t="inlineStr">
        <is>
          <t>1992-03-12</t>
        </is>
      </c>
      <c r="Y1643" t="inlineStr">
        <is>
          <t>1992-01-24</t>
        </is>
      </c>
      <c r="Z1643" t="inlineStr">
        <is>
          <t>1992-01-24</t>
        </is>
      </c>
      <c r="AA1643" t="n">
        <v>19</v>
      </c>
      <c r="AB1643" t="n">
        <v>16</v>
      </c>
      <c r="AC1643" t="n">
        <v>16</v>
      </c>
      <c r="AD1643" t="n">
        <v>1</v>
      </c>
      <c r="AE1643" t="n">
        <v>1</v>
      </c>
      <c r="AF1643" t="n">
        <v>0</v>
      </c>
      <c r="AG1643" t="n">
        <v>0</v>
      </c>
      <c r="AH1643" t="n">
        <v>0</v>
      </c>
      <c r="AI1643" t="n">
        <v>0</v>
      </c>
      <c r="AJ1643" t="n">
        <v>0</v>
      </c>
      <c r="AK1643" t="n">
        <v>0</v>
      </c>
      <c r="AL1643" t="n">
        <v>0</v>
      </c>
      <c r="AM1643" t="n">
        <v>0</v>
      </c>
      <c r="AN1643" t="n">
        <v>0</v>
      </c>
      <c r="AO1643" t="n">
        <v>0</v>
      </c>
      <c r="AP1643" t="n">
        <v>0</v>
      </c>
      <c r="AQ1643" t="n">
        <v>0</v>
      </c>
      <c r="AR1643" t="inlineStr">
        <is>
          <t>No</t>
        </is>
      </c>
      <c r="AS1643" t="inlineStr">
        <is>
          <t>No</t>
        </is>
      </c>
      <c r="AU1643">
        <f>HYPERLINK("https://creighton-primo.hosted.exlibrisgroup.com/primo-explore/search?tab=default_tab&amp;search_scope=EVERYTHING&amp;vid=01CRU&amp;lang=en_US&amp;offset=0&amp;query=any,contains,991001030599702656","Catalog Record")</f>
        <v/>
      </c>
      <c r="AV1643">
        <f>HYPERLINK("http://www.worldcat.org/oclc/24515121","WorldCat Record")</f>
        <v/>
      </c>
      <c r="AW1643" t="inlineStr">
        <is>
          <t>26464097:eng</t>
        </is>
      </c>
      <c r="AX1643" t="inlineStr">
        <is>
          <t>24515121</t>
        </is>
      </c>
      <c r="AY1643" t="inlineStr">
        <is>
          <t>991001030599702656</t>
        </is>
      </c>
      <c r="AZ1643" t="inlineStr">
        <is>
          <t>991001030599702656</t>
        </is>
      </c>
      <c r="BA1643" t="inlineStr">
        <is>
          <t>2263010950002656</t>
        </is>
      </c>
      <c r="BB1643" t="inlineStr">
        <is>
          <t>BOOK</t>
        </is>
      </c>
      <c r="BD1643" t="inlineStr">
        <is>
          <t>9781556421754</t>
        </is>
      </c>
      <c r="BE1643" t="inlineStr">
        <is>
          <t>30001002243659</t>
        </is>
      </c>
      <c r="BF1643" t="inlineStr">
        <is>
          <t>893557523</t>
        </is>
      </c>
    </row>
    <row r="1644">
      <c r="A1644" t="inlineStr">
        <is>
          <t>No</t>
        </is>
      </c>
      <c r="B1644" t="inlineStr">
        <is>
          <t>CUHSL</t>
        </is>
      </c>
      <c r="C1644" t="inlineStr">
        <is>
          <t>SHELVES</t>
        </is>
      </c>
      <c r="D1644" t="inlineStr">
        <is>
          <t>WY 158 N9739 1983</t>
        </is>
      </c>
      <c r="E1644" t="inlineStr">
        <is>
          <t>0                      WY 0158000N  9739        1983</t>
        </is>
      </c>
      <c r="F1644" t="inlineStr">
        <is>
          <t>Nursing and the management of adult communication disorders / edited by Susan J. Shanks.</t>
        </is>
      </c>
      <c r="H1644" t="inlineStr">
        <is>
          <t>No</t>
        </is>
      </c>
      <c r="I1644" t="inlineStr">
        <is>
          <t>1</t>
        </is>
      </c>
      <c r="J1644" t="inlineStr">
        <is>
          <t>No</t>
        </is>
      </c>
      <c r="K1644" t="inlineStr">
        <is>
          <t>No</t>
        </is>
      </c>
      <c r="L1644" t="inlineStr">
        <is>
          <t>0</t>
        </is>
      </c>
      <c r="N1644" t="inlineStr">
        <is>
          <t>San Diego, Calif. : College-Hill Press, c1983.</t>
        </is>
      </c>
      <c r="O1644" t="inlineStr">
        <is>
          <t>1983</t>
        </is>
      </c>
      <c r="Q1644" t="inlineStr">
        <is>
          <t>eng</t>
        </is>
      </c>
      <c r="R1644" t="inlineStr">
        <is>
          <t>xxu</t>
        </is>
      </c>
      <c r="T1644" t="inlineStr">
        <is>
          <t xml:space="preserve">WY </t>
        </is>
      </c>
      <c r="U1644" t="n">
        <v>1</v>
      </c>
      <c r="V1644" t="n">
        <v>1</v>
      </c>
      <c r="W1644" t="inlineStr">
        <is>
          <t>1991-02-05</t>
        </is>
      </c>
      <c r="X1644" t="inlineStr">
        <is>
          <t>1991-02-05</t>
        </is>
      </c>
      <c r="Y1644" t="inlineStr">
        <is>
          <t>1987-12-23</t>
        </is>
      </c>
      <c r="Z1644" t="inlineStr">
        <is>
          <t>1987-12-23</t>
        </is>
      </c>
      <c r="AA1644" t="n">
        <v>299</v>
      </c>
      <c r="AB1644" t="n">
        <v>254</v>
      </c>
      <c r="AC1644" t="n">
        <v>256</v>
      </c>
      <c r="AD1644" t="n">
        <v>2</v>
      </c>
      <c r="AE1644" t="n">
        <v>2</v>
      </c>
      <c r="AF1644" t="n">
        <v>12</v>
      </c>
      <c r="AG1644" t="n">
        <v>12</v>
      </c>
      <c r="AH1644" t="n">
        <v>6</v>
      </c>
      <c r="AI1644" t="n">
        <v>6</v>
      </c>
      <c r="AJ1644" t="n">
        <v>2</v>
      </c>
      <c r="AK1644" t="n">
        <v>2</v>
      </c>
      <c r="AL1644" t="n">
        <v>7</v>
      </c>
      <c r="AM1644" t="n">
        <v>7</v>
      </c>
      <c r="AN1644" t="n">
        <v>1</v>
      </c>
      <c r="AO1644" t="n">
        <v>1</v>
      </c>
      <c r="AP1644" t="n">
        <v>0</v>
      </c>
      <c r="AQ1644" t="n">
        <v>0</v>
      </c>
      <c r="AR1644" t="inlineStr">
        <is>
          <t>No</t>
        </is>
      </c>
      <c r="AS1644" t="inlineStr">
        <is>
          <t>Yes</t>
        </is>
      </c>
      <c r="AT1644">
        <f>HYPERLINK("http://catalog.hathitrust.org/Record/000321920","HathiTrust Record")</f>
        <v/>
      </c>
      <c r="AU1644">
        <f>HYPERLINK("https://creighton-primo.hosted.exlibrisgroup.com/primo-explore/search?tab=default_tab&amp;search_scope=EVERYTHING&amp;vid=01CRU&amp;lang=en_US&amp;offset=0&amp;query=any,contains,991000922199702656","Catalog Record")</f>
        <v/>
      </c>
      <c r="AV1644">
        <f>HYPERLINK("http://www.worldcat.org/oclc/9197139","WorldCat Record")</f>
        <v/>
      </c>
      <c r="AW1644" t="inlineStr">
        <is>
          <t>43713908:eng</t>
        </is>
      </c>
      <c r="AX1644" t="inlineStr">
        <is>
          <t>9197139</t>
        </is>
      </c>
      <c r="AY1644" t="inlineStr">
        <is>
          <t>991000922199702656</t>
        </is>
      </c>
      <c r="AZ1644" t="inlineStr">
        <is>
          <t>991000922199702656</t>
        </is>
      </c>
      <c r="BA1644" t="inlineStr">
        <is>
          <t>2266628260002656</t>
        </is>
      </c>
      <c r="BB1644" t="inlineStr">
        <is>
          <t>BOOK</t>
        </is>
      </c>
      <c r="BD1644" t="inlineStr">
        <is>
          <t>9780933014862</t>
        </is>
      </c>
      <c r="BE1644" t="inlineStr">
        <is>
          <t>30001000181760</t>
        </is>
      </c>
      <c r="BF1644" t="inlineStr">
        <is>
          <t>893727093</t>
        </is>
      </c>
    </row>
    <row r="1645">
      <c r="A1645" t="inlineStr">
        <is>
          <t>No</t>
        </is>
      </c>
      <c r="B1645" t="inlineStr">
        <is>
          <t>CUHSL</t>
        </is>
      </c>
      <c r="C1645" t="inlineStr">
        <is>
          <t>SHELVES</t>
        </is>
      </c>
      <c r="D1645" t="inlineStr">
        <is>
          <t>WY 158 S819o 1983</t>
        </is>
      </c>
      <c r="E1645" t="inlineStr">
        <is>
          <t>0                      WY 0158000S  819o        1983</t>
        </is>
      </c>
      <c r="F1645" t="inlineStr">
        <is>
          <t>The ophthalmic assistant : fundamentals and clinical practice / Harold A. Stein, Bernard J. Slatt.</t>
        </is>
      </c>
      <c r="H1645" t="inlineStr">
        <is>
          <t>No</t>
        </is>
      </c>
      <c r="I1645" t="inlineStr">
        <is>
          <t>1</t>
        </is>
      </c>
      <c r="J1645" t="inlineStr">
        <is>
          <t>No</t>
        </is>
      </c>
      <c r="K1645" t="inlineStr">
        <is>
          <t>No</t>
        </is>
      </c>
      <c r="L1645" t="inlineStr">
        <is>
          <t>0</t>
        </is>
      </c>
      <c r="M1645" t="inlineStr">
        <is>
          <t>Stein, Harold A. (Harold Aaron), 1929-</t>
        </is>
      </c>
      <c r="N1645" t="inlineStr">
        <is>
          <t>St. Louis : Mosby, c1983 [1982 printing]</t>
        </is>
      </c>
      <c r="O1645" t="inlineStr">
        <is>
          <t>1983</t>
        </is>
      </c>
      <c r="P1645" t="inlineStr">
        <is>
          <t>4th ed.</t>
        </is>
      </c>
      <c r="Q1645" t="inlineStr">
        <is>
          <t>eng</t>
        </is>
      </c>
      <c r="R1645" t="inlineStr">
        <is>
          <t>xxu</t>
        </is>
      </c>
      <c r="T1645" t="inlineStr">
        <is>
          <t xml:space="preserve">WY </t>
        </is>
      </c>
      <c r="U1645" t="n">
        <v>1</v>
      </c>
      <c r="V1645" t="n">
        <v>1</v>
      </c>
      <c r="W1645" t="inlineStr">
        <is>
          <t>1989-10-30</t>
        </is>
      </c>
      <c r="X1645" t="inlineStr">
        <is>
          <t>1989-10-30</t>
        </is>
      </c>
      <c r="Y1645" t="inlineStr">
        <is>
          <t>1989-07-13</t>
        </is>
      </c>
      <c r="Z1645" t="inlineStr">
        <is>
          <t>1989-07-13</t>
        </is>
      </c>
      <c r="AA1645" t="n">
        <v>97</v>
      </c>
      <c r="AB1645" t="n">
        <v>70</v>
      </c>
      <c r="AC1645" t="n">
        <v>173</v>
      </c>
      <c r="AD1645" t="n">
        <v>1</v>
      </c>
      <c r="AE1645" t="n">
        <v>2</v>
      </c>
      <c r="AF1645" t="n">
        <v>1</v>
      </c>
      <c r="AG1645" t="n">
        <v>2</v>
      </c>
      <c r="AH1645" t="n">
        <v>0</v>
      </c>
      <c r="AI1645" t="n">
        <v>0</v>
      </c>
      <c r="AJ1645" t="n">
        <v>0</v>
      </c>
      <c r="AK1645" t="n">
        <v>0</v>
      </c>
      <c r="AL1645" t="n">
        <v>1</v>
      </c>
      <c r="AM1645" t="n">
        <v>1</v>
      </c>
      <c r="AN1645" t="n">
        <v>0</v>
      </c>
      <c r="AO1645" t="n">
        <v>1</v>
      </c>
      <c r="AP1645" t="n">
        <v>0</v>
      </c>
      <c r="AQ1645" t="n">
        <v>0</v>
      </c>
      <c r="AR1645" t="inlineStr">
        <is>
          <t>No</t>
        </is>
      </c>
      <c r="AS1645" t="inlineStr">
        <is>
          <t>Yes</t>
        </is>
      </c>
      <c r="AT1645">
        <f>HYPERLINK("http://catalog.hathitrust.org/Record/000318934","HathiTrust Record")</f>
        <v/>
      </c>
      <c r="AU1645">
        <f>HYPERLINK("https://creighton-primo.hosted.exlibrisgroup.com/primo-explore/search?tab=default_tab&amp;search_scope=EVERYTHING&amp;vid=01CRU&amp;lang=en_US&amp;offset=0&amp;query=any,contains,991000922269702656","Catalog Record")</f>
        <v/>
      </c>
      <c r="AV1645">
        <f>HYPERLINK("http://www.worldcat.org/oclc/8221732","WorldCat Record")</f>
        <v/>
      </c>
      <c r="AW1645" t="inlineStr">
        <is>
          <t>1266292:eng</t>
        </is>
      </c>
      <c r="AX1645" t="inlineStr">
        <is>
          <t>8221732</t>
        </is>
      </c>
      <c r="AY1645" t="inlineStr">
        <is>
          <t>991000922269702656</t>
        </is>
      </c>
      <c r="AZ1645" t="inlineStr">
        <is>
          <t>991000922269702656</t>
        </is>
      </c>
      <c r="BA1645" t="inlineStr">
        <is>
          <t>2266793680002656</t>
        </is>
      </c>
      <c r="BB1645" t="inlineStr">
        <is>
          <t>BOOK</t>
        </is>
      </c>
      <c r="BD1645" t="inlineStr">
        <is>
          <t>9780801647765</t>
        </is>
      </c>
      <c r="BE1645" t="inlineStr">
        <is>
          <t>30001000181794</t>
        </is>
      </c>
      <c r="BF1645" t="inlineStr">
        <is>
          <t>893368898</t>
        </is>
      </c>
    </row>
    <row r="1646">
      <c r="A1646" t="inlineStr">
        <is>
          <t>No</t>
        </is>
      </c>
      <c r="B1646" t="inlineStr">
        <is>
          <t>CUHSL</t>
        </is>
      </c>
      <c r="C1646" t="inlineStr">
        <is>
          <t>SHELVES</t>
        </is>
      </c>
      <c r="D1646" t="inlineStr">
        <is>
          <t>WY 159 A377p 1979</t>
        </is>
      </c>
      <c r="E1646" t="inlineStr">
        <is>
          <t>0                      WY 0159000A  377p        1979</t>
        </is>
      </c>
      <c r="F1646" t="inlineStr">
        <is>
          <t>Pediatric history taking and physical diagnosis for nurses / Mary M. Alexander, Marie Scott Brown.</t>
        </is>
      </c>
      <c r="H1646" t="inlineStr">
        <is>
          <t>No</t>
        </is>
      </c>
      <c r="I1646" t="inlineStr">
        <is>
          <t>1</t>
        </is>
      </c>
      <c r="J1646" t="inlineStr">
        <is>
          <t>No</t>
        </is>
      </c>
      <c r="K1646" t="inlineStr">
        <is>
          <t>No</t>
        </is>
      </c>
      <c r="L1646" t="inlineStr">
        <is>
          <t>0</t>
        </is>
      </c>
      <c r="M1646" t="inlineStr">
        <is>
          <t>Alexander, Mary M. (Mary Merkel)</t>
        </is>
      </c>
      <c r="N1646" t="inlineStr">
        <is>
          <t>New York : McGraw-Hill, c1979.</t>
        </is>
      </c>
      <c r="O1646" t="inlineStr">
        <is>
          <t>1979</t>
        </is>
      </c>
      <c r="P1646" t="inlineStr">
        <is>
          <t>-- 2d ed. --</t>
        </is>
      </c>
      <c r="Q1646" t="inlineStr">
        <is>
          <t>eng</t>
        </is>
      </c>
      <c r="R1646" t="inlineStr">
        <is>
          <t>nyu</t>
        </is>
      </c>
      <c r="T1646" t="inlineStr">
        <is>
          <t xml:space="preserve">WY </t>
        </is>
      </c>
      <c r="U1646" t="n">
        <v>2</v>
      </c>
      <c r="V1646" t="n">
        <v>2</v>
      </c>
      <c r="W1646" t="inlineStr">
        <is>
          <t>1997-08-22</t>
        </is>
      </c>
      <c r="X1646" t="inlineStr">
        <is>
          <t>1997-08-22</t>
        </is>
      </c>
      <c r="Y1646" t="inlineStr">
        <is>
          <t>1987-10-24</t>
        </is>
      </c>
      <c r="Z1646" t="inlineStr">
        <is>
          <t>1987-10-24</t>
        </is>
      </c>
      <c r="AA1646" t="n">
        <v>217</v>
      </c>
      <c r="AB1646" t="n">
        <v>183</v>
      </c>
      <c r="AC1646" t="n">
        <v>185</v>
      </c>
      <c r="AD1646" t="n">
        <v>2</v>
      </c>
      <c r="AE1646" t="n">
        <v>2</v>
      </c>
      <c r="AF1646" t="n">
        <v>6</v>
      </c>
      <c r="AG1646" t="n">
        <v>6</v>
      </c>
      <c r="AH1646" t="n">
        <v>1</v>
      </c>
      <c r="AI1646" t="n">
        <v>1</v>
      </c>
      <c r="AJ1646" t="n">
        <v>1</v>
      </c>
      <c r="AK1646" t="n">
        <v>1</v>
      </c>
      <c r="AL1646" t="n">
        <v>3</v>
      </c>
      <c r="AM1646" t="n">
        <v>3</v>
      </c>
      <c r="AN1646" t="n">
        <v>1</v>
      </c>
      <c r="AO1646" t="n">
        <v>1</v>
      </c>
      <c r="AP1646" t="n">
        <v>0</v>
      </c>
      <c r="AQ1646" t="n">
        <v>0</v>
      </c>
      <c r="AR1646" t="inlineStr">
        <is>
          <t>No</t>
        </is>
      </c>
      <c r="AS1646" t="inlineStr">
        <is>
          <t>Yes</t>
        </is>
      </c>
      <c r="AT1646">
        <f>HYPERLINK("http://catalog.hathitrust.org/Record/000173973","HathiTrust Record")</f>
        <v/>
      </c>
      <c r="AU1646">
        <f>HYPERLINK("https://creighton-primo.hosted.exlibrisgroup.com/primo-explore/search?tab=default_tab&amp;search_scope=EVERYTHING&amp;vid=01CRU&amp;lang=en_US&amp;offset=0&amp;query=any,contains,991000732439702656","Catalog Record")</f>
        <v/>
      </c>
      <c r="AV1646">
        <f>HYPERLINK("http://www.worldcat.org/oclc/3912698","WorldCat Record")</f>
        <v/>
      </c>
      <c r="AW1646" t="inlineStr">
        <is>
          <t>3901820879:eng</t>
        </is>
      </c>
      <c r="AX1646" t="inlineStr">
        <is>
          <t>3912698</t>
        </is>
      </c>
      <c r="AY1646" t="inlineStr">
        <is>
          <t>991000732439702656</t>
        </is>
      </c>
      <c r="AZ1646" t="inlineStr">
        <is>
          <t>991000732439702656</t>
        </is>
      </c>
      <c r="BA1646" t="inlineStr">
        <is>
          <t>2260451780002656</t>
        </is>
      </c>
      <c r="BB1646" t="inlineStr">
        <is>
          <t>BOOK</t>
        </is>
      </c>
      <c r="BD1646" t="inlineStr">
        <is>
          <t>9780070010192</t>
        </is>
      </c>
      <c r="BE1646" t="inlineStr">
        <is>
          <t>30001000040669</t>
        </is>
      </c>
      <c r="BF1646" t="inlineStr">
        <is>
          <t>893267260</t>
        </is>
      </c>
    </row>
    <row r="1647">
      <c r="A1647" t="inlineStr">
        <is>
          <t>No</t>
        </is>
      </c>
      <c r="B1647" t="inlineStr">
        <is>
          <t>CUHSL</t>
        </is>
      </c>
      <c r="C1647" t="inlineStr">
        <is>
          <t>SHELVES</t>
        </is>
      </c>
      <c r="D1647" t="inlineStr">
        <is>
          <t>WY 159 B784c 1998</t>
        </is>
      </c>
      <c r="E1647" t="inlineStr">
        <is>
          <t>0                      WY 0159000B  784c        1998</t>
        </is>
      </c>
      <c r="F1647" t="inlineStr">
        <is>
          <t>Children and their families : the continuum of care / Vicky R. Bowden, Susan B. Dickey, Cindy Smith Greenberg.</t>
        </is>
      </c>
      <c r="H1647" t="inlineStr">
        <is>
          <t>No</t>
        </is>
      </c>
      <c r="I1647" t="inlineStr">
        <is>
          <t>1</t>
        </is>
      </c>
      <c r="J1647" t="inlineStr">
        <is>
          <t>No</t>
        </is>
      </c>
      <c r="K1647" t="inlineStr">
        <is>
          <t>No</t>
        </is>
      </c>
      <c r="L1647" t="inlineStr">
        <is>
          <t>0</t>
        </is>
      </c>
      <c r="M1647" t="inlineStr">
        <is>
          <t>Bowden, Vicky R.</t>
        </is>
      </c>
      <c r="N1647" t="inlineStr">
        <is>
          <t>Philadelphia : W.B. Saunders Company, c1998.</t>
        </is>
      </c>
      <c r="O1647" t="inlineStr">
        <is>
          <t>1998</t>
        </is>
      </c>
      <c r="Q1647" t="inlineStr">
        <is>
          <t>eng</t>
        </is>
      </c>
      <c r="R1647" t="inlineStr">
        <is>
          <t>pau</t>
        </is>
      </c>
      <c r="T1647" t="inlineStr">
        <is>
          <t xml:space="preserve">WY </t>
        </is>
      </c>
      <c r="U1647" t="n">
        <v>3</v>
      </c>
      <c r="V1647" t="n">
        <v>3</v>
      </c>
      <c r="W1647" t="inlineStr">
        <is>
          <t>1999-10-28</t>
        </is>
      </c>
      <c r="X1647" t="inlineStr">
        <is>
          <t>1999-10-28</t>
        </is>
      </c>
      <c r="Y1647" t="inlineStr">
        <is>
          <t>1999-10-28</t>
        </is>
      </c>
      <c r="Z1647" t="inlineStr">
        <is>
          <t>1999-10-28</t>
        </is>
      </c>
      <c r="AA1647" t="n">
        <v>256</v>
      </c>
      <c r="AB1647" t="n">
        <v>199</v>
      </c>
      <c r="AC1647" t="n">
        <v>307</v>
      </c>
      <c r="AD1647" t="n">
        <v>1</v>
      </c>
      <c r="AE1647" t="n">
        <v>2</v>
      </c>
      <c r="AF1647" t="n">
        <v>4</v>
      </c>
      <c r="AG1647" t="n">
        <v>7</v>
      </c>
      <c r="AH1647" t="n">
        <v>2</v>
      </c>
      <c r="AI1647" t="n">
        <v>2</v>
      </c>
      <c r="AJ1647" t="n">
        <v>0</v>
      </c>
      <c r="AK1647" t="n">
        <v>2</v>
      </c>
      <c r="AL1647" t="n">
        <v>3</v>
      </c>
      <c r="AM1647" t="n">
        <v>4</v>
      </c>
      <c r="AN1647" t="n">
        <v>0</v>
      </c>
      <c r="AO1647" t="n">
        <v>1</v>
      </c>
      <c r="AP1647" t="n">
        <v>0</v>
      </c>
      <c r="AQ1647" t="n">
        <v>0</v>
      </c>
      <c r="AR1647" t="inlineStr">
        <is>
          <t>No</t>
        </is>
      </c>
      <c r="AS1647" t="inlineStr">
        <is>
          <t>No</t>
        </is>
      </c>
      <c r="AU1647">
        <f>HYPERLINK("https://creighton-primo.hosted.exlibrisgroup.com/primo-explore/search?tab=default_tab&amp;search_scope=EVERYTHING&amp;vid=01CRU&amp;lang=en_US&amp;offset=0&amp;query=any,contains,991000597899702656","Catalog Record")</f>
        <v/>
      </c>
      <c r="AV1647">
        <f>HYPERLINK("http://www.worldcat.org/oclc/36597762","WorldCat Record")</f>
        <v/>
      </c>
      <c r="AW1647" t="inlineStr">
        <is>
          <t>836923885:eng</t>
        </is>
      </c>
      <c r="AX1647" t="inlineStr">
        <is>
          <t>36597762</t>
        </is>
      </c>
      <c r="AY1647" t="inlineStr">
        <is>
          <t>991000597899702656</t>
        </is>
      </c>
      <c r="AZ1647" t="inlineStr">
        <is>
          <t>991000597899702656</t>
        </is>
      </c>
      <c r="BA1647" t="inlineStr">
        <is>
          <t>2256875060002656</t>
        </is>
      </c>
      <c r="BB1647" t="inlineStr">
        <is>
          <t>BOOK</t>
        </is>
      </c>
      <c r="BD1647" t="inlineStr">
        <is>
          <t>9780721651798</t>
        </is>
      </c>
      <c r="BE1647" t="inlineStr">
        <is>
          <t>30001004015816</t>
        </is>
      </c>
      <c r="BF1647" t="inlineStr">
        <is>
          <t>893824779</t>
        </is>
      </c>
    </row>
    <row r="1648">
      <c r="A1648" t="inlineStr">
        <is>
          <t>No</t>
        </is>
      </c>
      <c r="B1648" t="inlineStr">
        <is>
          <t>CUHSL</t>
        </is>
      </c>
      <c r="C1648" t="inlineStr">
        <is>
          <t>SHELVES</t>
        </is>
      </c>
      <c r="D1648" t="inlineStr">
        <is>
          <t>WY 159 B863i 1983</t>
        </is>
      </c>
      <c r="E1648" t="inlineStr">
        <is>
          <t>0                      WY 0159000B  863i        1983</t>
        </is>
      </c>
      <c r="F1648" t="inlineStr">
        <is>
          <t>Introductory pediatric nursing / Violet Broadribb ; with the consultation of Joan C. Jordan.</t>
        </is>
      </c>
      <c r="H1648" t="inlineStr">
        <is>
          <t>No</t>
        </is>
      </c>
      <c r="I1648" t="inlineStr">
        <is>
          <t>1</t>
        </is>
      </c>
      <c r="J1648" t="inlineStr">
        <is>
          <t>No</t>
        </is>
      </c>
      <c r="K1648" t="inlineStr">
        <is>
          <t>No</t>
        </is>
      </c>
      <c r="L1648" t="inlineStr">
        <is>
          <t>0</t>
        </is>
      </c>
      <c r="M1648" t="inlineStr">
        <is>
          <t>Broadribb, Violet.</t>
        </is>
      </c>
      <c r="N1648" t="inlineStr">
        <is>
          <t>Philadelphia : Lippincott, c1983.</t>
        </is>
      </c>
      <c r="O1648" t="inlineStr">
        <is>
          <t>1983</t>
        </is>
      </c>
      <c r="Q1648" t="inlineStr">
        <is>
          <t>eng</t>
        </is>
      </c>
      <c r="R1648" t="inlineStr">
        <is>
          <t>xxu</t>
        </is>
      </c>
      <c r="T1648" t="inlineStr">
        <is>
          <t xml:space="preserve">WY </t>
        </is>
      </c>
      <c r="U1648" t="n">
        <v>2</v>
      </c>
      <c r="V1648" t="n">
        <v>2</v>
      </c>
      <c r="W1648" t="inlineStr">
        <is>
          <t>1989-02-07</t>
        </is>
      </c>
      <c r="X1648" t="inlineStr">
        <is>
          <t>1989-02-07</t>
        </is>
      </c>
      <c r="Y1648" t="inlineStr">
        <is>
          <t>1987-12-23</t>
        </is>
      </c>
      <c r="Z1648" t="inlineStr">
        <is>
          <t>1987-12-23</t>
        </is>
      </c>
      <c r="AA1648" t="n">
        <v>16</v>
      </c>
      <c r="AB1648" t="n">
        <v>16</v>
      </c>
      <c r="AC1648" t="n">
        <v>97</v>
      </c>
      <c r="AD1648" t="n">
        <v>1</v>
      </c>
      <c r="AE1648" t="n">
        <v>1</v>
      </c>
      <c r="AF1648" t="n">
        <v>0</v>
      </c>
      <c r="AG1648" t="n">
        <v>1</v>
      </c>
      <c r="AH1648" t="n">
        <v>0</v>
      </c>
      <c r="AI1648" t="n">
        <v>1</v>
      </c>
      <c r="AJ1648" t="n">
        <v>0</v>
      </c>
      <c r="AK1648" t="n">
        <v>0</v>
      </c>
      <c r="AL1648" t="n">
        <v>0</v>
      </c>
      <c r="AM1648" t="n">
        <v>0</v>
      </c>
      <c r="AN1648" t="n">
        <v>0</v>
      </c>
      <c r="AO1648" t="n">
        <v>0</v>
      </c>
      <c r="AP1648" t="n">
        <v>0</v>
      </c>
      <c r="AQ1648" t="n">
        <v>0</v>
      </c>
      <c r="AR1648" t="inlineStr">
        <is>
          <t>No</t>
        </is>
      </c>
      <c r="AS1648" t="inlineStr">
        <is>
          <t>No</t>
        </is>
      </c>
      <c r="AU1648">
        <f>HYPERLINK("https://creighton-primo.hosted.exlibrisgroup.com/primo-explore/search?tab=default_tab&amp;search_scope=EVERYTHING&amp;vid=01CRU&amp;lang=en_US&amp;offset=0&amp;query=any,contains,991000922519702656","Catalog Record")</f>
        <v/>
      </c>
      <c r="AV1648">
        <f>HYPERLINK("http://www.worldcat.org/oclc/8051304","WorldCat Record")</f>
        <v/>
      </c>
      <c r="AW1648" t="inlineStr">
        <is>
          <t>493731693:eng</t>
        </is>
      </c>
      <c r="AX1648" t="inlineStr">
        <is>
          <t>8051304</t>
        </is>
      </c>
      <c r="AY1648" t="inlineStr">
        <is>
          <t>991000922519702656</t>
        </is>
      </c>
      <c r="AZ1648" t="inlineStr">
        <is>
          <t>991000922519702656</t>
        </is>
      </c>
      <c r="BA1648" t="inlineStr">
        <is>
          <t>2258942790002656</t>
        </is>
      </c>
      <c r="BB1648" t="inlineStr">
        <is>
          <t>BOOK</t>
        </is>
      </c>
      <c r="BD1648" t="inlineStr">
        <is>
          <t>9780387543307</t>
        </is>
      </c>
      <c r="BE1648" t="inlineStr">
        <is>
          <t>30001000181901</t>
        </is>
      </c>
      <c r="BF1648" t="inlineStr">
        <is>
          <t>893740586</t>
        </is>
      </c>
    </row>
    <row r="1649">
      <c r="A1649" t="inlineStr">
        <is>
          <t>No</t>
        </is>
      </c>
      <c r="B1649" t="inlineStr">
        <is>
          <t>CUHSL</t>
        </is>
      </c>
      <c r="C1649" t="inlineStr">
        <is>
          <t>SHELVES</t>
        </is>
      </c>
      <c r="D1649" t="inlineStr">
        <is>
          <t>WY 159 C525p 1998</t>
        </is>
      </c>
      <c r="E1649" t="inlineStr">
        <is>
          <t>0                      WY 0159000C  525p        1998</t>
        </is>
      </c>
      <c r="F1649" t="inlineStr">
        <is>
          <t>Pediatric home care manual / Mary Ann Chestnut.</t>
        </is>
      </c>
      <c r="H1649" t="inlineStr">
        <is>
          <t>No</t>
        </is>
      </c>
      <c r="I1649" t="inlineStr">
        <is>
          <t>1</t>
        </is>
      </c>
      <c r="J1649" t="inlineStr">
        <is>
          <t>No</t>
        </is>
      </c>
      <c r="K1649" t="inlineStr">
        <is>
          <t>No</t>
        </is>
      </c>
      <c r="L1649" t="inlineStr">
        <is>
          <t>0</t>
        </is>
      </c>
      <c r="M1649" t="inlineStr">
        <is>
          <t>Chestnut, Mary Ann.</t>
        </is>
      </c>
      <c r="N1649" t="inlineStr">
        <is>
          <t>Philadelphia : Lippincott-Raven, c1998.</t>
        </is>
      </c>
      <c r="O1649" t="inlineStr">
        <is>
          <t>1998</t>
        </is>
      </c>
      <c r="Q1649" t="inlineStr">
        <is>
          <t>eng</t>
        </is>
      </c>
      <c r="R1649" t="inlineStr">
        <is>
          <t>pau</t>
        </is>
      </c>
      <c r="T1649" t="inlineStr">
        <is>
          <t xml:space="preserve">WY </t>
        </is>
      </c>
      <c r="U1649" t="n">
        <v>3</v>
      </c>
      <c r="V1649" t="n">
        <v>3</v>
      </c>
      <c r="W1649" t="inlineStr">
        <is>
          <t>1999-04-21</t>
        </is>
      </c>
      <c r="X1649" t="inlineStr">
        <is>
          <t>1999-04-21</t>
        </is>
      </c>
      <c r="Y1649" t="inlineStr">
        <is>
          <t>1999-04-13</t>
        </is>
      </c>
      <c r="Z1649" t="inlineStr">
        <is>
          <t>1999-04-13</t>
        </is>
      </c>
      <c r="AA1649" t="n">
        <v>148</v>
      </c>
      <c r="AB1649" t="n">
        <v>120</v>
      </c>
      <c r="AC1649" t="n">
        <v>120</v>
      </c>
      <c r="AD1649" t="n">
        <v>1</v>
      </c>
      <c r="AE1649" t="n">
        <v>1</v>
      </c>
      <c r="AF1649" t="n">
        <v>3</v>
      </c>
      <c r="AG1649" t="n">
        <v>3</v>
      </c>
      <c r="AH1649" t="n">
        <v>2</v>
      </c>
      <c r="AI1649" t="n">
        <v>2</v>
      </c>
      <c r="AJ1649" t="n">
        <v>0</v>
      </c>
      <c r="AK1649" t="n">
        <v>0</v>
      </c>
      <c r="AL1649" t="n">
        <v>2</v>
      </c>
      <c r="AM1649" t="n">
        <v>2</v>
      </c>
      <c r="AN1649" t="n">
        <v>0</v>
      </c>
      <c r="AO1649" t="n">
        <v>0</v>
      </c>
      <c r="AP1649" t="n">
        <v>0</v>
      </c>
      <c r="AQ1649" t="n">
        <v>0</v>
      </c>
      <c r="AR1649" t="inlineStr">
        <is>
          <t>No</t>
        </is>
      </c>
      <c r="AS1649" t="inlineStr">
        <is>
          <t>No</t>
        </is>
      </c>
      <c r="AU1649">
        <f>HYPERLINK("https://creighton-primo.hosted.exlibrisgroup.com/primo-explore/search?tab=default_tab&amp;search_scope=EVERYTHING&amp;vid=01CRU&amp;lang=en_US&amp;offset=0&amp;query=any,contains,991000784009702656","Catalog Record")</f>
        <v/>
      </c>
      <c r="AV1649">
        <f>HYPERLINK("http://www.worldcat.org/oclc/37116427","WorldCat Record")</f>
        <v/>
      </c>
      <c r="AW1649" t="inlineStr">
        <is>
          <t>597916:eng</t>
        </is>
      </c>
      <c r="AX1649" t="inlineStr">
        <is>
          <t>37116427</t>
        </is>
      </c>
      <c r="AY1649" t="inlineStr">
        <is>
          <t>991000784009702656</t>
        </is>
      </c>
      <c r="AZ1649" t="inlineStr">
        <is>
          <t>991000784009702656</t>
        </is>
      </c>
      <c r="BA1649" t="inlineStr">
        <is>
          <t>2265241270002656</t>
        </is>
      </c>
      <c r="BB1649" t="inlineStr">
        <is>
          <t>BOOK</t>
        </is>
      </c>
      <c r="BD1649" t="inlineStr">
        <is>
          <t>9780781712033</t>
        </is>
      </c>
      <c r="BE1649" t="inlineStr">
        <is>
          <t>30001004071124</t>
        </is>
      </c>
      <c r="BF1649" t="inlineStr">
        <is>
          <t>893120385</t>
        </is>
      </c>
    </row>
    <row r="1650">
      <c r="A1650" t="inlineStr">
        <is>
          <t>No</t>
        </is>
      </c>
      <c r="B1650" t="inlineStr">
        <is>
          <t>CUHSL</t>
        </is>
      </c>
      <c r="C1650" t="inlineStr">
        <is>
          <t>SHELVES</t>
        </is>
      </c>
      <c r="D1650" t="inlineStr">
        <is>
          <t>WY 159 C534 1981</t>
        </is>
      </c>
      <c r="E1650" t="inlineStr">
        <is>
          <t>0                      WY 0159000C  534         1981</t>
        </is>
      </c>
      <c r="F1650" t="inlineStr">
        <is>
          <t>Child development / [edited by] Mary Tudor.</t>
        </is>
      </c>
      <c r="H1650" t="inlineStr">
        <is>
          <t>No</t>
        </is>
      </c>
      <c r="I1650" t="inlineStr">
        <is>
          <t>1</t>
        </is>
      </c>
      <c r="J1650" t="inlineStr">
        <is>
          <t>No</t>
        </is>
      </c>
      <c r="K1650" t="inlineStr">
        <is>
          <t>No</t>
        </is>
      </c>
      <c r="L1650" t="inlineStr">
        <is>
          <t>0</t>
        </is>
      </c>
      <c r="N1650" t="inlineStr">
        <is>
          <t>New York : McGraw-Hill, c1981.</t>
        </is>
      </c>
      <c r="O1650" t="inlineStr">
        <is>
          <t>1981</t>
        </is>
      </c>
      <c r="Q1650" t="inlineStr">
        <is>
          <t>eng</t>
        </is>
      </c>
      <c r="R1650" t="inlineStr">
        <is>
          <t>xxu</t>
        </is>
      </c>
      <c r="T1650" t="inlineStr">
        <is>
          <t xml:space="preserve">WY </t>
        </is>
      </c>
      <c r="U1650" t="n">
        <v>6</v>
      </c>
      <c r="V1650" t="n">
        <v>6</v>
      </c>
      <c r="W1650" t="inlineStr">
        <is>
          <t>1997-12-01</t>
        </is>
      </c>
      <c r="X1650" t="inlineStr">
        <is>
          <t>1997-12-01</t>
        </is>
      </c>
      <c r="Y1650" t="inlineStr">
        <is>
          <t>1987-12-23</t>
        </is>
      </c>
      <c r="Z1650" t="inlineStr">
        <is>
          <t>1987-12-23</t>
        </is>
      </c>
      <c r="AA1650" t="n">
        <v>234</v>
      </c>
      <c r="AB1650" t="n">
        <v>180</v>
      </c>
      <c r="AC1650" t="n">
        <v>187</v>
      </c>
      <c r="AD1650" t="n">
        <v>2</v>
      </c>
      <c r="AE1650" t="n">
        <v>2</v>
      </c>
      <c r="AF1650" t="n">
        <v>3</v>
      </c>
      <c r="AG1650" t="n">
        <v>3</v>
      </c>
      <c r="AH1650" t="n">
        <v>2</v>
      </c>
      <c r="AI1650" t="n">
        <v>2</v>
      </c>
      <c r="AJ1650" t="n">
        <v>0</v>
      </c>
      <c r="AK1650" t="n">
        <v>0</v>
      </c>
      <c r="AL1650" t="n">
        <v>2</v>
      </c>
      <c r="AM1650" t="n">
        <v>2</v>
      </c>
      <c r="AN1650" t="n">
        <v>0</v>
      </c>
      <c r="AO1650" t="n">
        <v>0</v>
      </c>
      <c r="AP1650" t="n">
        <v>0</v>
      </c>
      <c r="AQ1650" t="n">
        <v>0</v>
      </c>
      <c r="AR1650" t="inlineStr">
        <is>
          <t>No</t>
        </is>
      </c>
      <c r="AS1650" t="inlineStr">
        <is>
          <t>Yes</t>
        </is>
      </c>
      <c r="AT1650">
        <f>HYPERLINK("http://catalog.hathitrust.org/Record/000582914","HathiTrust Record")</f>
        <v/>
      </c>
      <c r="AU1650">
        <f>HYPERLINK("https://creighton-primo.hosted.exlibrisgroup.com/primo-explore/search?tab=default_tab&amp;search_scope=EVERYTHING&amp;vid=01CRU&amp;lang=en_US&amp;offset=0&amp;query=any,contains,991000922669702656","Catalog Record")</f>
        <v/>
      </c>
      <c r="AV1650">
        <f>HYPERLINK("http://www.worldcat.org/oclc/6251811","WorldCat Record")</f>
        <v/>
      </c>
      <c r="AW1650" t="inlineStr">
        <is>
          <t>54379170:eng</t>
        </is>
      </c>
      <c r="AX1650" t="inlineStr">
        <is>
          <t>6251811</t>
        </is>
      </c>
      <c r="AY1650" t="inlineStr">
        <is>
          <t>991000922669702656</t>
        </is>
      </c>
      <c r="AZ1650" t="inlineStr">
        <is>
          <t>991000922669702656</t>
        </is>
      </c>
      <c r="BA1650" t="inlineStr">
        <is>
          <t>2261230800002656</t>
        </is>
      </c>
      <c r="BB1650" t="inlineStr">
        <is>
          <t>BOOK</t>
        </is>
      </c>
      <c r="BD1650" t="inlineStr">
        <is>
          <t>9780070654129</t>
        </is>
      </c>
      <c r="BE1650" t="inlineStr">
        <is>
          <t>30001000181968</t>
        </is>
      </c>
      <c r="BF1650" t="inlineStr">
        <is>
          <t>893278489</t>
        </is>
      </c>
    </row>
    <row r="1651">
      <c r="A1651" t="inlineStr">
        <is>
          <t>No</t>
        </is>
      </c>
      <c r="B1651" t="inlineStr">
        <is>
          <t>CUHSL</t>
        </is>
      </c>
      <c r="C1651" t="inlineStr">
        <is>
          <t>SHELVES</t>
        </is>
      </c>
      <c r="D1651" t="inlineStr">
        <is>
          <t>WY 159 C536 1979</t>
        </is>
      </c>
      <c r="E1651" t="inlineStr">
        <is>
          <t>0                      WY 0159000C  536         1979</t>
        </is>
      </c>
      <c r="F1651" t="inlineStr">
        <is>
          <t>Child health assessment : Part 2: The first year of life / Kathryn E. Basrnard, Sandra J. Eyres, editors</t>
        </is>
      </c>
      <c r="H1651" t="inlineStr">
        <is>
          <t>No</t>
        </is>
      </c>
      <c r="I1651" t="inlineStr">
        <is>
          <t>1</t>
        </is>
      </c>
      <c r="J1651" t="inlineStr">
        <is>
          <t>No</t>
        </is>
      </c>
      <c r="K1651" t="inlineStr">
        <is>
          <t>No</t>
        </is>
      </c>
      <c r="L1651" t="inlineStr">
        <is>
          <t>0</t>
        </is>
      </c>
      <c r="N1651" t="inlineStr">
        <is>
          <t>-- Bethesda, Md., Bureau of Health Resources Development, Division of Nursing, 1979.</t>
        </is>
      </c>
      <c r="O1651" t="inlineStr">
        <is>
          <t>1975</t>
        </is>
      </c>
      <c r="Q1651" t="inlineStr">
        <is>
          <t>eng</t>
        </is>
      </c>
      <c r="R1651" t="inlineStr">
        <is>
          <t>|||</t>
        </is>
      </c>
      <c r="S1651" t="inlineStr">
        <is>
          <t>DHEW Publication No. HRA 79-25</t>
        </is>
      </c>
      <c r="T1651" t="inlineStr">
        <is>
          <t xml:space="preserve">WY </t>
        </is>
      </c>
      <c r="U1651" t="n">
        <v>9</v>
      </c>
      <c r="V1651" t="n">
        <v>9</v>
      </c>
      <c r="W1651" t="inlineStr">
        <is>
          <t>1998-10-20</t>
        </is>
      </c>
      <c r="X1651" t="inlineStr">
        <is>
          <t>1998-10-20</t>
        </is>
      </c>
      <c r="Y1651" t="inlineStr">
        <is>
          <t>1987-12-23</t>
        </is>
      </c>
      <c r="Z1651" t="inlineStr">
        <is>
          <t>1987-12-23</t>
        </is>
      </c>
      <c r="AA1651" t="n">
        <v>22</v>
      </c>
      <c r="AB1651" t="n">
        <v>22</v>
      </c>
      <c r="AC1651" t="n">
        <v>27</v>
      </c>
      <c r="AD1651" t="n">
        <v>1</v>
      </c>
      <c r="AE1651" t="n">
        <v>1</v>
      </c>
      <c r="AF1651" t="n">
        <v>1</v>
      </c>
      <c r="AG1651" t="n">
        <v>1</v>
      </c>
      <c r="AH1651" t="n">
        <v>0</v>
      </c>
      <c r="AI1651" t="n">
        <v>0</v>
      </c>
      <c r="AJ1651" t="n">
        <v>0</v>
      </c>
      <c r="AK1651" t="n">
        <v>0</v>
      </c>
      <c r="AL1651" t="n">
        <v>1</v>
      </c>
      <c r="AM1651" t="n">
        <v>1</v>
      </c>
      <c r="AN1651" t="n">
        <v>0</v>
      </c>
      <c r="AO1651" t="n">
        <v>0</v>
      </c>
      <c r="AP1651" t="n">
        <v>0</v>
      </c>
      <c r="AQ1651" t="n">
        <v>0</v>
      </c>
      <c r="AR1651" t="inlineStr">
        <is>
          <t>Yes</t>
        </is>
      </c>
      <c r="AS1651" t="inlineStr">
        <is>
          <t>No</t>
        </is>
      </c>
      <c r="AT1651">
        <f>HYPERLINK("http://catalog.hathitrust.org/Record/102058885","HathiTrust Record")</f>
        <v/>
      </c>
      <c r="AU1651">
        <f>HYPERLINK("https://creighton-primo.hosted.exlibrisgroup.com/primo-explore/search?tab=default_tab&amp;search_scope=EVERYTHING&amp;vid=01CRU&amp;lang=en_US&amp;offset=0&amp;query=any,contains,991000922579702656","Catalog Record")</f>
        <v/>
      </c>
      <c r="AV1651">
        <f>HYPERLINK("http://www.worldcat.org/oclc/1394234","WorldCat Record")</f>
        <v/>
      </c>
      <c r="AW1651" t="inlineStr">
        <is>
          <t>2290468139:eng</t>
        </is>
      </c>
      <c r="AX1651" t="inlineStr">
        <is>
          <t>1394234</t>
        </is>
      </c>
      <c r="AY1651" t="inlineStr">
        <is>
          <t>991000922579702656</t>
        </is>
      </c>
      <c r="AZ1651" t="inlineStr">
        <is>
          <t>991000922579702656</t>
        </is>
      </c>
      <c r="BA1651" t="inlineStr">
        <is>
          <t>2261340300002656</t>
        </is>
      </c>
      <c r="BB1651" t="inlineStr">
        <is>
          <t>BOOK</t>
        </is>
      </c>
      <c r="BE1651" t="inlineStr">
        <is>
          <t>30001000181943</t>
        </is>
      </c>
      <c r="BF1651" t="inlineStr">
        <is>
          <t>893273494</t>
        </is>
      </c>
    </row>
    <row r="1652">
      <c r="A1652" t="inlineStr">
        <is>
          <t>No</t>
        </is>
      </c>
      <c r="B1652" t="inlineStr">
        <is>
          <t>CUHSL</t>
        </is>
      </c>
      <c r="C1652" t="inlineStr">
        <is>
          <t>SHELVES</t>
        </is>
      </c>
      <c r="D1652" t="inlineStr">
        <is>
          <t>WY 159 C7365 1991</t>
        </is>
      </c>
      <c r="E1652" t="inlineStr">
        <is>
          <t>0                      WY 0159000C  7365        1991</t>
        </is>
      </c>
      <c r="F1652" t="inlineStr">
        <is>
          <t>Comprehensive child and family nursing skills / editor, Donna Phillips Smith ; unit editors, Kristie S. Nix ... [et al.] ; consultant, Donna L. Wong.</t>
        </is>
      </c>
      <c r="H1652" t="inlineStr">
        <is>
          <t>No</t>
        </is>
      </c>
      <c r="I1652" t="inlineStr">
        <is>
          <t>1</t>
        </is>
      </c>
      <c r="J1652" t="inlineStr">
        <is>
          <t>No</t>
        </is>
      </c>
      <c r="K1652" t="inlineStr">
        <is>
          <t>No</t>
        </is>
      </c>
      <c r="L1652" t="inlineStr">
        <is>
          <t>0</t>
        </is>
      </c>
      <c r="N1652" t="inlineStr">
        <is>
          <t>St. Louis : Mosby-Year Book, c1991.</t>
        </is>
      </c>
      <c r="O1652" t="inlineStr">
        <is>
          <t>1991</t>
        </is>
      </c>
      <c r="Q1652" t="inlineStr">
        <is>
          <t>eng</t>
        </is>
      </c>
      <c r="R1652" t="inlineStr">
        <is>
          <t>mou</t>
        </is>
      </c>
      <c r="T1652" t="inlineStr">
        <is>
          <t xml:space="preserve">WY </t>
        </is>
      </c>
      <c r="U1652" t="n">
        <v>2</v>
      </c>
      <c r="V1652" t="n">
        <v>2</v>
      </c>
      <c r="W1652" t="inlineStr">
        <is>
          <t>1993-04-02</t>
        </is>
      </c>
      <c r="X1652" t="inlineStr">
        <is>
          <t>1993-04-02</t>
        </is>
      </c>
      <c r="Y1652" t="inlineStr">
        <is>
          <t>1993-03-26</t>
        </is>
      </c>
      <c r="Z1652" t="inlineStr">
        <is>
          <t>1993-03-26</t>
        </is>
      </c>
      <c r="AA1652" t="n">
        <v>285</v>
      </c>
      <c r="AB1652" t="n">
        <v>203</v>
      </c>
      <c r="AC1652" t="n">
        <v>210</v>
      </c>
      <c r="AD1652" t="n">
        <v>1</v>
      </c>
      <c r="AE1652" t="n">
        <v>1</v>
      </c>
      <c r="AF1652" t="n">
        <v>5</v>
      </c>
      <c r="AG1652" t="n">
        <v>5</v>
      </c>
      <c r="AH1652" t="n">
        <v>1</v>
      </c>
      <c r="AI1652" t="n">
        <v>1</v>
      </c>
      <c r="AJ1652" t="n">
        <v>1</v>
      </c>
      <c r="AK1652" t="n">
        <v>1</v>
      </c>
      <c r="AL1652" t="n">
        <v>5</v>
      </c>
      <c r="AM1652" t="n">
        <v>5</v>
      </c>
      <c r="AN1652" t="n">
        <v>0</v>
      </c>
      <c r="AO1652" t="n">
        <v>0</v>
      </c>
      <c r="AP1652" t="n">
        <v>0</v>
      </c>
      <c r="AQ1652" t="n">
        <v>0</v>
      </c>
      <c r="AR1652" t="inlineStr">
        <is>
          <t>No</t>
        </is>
      </c>
      <c r="AS1652" t="inlineStr">
        <is>
          <t>Yes</t>
        </is>
      </c>
      <c r="AT1652">
        <f>HYPERLINK("http://catalog.hathitrust.org/Record/002526775","HathiTrust Record")</f>
        <v/>
      </c>
      <c r="AU1652">
        <f>HYPERLINK("https://creighton-primo.hosted.exlibrisgroup.com/primo-explore/search?tab=default_tab&amp;search_scope=EVERYTHING&amp;vid=01CRU&amp;lang=en_US&amp;offset=0&amp;query=any,contains,991001476649702656","Catalog Record")</f>
        <v/>
      </c>
      <c r="AV1652">
        <f>HYPERLINK("http://www.worldcat.org/oclc/22764254","WorldCat Record")</f>
        <v/>
      </c>
      <c r="AW1652" t="inlineStr">
        <is>
          <t>427268949:eng</t>
        </is>
      </c>
      <c r="AX1652" t="inlineStr">
        <is>
          <t>22764254</t>
        </is>
      </c>
      <c r="AY1652" t="inlineStr">
        <is>
          <t>991001476649702656</t>
        </is>
      </c>
      <c r="AZ1652" t="inlineStr">
        <is>
          <t>991001476649702656</t>
        </is>
      </c>
      <c r="BA1652" t="inlineStr">
        <is>
          <t>2259846210002656</t>
        </is>
      </c>
      <c r="BB1652" t="inlineStr">
        <is>
          <t>BOOK</t>
        </is>
      </c>
      <c r="BD1652" t="inlineStr">
        <is>
          <t>9780801652097</t>
        </is>
      </c>
      <c r="BE1652" t="inlineStr">
        <is>
          <t>30001002563510</t>
        </is>
      </c>
      <c r="BF1652" t="inlineStr">
        <is>
          <t>893558011</t>
        </is>
      </c>
    </row>
    <row r="1653">
      <c r="A1653" t="inlineStr">
        <is>
          <t>No</t>
        </is>
      </c>
      <c r="B1653" t="inlineStr">
        <is>
          <t>CUHSL</t>
        </is>
      </c>
      <c r="C1653" t="inlineStr">
        <is>
          <t>SHELVES</t>
        </is>
      </c>
      <c r="D1653" t="inlineStr">
        <is>
          <t>WY 159 D479 1977</t>
        </is>
      </c>
      <c r="E1653" t="inlineStr">
        <is>
          <t>0                      WY 0159000D  479         1977</t>
        </is>
      </c>
      <c r="F1653" t="inlineStr">
        <is>
          <t>Detection of developmental problems in children : a reference guide for community nurses and other health care professionals / edited by Marilyn J. Krajicek, Alice I. Tearney.</t>
        </is>
      </c>
      <c r="H1653" t="inlineStr">
        <is>
          <t>No</t>
        </is>
      </c>
      <c r="I1653" t="inlineStr">
        <is>
          <t>1</t>
        </is>
      </c>
      <c r="J1653" t="inlineStr">
        <is>
          <t>No</t>
        </is>
      </c>
      <c r="K1653" t="inlineStr">
        <is>
          <t>No</t>
        </is>
      </c>
      <c r="L1653" t="inlineStr">
        <is>
          <t>0</t>
        </is>
      </c>
      <c r="N1653" t="inlineStr">
        <is>
          <t>-- Baltimore : University Park Press, c1977.</t>
        </is>
      </c>
      <c r="O1653" t="inlineStr">
        <is>
          <t>1977</t>
        </is>
      </c>
      <c r="Q1653" t="inlineStr">
        <is>
          <t>eng</t>
        </is>
      </c>
      <c r="R1653" t="inlineStr">
        <is>
          <t>mdu</t>
        </is>
      </c>
      <c r="T1653" t="inlineStr">
        <is>
          <t xml:space="preserve">WY </t>
        </is>
      </c>
      <c r="U1653" t="n">
        <v>1</v>
      </c>
      <c r="V1653" t="n">
        <v>1</v>
      </c>
      <c r="W1653" t="inlineStr">
        <is>
          <t>1989-02-07</t>
        </is>
      </c>
      <c r="X1653" t="inlineStr">
        <is>
          <t>1989-02-07</t>
        </is>
      </c>
      <c r="Y1653" t="inlineStr">
        <is>
          <t>1987-12-23</t>
        </is>
      </c>
      <c r="Z1653" t="inlineStr">
        <is>
          <t>1987-12-23</t>
        </is>
      </c>
      <c r="AA1653" t="n">
        <v>314</v>
      </c>
      <c r="AB1653" t="n">
        <v>255</v>
      </c>
      <c r="AC1653" t="n">
        <v>268</v>
      </c>
      <c r="AD1653" t="n">
        <v>5</v>
      </c>
      <c r="AE1653" t="n">
        <v>5</v>
      </c>
      <c r="AF1653" t="n">
        <v>11</v>
      </c>
      <c r="AG1653" t="n">
        <v>11</v>
      </c>
      <c r="AH1653" t="n">
        <v>2</v>
      </c>
      <c r="AI1653" t="n">
        <v>2</v>
      </c>
      <c r="AJ1653" t="n">
        <v>3</v>
      </c>
      <c r="AK1653" t="n">
        <v>3</v>
      </c>
      <c r="AL1653" t="n">
        <v>3</v>
      </c>
      <c r="AM1653" t="n">
        <v>3</v>
      </c>
      <c r="AN1653" t="n">
        <v>4</v>
      </c>
      <c r="AO1653" t="n">
        <v>4</v>
      </c>
      <c r="AP1653" t="n">
        <v>0</v>
      </c>
      <c r="AQ1653" t="n">
        <v>0</v>
      </c>
      <c r="AR1653" t="inlineStr">
        <is>
          <t>No</t>
        </is>
      </c>
      <c r="AS1653" t="inlineStr">
        <is>
          <t>Yes</t>
        </is>
      </c>
      <c r="AT1653">
        <f>HYPERLINK("http://catalog.hathitrust.org/Record/000732026","HathiTrust Record")</f>
        <v/>
      </c>
      <c r="AU1653">
        <f>HYPERLINK("https://creighton-primo.hosted.exlibrisgroup.com/primo-explore/search?tab=default_tab&amp;search_scope=EVERYTHING&amp;vid=01CRU&amp;lang=en_US&amp;offset=0&amp;query=any,contains,991000922859702656","Catalog Record")</f>
        <v/>
      </c>
      <c r="AV1653">
        <f>HYPERLINK("http://www.worldcat.org/oclc/2542581","WorldCat Record")</f>
        <v/>
      </c>
      <c r="AW1653" t="inlineStr">
        <is>
          <t>3943367316:eng</t>
        </is>
      </c>
      <c r="AX1653" t="inlineStr">
        <is>
          <t>2542581</t>
        </is>
      </c>
      <c r="AY1653" t="inlineStr">
        <is>
          <t>991000922859702656</t>
        </is>
      </c>
      <c r="AZ1653" t="inlineStr">
        <is>
          <t>991000922859702656</t>
        </is>
      </c>
      <c r="BA1653" t="inlineStr">
        <is>
          <t>2272084150002656</t>
        </is>
      </c>
      <c r="BB1653" t="inlineStr">
        <is>
          <t>BOOK</t>
        </is>
      </c>
      <c r="BD1653" t="inlineStr">
        <is>
          <t>9780839109495</t>
        </is>
      </c>
      <c r="BE1653" t="inlineStr">
        <is>
          <t>30001000182149</t>
        </is>
      </c>
      <c r="BF1653" t="inlineStr">
        <is>
          <t>893455285</t>
        </is>
      </c>
    </row>
    <row r="1654">
      <c r="A1654" t="inlineStr">
        <is>
          <t>No</t>
        </is>
      </c>
      <c r="B1654" t="inlineStr">
        <is>
          <t>CUHSL</t>
        </is>
      </c>
      <c r="C1654" t="inlineStr">
        <is>
          <t>SHELVES</t>
        </is>
      </c>
      <c r="D1654" t="inlineStr">
        <is>
          <t>WY 159 E92g 1980</t>
        </is>
      </c>
      <c r="E1654" t="inlineStr">
        <is>
          <t>0                      WY 0159000E  92g         1980</t>
        </is>
      </c>
      <c r="F1654" t="inlineStr">
        <is>
          <t>Guide to pediatric nursing : a clinical reference / Marilyn Lang Evans, Beverly Desmond Hansen.</t>
        </is>
      </c>
      <c r="H1654" t="inlineStr">
        <is>
          <t>No</t>
        </is>
      </c>
      <c r="I1654" t="inlineStr">
        <is>
          <t>1</t>
        </is>
      </c>
      <c r="J1654" t="inlineStr">
        <is>
          <t>No</t>
        </is>
      </c>
      <c r="K1654" t="inlineStr">
        <is>
          <t>No</t>
        </is>
      </c>
      <c r="L1654" t="inlineStr">
        <is>
          <t>0</t>
        </is>
      </c>
      <c r="M1654" t="inlineStr">
        <is>
          <t>Evans, Marilyn Lang, 1939-</t>
        </is>
      </c>
      <c r="N1654" t="inlineStr">
        <is>
          <t>New York : Appleton-Century-Crofts, 1980.</t>
        </is>
      </c>
      <c r="O1654" t="inlineStr">
        <is>
          <t>1980</t>
        </is>
      </c>
      <c r="Q1654" t="inlineStr">
        <is>
          <t>eng</t>
        </is>
      </c>
      <c r="R1654" t="inlineStr">
        <is>
          <t xml:space="preserve">xx </t>
        </is>
      </c>
      <c r="T1654" t="inlineStr">
        <is>
          <t xml:space="preserve">WY </t>
        </is>
      </c>
      <c r="U1654" t="n">
        <v>1</v>
      </c>
      <c r="V1654" t="n">
        <v>1</v>
      </c>
      <c r="W1654" t="inlineStr">
        <is>
          <t>1989-02-07</t>
        </is>
      </c>
      <c r="X1654" t="inlineStr">
        <is>
          <t>1989-02-07</t>
        </is>
      </c>
      <c r="Y1654" t="inlineStr">
        <is>
          <t>1987-12-23</t>
        </is>
      </c>
      <c r="Z1654" t="inlineStr">
        <is>
          <t>1987-12-23</t>
        </is>
      </c>
      <c r="AA1654" t="n">
        <v>193</v>
      </c>
      <c r="AB1654" t="n">
        <v>163</v>
      </c>
      <c r="AC1654" t="n">
        <v>163</v>
      </c>
      <c r="AD1654" t="n">
        <v>2</v>
      </c>
      <c r="AE1654" t="n">
        <v>2</v>
      </c>
      <c r="AF1654" t="n">
        <v>4</v>
      </c>
      <c r="AG1654" t="n">
        <v>4</v>
      </c>
      <c r="AH1654" t="n">
        <v>1</v>
      </c>
      <c r="AI1654" t="n">
        <v>1</v>
      </c>
      <c r="AJ1654" t="n">
        <v>0</v>
      </c>
      <c r="AK1654" t="n">
        <v>0</v>
      </c>
      <c r="AL1654" t="n">
        <v>2</v>
      </c>
      <c r="AM1654" t="n">
        <v>2</v>
      </c>
      <c r="AN1654" t="n">
        <v>1</v>
      </c>
      <c r="AO1654" t="n">
        <v>1</v>
      </c>
      <c r="AP1654" t="n">
        <v>0</v>
      </c>
      <c r="AQ1654" t="n">
        <v>0</v>
      </c>
      <c r="AR1654" t="inlineStr">
        <is>
          <t>No</t>
        </is>
      </c>
      <c r="AS1654" t="inlineStr">
        <is>
          <t>No</t>
        </is>
      </c>
      <c r="AU1654">
        <f>HYPERLINK("https://creighton-primo.hosted.exlibrisgroup.com/primo-explore/search?tab=default_tab&amp;search_scope=EVERYTHING&amp;vid=01CRU&amp;lang=en_US&amp;offset=0&amp;query=any,contains,991000923069702656","Catalog Record")</f>
        <v/>
      </c>
      <c r="AV1654">
        <f>HYPERLINK("http://www.worldcat.org/oclc/5892750","WorldCat Record")</f>
        <v/>
      </c>
      <c r="AW1654" t="inlineStr">
        <is>
          <t>4495065077:eng</t>
        </is>
      </c>
      <c r="AX1654" t="inlineStr">
        <is>
          <t>5892750</t>
        </is>
      </c>
      <c r="AY1654" t="inlineStr">
        <is>
          <t>991000923069702656</t>
        </is>
      </c>
      <c r="AZ1654" t="inlineStr">
        <is>
          <t>991000923069702656</t>
        </is>
      </c>
      <c r="BA1654" t="inlineStr">
        <is>
          <t>2268489490002656</t>
        </is>
      </c>
      <c r="BB1654" t="inlineStr">
        <is>
          <t>BOOK</t>
        </is>
      </c>
      <c r="BD1654" t="inlineStr">
        <is>
          <t>9780838535332</t>
        </is>
      </c>
      <c r="BE1654" t="inlineStr">
        <is>
          <t>30001000182156</t>
        </is>
      </c>
      <c r="BF1654" t="inlineStr">
        <is>
          <t>893358013</t>
        </is>
      </c>
    </row>
    <row r="1655">
      <c r="A1655" t="inlineStr">
        <is>
          <t>No</t>
        </is>
      </c>
      <c r="B1655" t="inlineStr">
        <is>
          <t>CUHSL</t>
        </is>
      </c>
      <c r="C1655" t="inlineStr">
        <is>
          <t>SHELVES</t>
        </is>
      </c>
      <c r="D1655" t="inlineStr">
        <is>
          <t>WY 159 G971a 1994</t>
        </is>
      </c>
      <c r="E1655" t="inlineStr">
        <is>
          <t>0                      WY 0159000G  971a        1994</t>
        </is>
      </c>
      <c r="F1655" t="inlineStr">
        <is>
          <t>Ambulatory pediatric nursing / Meg Gulanick, Michele Knoll Puzas, Deidra Gradishar.</t>
        </is>
      </c>
      <c r="H1655" t="inlineStr">
        <is>
          <t>No</t>
        </is>
      </c>
      <c r="I1655" t="inlineStr">
        <is>
          <t>1</t>
        </is>
      </c>
      <c r="J1655" t="inlineStr">
        <is>
          <t>No</t>
        </is>
      </c>
      <c r="K1655" t="inlineStr">
        <is>
          <t>No</t>
        </is>
      </c>
      <c r="L1655" t="inlineStr">
        <is>
          <t>0</t>
        </is>
      </c>
      <c r="M1655" t="inlineStr">
        <is>
          <t>Gulanick, Meg.</t>
        </is>
      </c>
      <c r="N1655" t="inlineStr">
        <is>
          <t>Albany, NY : Delmar Publishers, c1994.</t>
        </is>
      </c>
      <c r="O1655" t="inlineStr">
        <is>
          <t>1994</t>
        </is>
      </c>
      <c r="Q1655" t="inlineStr">
        <is>
          <t>eng</t>
        </is>
      </c>
      <c r="R1655" t="inlineStr">
        <is>
          <t>mdu</t>
        </is>
      </c>
      <c r="S1655" t="inlineStr">
        <is>
          <t>Plans of care for specialty practice</t>
        </is>
      </c>
      <c r="T1655" t="inlineStr">
        <is>
          <t xml:space="preserve">WY </t>
        </is>
      </c>
      <c r="U1655" t="n">
        <v>3</v>
      </c>
      <c r="V1655" t="n">
        <v>3</v>
      </c>
      <c r="W1655" t="inlineStr">
        <is>
          <t>1994-05-05</t>
        </is>
      </c>
      <c r="X1655" t="inlineStr">
        <is>
          <t>1994-05-05</t>
        </is>
      </c>
      <c r="Y1655" t="inlineStr">
        <is>
          <t>1994-04-29</t>
        </is>
      </c>
      <c r="Z1655" t="inlineStr">
        <is>
          <t>1994-04-29</t>
        </is>
      </c>
      <c r="AA1655" t="n">
        <v>135</v>
      </c>
      <c r="AB1655" t="n">
        <v>112</v>
      </c>
      <c r="AC1655" t="n">
        <v>114</v>
      </c>
      <c r="AD1655" t="n">
        <v>1</v>
      </c>
      <c r="AE1655" t="n">
        <v>1</v>
      </c>
      <c r="AF1655" t="n">
        <v>2</v>
      </c>
      <c r="AG1655" t="n">
        <v>2</v>
      </c>
      <c r="AH1655" t="n">
        <v>1</v>
      </c>
      <c r="AI1655" t="n">
        <v>1</v>
      </c>
      <c r="AJ1655" t="n">
        <v>0</v>
      </c>
      <c r="AK1655" t="n">
        <v>0</v>
      </c>
      <c r="AL1655" t="n">
        <v>2</v>
      </c>
      <c r="AM1655" t="n">
        <v>2</v>
      </c>
      <c r="AN1655" t="n">
        <v>0</v>
      </c>
      <c r="AO1655" t="n">
        <v>0</v>
      </c>
      <c r="AP1655" t="n">
        <v>0</v>
      </c>
      <c r="AQ1655" t="n">
        <v>0</v>
      </c>
      <c r="AR1655" t="inlineStr">
        <is>
          <t>No</t>
        </is>
      </c>
      <c r="AS1655" t="inlineStr">
        <is>
          <t>Yes</t>
        </is>
      </c>
      <c r="AT1655">
        <f>HYPERLINK("http://catalog.hathitrust.org/Record/002753722","HathiTrust Record")</f>
        <v/>
      </c>
      <c r="AU1655">
        <f>HYPERLINK("https://creighton-primo.hosted.exlibrisgroup.com/primo-explore/search?tab=default_tab&amp;search_scope=EVERYTHING&amp;vid=01CRU&amp;lang=en_US&amp;offset=0&amp;query=any,contains,991001160829702656","Catalog Record")</f>
        <v/>
      </c>
      <c r="AV1655">
        <f>HYPERLINK("http://www.worldcat.org/oclc/28853801","WorldCat Record")</f>
        <v/>
      </c>
      <c r="AW1655" t="inlineStr">
        <is>
          <t>30923984:eng</t>
        </is>
      </c>
      <c r="AX1655" t="inlineStr">
        <is>
          <t>28853801</t>
        </is>
      </c>
      <c r="AY1655" t="inlineStr">
        <is>
          <t>991001160829702656</t>
        </is>
      </c>
      <c r="AZ1655" t="inlineStr">
        <is>
          <t>991001160829702656</t>
        </is>
      </c>
      <c r="BA1655" t="inlineStr">
        <is>
          <t>2263297540002656</t>
        </is>
      </c>
      <c r="BB1655" t="inlineStr">
        <is>
          <t>BOOK</t>
        </is>
      </c>
      <c r="BD1655" t="inlineStr">
        <is>
          <t>9780827352568</t>
        </is>
      </c>
      <c r="BE1655" t="inlineStr">
        <is>
          <t>30001002974030</t>
        </is>
      </c>
      <c r="BF1655" t="inlineStr">
        <is>
          <t>893369156</t>
        </is>
      </c>
    </row>
    <row r="1656">
      <c r="A1656" t="inlineStr">
        <is>
          <t>No</t>
        </is>
      </c>
      <c r="B1656" t="inlineStr">
        <is>
          <t>CUHSL</t>
        </is>
      </c>
      <c r="C1656" t="inlineStr">
        <is>
          <t>SHELVES</t>
        </is>
      </c>
      <c r="D1656" t="inlineStr">
        <is>
          <t>WY 159 H638 1979</t>
        </is>
      </c>
      <c r="E1656" t="inlineStr">
        <is>
          <t>0                      WY 0159000H  638         1979</t>
        </is>
      </c>
      <c r="F1656" t="inlineStr">
        <is>
          <t>High-risk parenting : nursing assessment and strategies for the family at risk / [edited by] Suzanne Hall Johnson.</t>
        </is>
      </c>
      <c r="H1656" t="inlineStr">
        <is>
          <t>No</t>
        </is>
      </c>
      <c r="I1656" t="inlineStr">
        <is>
          <t>1</t>
        </is>
      </c>
      <c r="J1656" t="inlineStr">
        <is>
          <t>No</t>
        </is>
      </c>
      <c r="K1656" t="inlineStr">
        <is>
          <t>No</t>
        </is>
      </c>
      <c r="L1656" t="inlineStr">
        <is>
          <t>0</t>
        </is>
      </c>
      <c r="N1656" t="inlineStr">
        <is>
          <t>New York : Lippincott, c1979.</t>
        </is>
      </c>
      <c r="O1656" t="inlineStr">
        <is>
          <t>1979</t>
        </is>
      </c>
      <c r="Q1656" t="inlineStr">
        <is>
          <t>eng</t>
        </is>
      </c>
      <c r="R1656" t="inlineStr">
        <is>
          <t xml:space="preserve">xx </t>
        </is>
      </c>
      <c r="T1656" t="inlineStr">
        <is>
          <t xml:space="preserve">WY </t>
        </is>
      </c>
      <c r="U1656" t="n">
        <v>3</v>
      </c>
      <c r="V1656" t="n">
        <v>3</v>
      </c>
      <c r="W1656" t="inlineStr">
        <is>
          <t>1997-09-22</t>
        </is>
      </c>
      <c r="X1656" t="inlineStr">
        <is>
          <t>1997-09-22</t>
        </is>
      </c>
      <c r="Y1656" t="inlineStr">
        <is>
          <t>1987-12-23</t>
        </is>
      </c>
      <c r="Z1656" t="inlineStr">
        <is>
          <t>1987-12-23</t>
        </is>
      </c>
      <c r="AA1656" t="n">
        <v>230</v>
      </c>
      <c r="AB1656" t="n">
        <v>195</v>
      </c>
      <c r="AC1656" t="n">
        <v>197</v>
      </c>
      <c r="AD1656" t="n">
        <v>4</v>
      </c>
      <c r="AE1656" t="n">
        <v>4</v>
      </c>
      <c r="AF1656" t="n">
        <v>9</v>
      </c>
      <c r="AG1656" t="n">
        <v>9</v>
      </c>
      <c r="AH1656" t="n">
        <v>3</v>
      </c>
      <c r="AI1656" t="n">
        <v>3</v>
      </c>
      <c r="AJ1656" t="n">
        <v>2</v>
      </c>
      <c r="AK1656" t="n">
        <v>2</v>
      </c>
      <c r="AL1656" t="n">
        <v>4</v>
      </c>
      <c r="AM1656" t="n">
        <v>4</v>
      </c>
      <c r="AN1656" t="n">
        <v>2</v>
      </c>
      <c r="AO1656" t="n">
        <v>2</v>
      </c>
      <c r="AP1656" t="n">
        <v>0</v>
      </c>
      <c r="AQ1656" t="n">
        <v>0</v>
      </c>
      <c r="AR1656" t="inlineStr">
        <is>
          <t>No</t>
        </is>
      </c>
      <c r="AS1656" t="inlineStr">
        <is>
          <t>Yes</t>
        </is>
      </c>
      <c r="AT1656">
        <f>HYPERLINK("http://catalog.hathitrust.org/Record/003911459","HathiTrust Record")</f>
        <v/>
      </c>
      <c r="AU1656">
        <f>HYPERLINK("https://creighton-primo.hosted.exlibrisgroup.com/primo-explore/search?tab=default_tab&amp;search_scope=EVERYTHING&amp;vid=01CRU&amp;lang=en_US&amp;offset=0&amp;query=any,contains,991000923219702656","Catalog Record")</f>
        <v/>
      </c>
      <c r="AV1656">
        <f>HYPERLINK("http://www.worldcat.org/oclc/4883638","WorldCat Record")</f>
        <v/>
      </c>
      <c r="AW1656" t="inlineStr">
        <is>
          <t>15076888:eng</t>
        </is>
      </c>
      <c r="AX1656" t="inlineStr">
        <is>
          <t>4883638</t>
        </is>
      </c>
      <c r="AY1656" t="inlineStr">
        <is>
          <t>991000923219702656</t>
        </is>
      </c>
      <c r="AZ1656" t="inlineStr">
        <is>
          <t>991000923219702656</t>
        </is>
      </c>
      <c r="BA1656" t="inlineStr">
        <is>
          <t>2260355740002656</t>
        </is>
      </c>
      <c r="BB1656" t="inlineStr">
        <is>
          <t>BOOK</t>
        </is>
      </c>
      <c r="BD1656" t="inlineStr">
        <is>
          <t>9780397543120</t>
        </is>
      </c>
      <c r="BE1656" t="inlineStr">
        <is>
          <t>30001000182214</t>
        </is>
      </c>
      <c r="BF1656" t="inlineStr">
        <is>
          <t>893374097</t>
        </is>
      </c>
    </row>
    <row r="1657">
      <c r="A1657" t="inlineStr">
        <is>
          <t>No</t>
        </is>
      </c>
      <c r="B1657" t="inlineStr">
        <is>
          <t>CUHSL</t>
        </is>
      </c>
      <c r="C1657" t="inlineStr">
        <is>
          <t>SHELVES</t>
        </is>
      </c>
      <c r="D1657" t="inlineStr">
        <is>
          <t>WY159 H6475 1999</t>
        </is>
      </c>
      <c r="E1657" t="inlineStr">
        <is>
          <t>0                      WY 0159000H  6475        1999</t>
        </is>
      </c>
      <c r="F1657" t="inlineStr">
        <is>
          <t>Management guidelines for pediatric nurse practitioners / Nancy Herban Hill, Linda Sullivan.</t>
        </is>
      </c>
      <c r="H1657" t="inlineStr">
        <is>
          <t>No</t>
        </is>
      </c>
      <c r="I1657" t="inlineStr">
        <is>
          <t>2</t>
        </is>
      </c>
      <c r="J1657" t="inlineStr">
        <is>
          <t>No</t>
        </is>
      </c>
      <c r="K1657" t="inlineStr">
        <is>
          <t>No</t>
        </is>
      </c>
      <c r="L1657" t="inlineStr">
        <is>
          <t>0</t>
        </is>
      </c>
      <c r="M1657" t="inlineStr">
        <is>
          <t>Hill, Nancy Herban, 1934-</t>
        </is>
      </c>
      <c r="N1657" t="inlineStr">
        <is>
          <t>Philadelphia : F.A. Davis, c1999.</t>
        </is>
      </c>
      <c r="O1657" t="inlineStr">
        <is>
          <t>1999</t>
        </is>
      </c>
      <c r="Q1657" t="inlineStr">
        <is>
          <t>eng</t>
        </is>
      </c>
      <c r="R1657" t="inlineStr">
        <is>
          <t>pau</t>
        </is>
      </c>
      <c r="T1657" t="inlineStr">
        <is>
          <t xml:space="preserve">WY </t>
        </is>
      </c>
      <c r="U1657" t="n">
        <v>2</v>
      </c>
      <c r="V1657" t="n">
        <v>2</v>
      </c>
      <c r="W1657" t="inlineStr">
        <is>
          <t>2000-01-12</t>
        </is>
      </c>
      <c r="X1657" t="inlineStr">
        <is>
          <t>2000-01-12</t>
        </is>
      </c>
      <c r="Y1657" t="inlineStr">
        <is>
          <t>2000-01-12</t>
        </is>
      </c>
      <c r="Z1657" t="inlineStr">
        <is>
          <t>2000-01-12</t>
        </is>
      </c>
      <c r="AA1657" t="n">
        <v>160</v>
      </c>
      <c r="AB1657" t="n">
        <v>136</v>
      </c>
      <c r="AC1657" t="n">
        <v>136</v>
      </c>
      <c r="AD1657" t="n">
        <v>1</v>
      </c>
      <c r="AE1657" t="n">
        <v>1</v>
      </c>
      <c r="AF1657" t="n">
        <v>4</v>
      </c>
      <c r="AG1657" t="n">
        <v>4</v>
      </c>
      <c r="AH1657" t="n">
        <v>1</v>
      </c>
      <c r="AI1657" t="n">
        <v>1</v>
      </c>
      <c r="AJ1657" t="n">
        <v>1</v>
      </c>
      <c r="AK1657" t="n">
        <v>1</v>
      </c>
      <c r="AL1657" t="n">
        <v>3</v>
      </c>
      <c r="AM1657" t="n">
        <v>3</v>
      </c>
      <c r="AN1657" t="n">
        <v>0</v>
      </c>
      <c r="AO1657" t="n">
        <v>0</v>
      </c>
      <c r="AP1657" t="n">
        <v>0</v>
      </c>
      <c r="AQ1657" t="n">
        <v>0</v>
      </c>
      <c r="AR1657" t="inlineStr">
        <is>
          <t>No</t>
        </is>
      </c>
      <c r="AS1657" t="inlineStr">
        <is>
          <t>No</t>
        </is>
      </c>
      <c r="AU1657">
        <f>HYPERLINK("https://creighton-primo.hosted.exlibrisgroup.com/primo-explore/search?tab=default_tab&amp;search_scope=EVERYTHING&amp;vid=01CRU&amp;lang=en_US&amp;offset=0&amp;query=any,contains,991001411569702656","Catalog Record")</f>
        <v/>
      </c>
      <c r="AV1657">
        <f>HYPERLINK("http://www.worldcat.org/oclc/38528401","WorldCat Record")</f>
        <v/>
      </c>
      <c r="AW1657" t="inlineStr">
        <is>
          <t>42110942:eng</t>
        </is>
      </c>
      <c r="AX1657" t="inlineStr">
        <is>
          <t>38528401</t>
        </is>
      </c>
      <c r="AY1657" t="inlineStr">
        <is>
          <t>991001411569702656</t>
        </is>
      </c>
      <c r="AZ1657" t="inlineStr">
        <is>
          <t>991001411569702656</t>
        </is>
      </c>
      <c r="BA1657" t="inlineStr">
        <is>
          <t>2266512620002656</t>
        </is>
      </c>
      <c r="BB1657" t="inlineStr">
        <is>
          <t>BOOK</t>
        </is>
      </c>
      <c r="BD1657" t="inlineStr">
        <is>
          <t>9780803602304</t>
        </is>
      </c>
      <c r="BE1657" t="inlineStr">
        <is>
          <t>30001003890326</t>
        </is>
      </c>
      <c r="BF1657" t="inlineStr">
        <is>
          <t>893552474</t>
        </is>
      </c>
    </row>
    <row r="1658">
      <c r="A1658" t="inlineStr">
        <is>
          <t>No</t>
        </is>
      </c>
      <c r="B1658" t="inlineStr">
        <is>
          <t>CUHSL</t>
        </is>
      </c>
      <c r="C1658" t="inlineStr">
        <is>
          <t>SHELVES</t>
        </is>
      </c>
      <c r="D1658" t="inlineStr">
        <is>
          <t>WY 159 J23p 1998</t>
        </is>
      </c>
      <c r="E1658" t="inlineStr">
        <is>
          <t>0                      WY 0159000J  23p         1998</t>
        </is>
      </c>
      <c r="F1658" t="inlineStr">
        <is>
          <t>Pediatric nursing care plans / Marie Jaffe.</t>
        </is>
      </c>
      <c r="H1658" t="inlineStr">
        <is>
          <t>No</t>
        </is>
      </c>
      <c r="I1658" t="inlineStr">
        <is>
          <t>1</t>
        </is>
      </c>
      <c r="J1658" t="inlineStr">
        <is>
          <t>No</t>
        </is>
      </c>
      <c r="K1658" t="inlineStr">
        <is>
          <t>No</t>
        </is>
      </c>
      <c r="L1658" t="inlineStr">
        <is>
          <t>0</t>
        </is>
      </c>
      <c r="M1658" t="inlineStr">
        <is>
          <t>Jaffe, Marie S.</t>
        </is>
      </c>
      <c r="N1658" t="inlineStr">
        <is>
          <t>Englewood, Colo. : Skidmore-Roth Pub., c1998.</t>
        </is>
      </c>
      <c r="O1658" t="inlineStr">
        <is>
          <t>1998</t>
        </is>
      </c>
      <c r="P1658" t="inlineStr">
        <is>
          <t>2nd ed. / revised by Verna Hendricks-Ferguson ... [et al.].</t>
        </is>
      </c>
      <c r="Q1658" t="inlineStr">
        <is>
          <t>eng</t>
        </is>
      </c>
      <c r="R1658" t="inlineStr">
        <is>
          <t>cou</t>
        </is>
      </c>
      <c r="T1658" t="inlineStr">
        <is>
          <t xml:space="preserve">WY </t>
        </is>
      </c>
      <c r="U1658" t="n">
        <v>11</v>
      </c>
      <c r="V1658" t="n">
        <v>11</v>
      </c>
      <c r="W1658" t="inlineStr">
        <is>
          <t>2006-10-21</t>
        </is>
      </c>
      <c r="X1658" t="inlineStr">
        <is>
          <t>2006-10-21</t>
        </is>
      </c>
      <c r="Y1658" t="inlineStr">
        <is>
          <t>1998-05-06</t>
        </is>
      </c>
      <c r="Z1658" t="inlineStr">
        <is>
          <t>1998-05-06</t>
        </is>
      </c>
      <c r="AA1658" t="n">
        <v>173</v>
      </c>
      <c r="AB1658" t="n">
        <v>149</v>
      </c>
      <c r="AC1658" t="n">
        <v>249</v>
      </c>
      <c r="AD1658" t="n">
        <v>1</v>
      </c>
      <c r="AE1658" t="n">
        <v>2</v>
      </c>
      <c r="AF1658" t="n">
        <v>3</v>
      </c>
      <c r="AG1658" t="n">
        <v>5</v>
      </c>
      <c r="AH1658" t="n">
        <v>2</v>
      </c>
      <c r="AI1658" t="n">
        <v>2</v>
      </c>
      <c r="AJ1658" t="n">
        <v>0</v>
      </c>
      <c r="AK1658" t="n">
        <v>1</v>
      </c>
      <c r="AL1658" t="n">
        <v>1</v>
      </c>
      <c r="AM1658" t="n">
        <v>3</v>
      </c>
      <c r="AN1658" t="n">
        <v>0</v>
      </c>
      <c r="AO1658" t="n">
        <v>0</v>
      </c>
      <c r="AP1658" t="n">
        <v>0</v>
      </c>
      <c r="AQ1658" t="n">
        <v>0</v>
      </c>
      <c r="AR1658" t="inlineStr">
        <is>
          <t>No</t>
        </is>
      </c>
      <c r="AS1658" t="inlineStr">
        <is>
          <t>Yes</t>
        </is>
      </c>
      <c r="AT1658">
        <f>HYPERLINK("http://catalog.hathitrust.org/Record/003975419","HathiTrust Record")</f>
        <v/>
      </c>
      <c r="AU1658">
        <f>HYPERLINK("https://creighton-primo.hosted.exlibrisgroup.com/primo-explore/search?tab=default_tab&amp;search_scope=EVERYTHING&amp;vid=01CRU&amp;lang=en_US&amp;offset=0&amp;query=any,contains,991001566959702656","Catalog Record")</f>
        <v/>
      </c>
      <c r="AV1658">
        <f>HYPERLINK("http://www.worldcat.org/oclc/38976539","WorldCat Record")</f>
        <v/>
      </c>
      <c r="AW1658" t="inlineStr">
        <is>
          <t>30304348:eng</t>
        </is>
      </c>
      <c r="AX1658" t="inlineStr">
        <is>
          <t>38976539</t>
        </is>
      </c>
      <c r="AY1658" t="inlineStr">
        <is>
          <t>991001566959702656</t>
        </is>
      </c>
      <c r="AZ1658" t="inlineStr">
        <is>
          <t>991001566959702656</t>
        </is>
      </c>
      <c r="BA1658" t="inlineStr">
        <is>
          <t>2263279420002656</t>
        </is>
      </c>
      <c r="BB1658" t="inlineStr">
        <is>
          <t>BOOK</t>
        </is>
      </c>
      <c r="BD1658" t="inlineStr">
        <is>
          <t>9781569300572</t>
        </is>
      </c>
      <c r="BE1658" t="inlineStr">
        <is>
          <t>30001004176394</t>
        </is>
      </c>
      <c r="BF1658" t="inlineStr">
        <is>
          <t>893369484</t>
        </is>
      </c>
    </row>
    <row r="1659">
      <c r="A1659" t="inlineStr">
        <is>
          <t>No</t>
        </is>
      </c>
      <c r="B1659" t="inlineStr">
        <is>
          <t>CUHSL</t>
        </is>
      </c>
      <c r="C1659" t="inlineStr">
        <is>
          <t>SHELVES</t>
        </is>
      </c>
      <c r="D1659" t="inlineStr">
        <is>
          <t>WY 159 J43e</t>
        </is>
      </c>
      <c r="E1659" t="inlineStr">
        <is>
          <t>0                      WY 0159000J  43e</t>
        </is>
      </c>
      <c r="F1659" t="inlineStr">
        <is>
          <t>Essentials of pediatrics / by Philip C. Jeans, Winifred Rand, Florence G. Blake ; 86 illustrations and 9 subjects in color.</t>
        </is>
      </c>
      <c r="H1659" t="inlineStr">
        <is>
          <t>No</t>
        </is>
      </c>
      <c r="I1659" t="inlineStr">
        <is>
          <t>1</t>
        </is>
      </c>
      <c r="J1659" t="inlineStr">
        <is>
          <t>No</t>
        </is>
      </c>
      <c r="K1659" t="inlineStr">
        <is>
          <t>No</t>
        </is>
      </c>
      <c r="L1659" t="inlineStr">
        <is>
          <t>0</t>
        </is>
      </c>
      <c r="M1659" t="inlineStr">
        <is>
          <t>Jeans, Philip C. (Philip Charles), 1883-1952.</t>
        </is>
      </c>
      <c r="N1659" t="inlineStr">
        <is>
          <t>Philadelphia : Montreal [etc.] J.B. Lippincott company, [1946]</t>
        </is>
      </c>
      <c r="O1659" t="inlineStr">
        <is>
          <t>1946</t>
        </is>
      </c>
      <c r="P1659" t="inlineStr">
        <is>
          <t>4th ed.</t>
        </is>
      </c>
      <c r="Q1659" t="inlineStr">
        <is>
          <t>eng</t>
        </is>
      </c>
      <c r="R1659" t="inlineStr">
        <is>
          <t xml:space="preserve">xx </t>
        </is>
      </c>
      <c r="T1659" t="inlineStr">
        <is>
          <t xml:space="preserve">WY </t>
        </is>
      </c>
      <c r="U1659" t="n">
        <v>1</v>
      </c>
      <c r="V1659" t="n">
        <v>1</v>
      </c>
      <c r="W1659" t="inlineStr">
        <is>
          <t>1997-10-09</t>
        </is>
      </c>
      <c r="X1659" t="inlineStr">
        <is>
          <t>1997-10-09</t>
        </is>
      </c>
      <c r="Y1659" t="inlineStr">
        <is>
          <t>1988-01-20</t>
        </is>
      </c>
      <c r="Z1659" t="inlineStr">
        <is>
          <t>1988-01-20</t>
        </is>
      </c>
      <c r="AA1659" t="n">
        <v>85</v>
      </c>
      <c r="AB1659" t="n">
        <v>74</v>
      </c>
      <c r="AC1659" t="n">
        <v>173</v>
      </c>
      <c r="AD1659" t="n">
        <v>1</v>
      </c>
      <c r="AE1659" t="n">
        <v>1</v>
      </c>
      <c r="AF1659" t="n">
        <v>2</v>
      </c>
      <c r="AG1659" t="n">
        <v>3</v>
      </c>
      <c r="AH1659" t="n">
        <v>1</v>
      </c>
      <c r="AI1659" t="n">
        <v>1</v>
      </c>
      <c r="AJ1659" t="n">
        <v>0</v>
      </c>
      <c r="AK1659" t="n">
        <v>1</v>
      </c>
      <c r="AL1659" t="n">
        <v>1</v>
      </c>
      <c r="AM1659" t="n">
        <v>1</v>
      </c>
      <c r="AN1659" t="n">
        <v>0</v>
      </c>
      <c r="AO1659" t="n">
        <v>0</v>
      </c>
      <c r="AP1659" t="n">
        <v>0</v>
      </c>
      <c r="AQ1659" t="n">
        <v>0</v>
      </c>
      <c r="AR1659" t="inlineStr">
        <is>
          <t>No</t>
        </is>
      </c>
      <c r="AS1659" t="inlineStr">
        <is>
          <t>Yes</t>
        </is>
      </c>
      <c r="AT1659">
        <f>HYPERLINK("http://catalog.hathitrust.org/Record/001570107","HathiTrust Record")</f>
        <v/>
      </c>
      <c r="AU1659">
        <f>HYPERLINK("https://creighton-primo.hosted.exlibrisgroup.com/primo-explore/search?tab=default_tab&amp;search_scope=EVERYTHING&amp;vid=01CRU&amp;lang=en_US&amp;offset=0&amp;query=any,contains,991000923319702656","Catalog Record")</f>
        <v/>
      </c>
      <c r="AV1659">
        <f>HYPERLINK("http://www.worldcat.org/oclc/1599732","WorldCat Record")</f>
        <v/>
      </c>
      <c r="AW1659" t="inlineStr">
        <is>
          <t>3372454668:eng</t>
        </is>
      </c>
      <c r="AX1659" t="inlineStr">
        <is>
          <t>1599732</t>
        </is>
      </c>
      <c r="AY1659" t="inlineStr">
        <is>
          <t>991000923319702656</t>
        </is>
      </c>
      <c r="AZ1659" t="inlineStr">
        <is>
          <t>991000923319702656</t>
        </is>
      </c>
      <c r="BA1659" t="inlineStr">
        <is>
          <t>2265108930002656</t>
        </is>
      </c>
      <c r="BB1659" t="inlineStr">
        <is>
          <t>BOOK</t>
        </is>
      </c>
      <c r="BE1659" t="inlineStr">
        <is>
          <t>30001000182255</t>
        </is>
      </c>
      <c r="BF1659" t="inlineStr">
        <is>
          <t>893363538</t>
        </is>
      </c>
    </row>
    <row r="1660">
      <c r="A1660" t="inlineStr">
        <is>
          <t>No</t>
        </is>
      </c>
      <c r="B1660" t="inlineStr">
        <is>
          <t>CUHSL</t>
        </is>
      </c>
      <c r="C1660" t="inlineStr">
        <is>
          <t>SHELVES</t>
        </is>
      </c>
      <c r="D1660" t="inlineStr">
        <is>
          <t>WY 159 K84h 1986</t>
        </is>
      </c>
      <c r="E1660" t="inlineStr">
        <is>
          <t>0                      WY 0159000K  84h         1986</t>
        </is>
      </c>
      <c r="F1660" t="inlineStr">
        <is>
          <t>High-risk newborn infants : the basis for intensive nursing care / Sheldon B. Korones ; with editorial assistance of, and a chapter by, Jean Lancaster.</t>
        </is>
      </c>
      <c r="H1660" t="inlineStr">
        <is>
          <t>No</t>
        </is>
      </c>
      <c r="I1660" t="inlineStr">
        <is>
          <t>1</t>
        </is>
      </c>
      <c r="J1660" t="inlineStr">
        <is>
          <t>No</t>
        </is>
      </c>
      <c r="K1660" t="inlineStr">
        <is>
          <t>Yes</t>
        </is>
      </c>
      <c r="L1660" t="inlineStr">
        <is>
          <t>0</t>
        </is>
      </c>
      <c r="M1660" t="inlineStr">
        <is>
          <t>Korones, Sheldon B., 1924-</t>
        </is>
      </c>
      <c r="N1660" t="inlineStr">
        <is>
          <t>St. Louis : Mosby, c1986.</t>
        </is>
      </c>
      <c r="O1660" t="inlineStr">
        <is>
          <t>1986</t>
        </is>
      </c>
      <c r="P1660" t="inlineStr">
        <is>
          <t>4th ed.</t>
        </is>
      </c>
      <c r="Q1660" t="inlineStr">
        <is>
          <t>eng</t>
        </is>
      </c>
      <c r="R1660" t="inlineStr">
        <is>
          <t>mou</t>
        </is>
      </c>
      <c r="T1660" t="inlineStr">
        <is>
          <t xml:space="preserve">WY </t>
        </is>
      </c>
      <c r="U1660" t="n">
        <v>2</v>
      </c>
      <c r="V1660" t="n">
        <v>2</v>
      </c>
      <c r="W1660" t="inlineStr">
        <is>
          <t>1988-04-10</t>
        </is>
      </c>
      <c r="X1660" t="inlineStr">
        <is>
          <t>1988-04-10</t>
        </is>
      </c>
      <c r="Y1660" t="inlineStr">
        <is>
          <t>1987-10-24</t>
        </is>
      </c>
      <c r="Z1660" t="inlineStr">
        <is>
          <t>1987-10-24</t>
        </is>
      </c>
      <c r="AA1660" t="n">
        <v>349</v>
      </c>
      <c r="AB1660" t="n">
        <v>283</v>
      </c>
      <c r="AC1660" t="n">
        <v>509</v>
      </c>
      <c r="AD1660" t="n">
        <v>2</v>
      </c>
      <c r="AE1660" t="n">
        <v>4</v>
      </c>
      <c r="AF1660" t="n">
        <v>6</v>
      </c>
      <c r="AG1660" t="n">
        <v>13</v>
      </c>
      <c r="AH1660" t="n">
        <v>2</v>
      </c>
      <c r="AI1660" t="n">
        <v>3</v>
      </c>
      <c r="AJ1660" t="n">
        <v>1</v>
      </c>
      <c r="AK1660" t="n">
        <v>3</v>
      </c>
      <c r="AL1660" t="n">
        <v>3</v>
      </c>
      <c r="AM1660" t="n">
        <v>6</v>
      </c>
      <c r="AN1660" t="n">
        <v>0</v>
      </c>
      <c r="AO1660" t="n">
        <v>2</v>
      </c>
      <c r="AP1660" t="n">
        <v>0</v>
      </c>
      <c r="AQ1660" t="n">
        <v>1</v>
      </c>
      <c r="AR1660" t="inlineStr">
        <is>
          <t>No</t>
        </is>
      </c>
      <c r="AS1660" t="inlineStr">
        <is>
          <t>Yes</t>
        </is>
      </c>
      <c r="AT1660">
        <f>HYPERLINK("http://catalog.hathitrust.org/Record/000588278","HathiTrust Record")</f>
        <v/>
      </c>
      <c r="AU1660">
        <f>HYPERLINK("https://creighton-primo.hosted.exlibrisgroup.com/primo-explore/search?tab=default_tab&amp;search_scope=EVERYTHING&amp;vid=01CRU&amp;lang=en_US&amp;offset=0&amp;query=any,contains,991000732239702656","Catalog Record")</f>
        <v/>
      </c>
      <c r="AV1660">
        <f>HYPERLINK("http://www.worldcat.org/oclc/13214910","WorldCat Record")</f>
        <v/>
      </c>
      <c r="AW1660" t="inlineStr">
        <is>
          <t>1476573:eng</t>
        </is>
      </c>
      <c r="AX1660" t="inlineStr">
        <is>
          <t>13214910</t>
        </is>
      </c>
      <c r="AY1660" t="inlineStr">
        <is>
          <t>991000732239702656</t>
        </is>
      </c>
      <c r="AZ1660" t="inlineStr">
        <is>
          <t>991000732239702656</t>
        </is>
      </c>
      <c r="BA1660" t="inlineStr">
        <is>
          <t>2262080860002656</t>
        </is>
      </c>
      <c r="BB1660" t="inlineStr">
        <is>
          <t>BOOK</t>
        </is>
      </c>
      <c r="BD1660" t="inlineStr">
        <is>
          <t>9780801627507</t>
        </is>
      </c>
      <c r="BE1660" t="inlineStr">
        <is>
          <t>30001000040560</t>
        </is>
      </c>
      <c r="BF1660" t="inlineStr">
        <is>
          <t>893540332</t>
        </is>
      </c>
    </row>
    <row r="1661">
      <c r="A1661" t="inlineStr">
        <is>
          <t>No</t>
        </is>
      </c>
      <c r="B1661" t="inlineStr">
        <is>
          <t>CUHSL</t>
        </is>
      </c>
      <c r="C1661" t="inlineStr">
        <is>
          <t>SHELVES</t>
        </is>
      </c>
      <c r="D1661" t="inlineStr">
        <is>
          <t>WY 159 M921n 1990</t>
        </is>
      </c>
      <c r="E1661" t="inlineStr">
        <is>
          <t>0                      WY 0159000M  921n        1990</t>
        </is>
      </c>
      <c r="F1661" t="inlineStr">
        <is>
          <t>Nursing care of children and families / Sandra R. Mott, Susan Rowen James, Arlene M. Sperhac.</t>
        </is>
      </c>
      <c r="H1661" t="inlineStr">
        <is>
          <t>No</t>
        </is>
      </c>
      <c r="I1661" t="inlineStr">
        <is>
          <t>1</t>
        </is>
      </c>
      <c r="J1661" t="inlineStr">
        <is>
          <t>No</t>
        </is>
      </c>
      <c r="K1661" t="inlineStr">
        <is>
          <t>No</t>
        </is>
      </c>
      <c r="L1661" t="inlineStr">
        <is>
          <t>0</t>
        </is>
      </c>
      <c r="M1661" t="inlineStr">
        <is>
          <t>Mott, Sandra R., 1942-</t>
        </is>
      </c>
      <c r="N1661" t="inlineStr">
        <is>
          <t>Redwood City, Calif. : Addison-Wesley Nursing, c1990.</t>
        </is>
      </c>
      <c r="O1661" t="inlineStr">
        <is>
          <t>1990</t>
        </is>
      </c>
      <c r="P1661" t="inlineStr">
        <is>
          <t>2nd ed.</t>
        </is>
      </c>
      <c r="Q1661" t="inlineStr">
        <is>
          <t>eng</t>
        </is>
      </c>
      <c r="R1661" t="inlineStr">
        <is>
          <t>xxu</t>
        </is>
      </c>
      <c r="T1661" t="inlineStr">
        <is>
          <t xml:space="preserve">WY </t>
        </is>
      </c>
      <c r="U1661" t="n">
        <v>13</v>
      </c>
      <c r="V1661" t="n">
        <v>13</v>
      </c>
      <c r="W1661" t="inlineStr">
        <is>
          <t>1997-02-14</t>
        </is>
      </c>
      <c r="X1661" t="inlineStr">
        <is>
          <t>1997-02-14</t>
        </is>
      </c>
      <c r="Y1661" t="inlineStr">
        <is>
          <t>1990-08-16</t>
        </is>
      </c>
      <c r="Z1661" t="inlineStr">
        <is>
          <t>1990-08-16</t>
        </is>
      </c>
      <c r="AA1661" t="n">
        <v>355</v>
      </c>
      <c r="AB1661" t="n">
        <v>291</v>
      </c>
      <c r="AC1661" t="n">
        <v>398</v>
      </c>
      <c r="AD1661" t="n">
        <v>2</v>
      </c>
      <c r="AE1661" t="n">
        <v>2</v>
      </c>
      <c r="AF1661" t="n">
        <v>6</v>
      </c>
      <c r="AG1661" t="n">
        <v>7</v>
      </c>
      <c r="AH1661" t="n">
        <v>2</v>
      </c>
      <c r="AI1661" t="n">
        <v>2</v>
      </c>
      <c r="AJ1661" t="n">
        <v>2</v>
      </c>
      <c r="AK1661" t="n">
        <v>2</v>
      </c>
      <c r="AL1661" t="n">
        <v>4</v>
      </c>
      <c r="AM1661" t="n">
        <v>5</v>
      </c>
      <c r="AN1661" t="n">
        <v>0</v>
      </c>
      <c r="AO1661" t="n">
        <v>0</v>
      </c>
      <c r="AP1661" t="n">
        <v>0</v>
      </c>
      <c r="AQ1661" t="n">
        <v>0</v>
      </c>
      <c r="AR1661" t="inlineStr">
        <is>
          <t>No</t>
        </is>
      </c>
      <c r="AS1661" t="inlineStr">
        <is>
          <t>No</t>
        </is>
      </c>
      <c r="AU1661">
        <f>HYPERLINK("https://creighton-primo.hosted.exlibrisgroup.com/primo-explore/search?tab=default_tab&amp;search_scope=EVERYTHING&amp;vid=01CRU&amp;lang=en_US&amp;offset=0&amp;query=any,contains,991001453859702656","Catalog Record")</f>
        <v/>
      </c>
      <c r="AV1661">
        <f>HYPERLINK("http://www.worldcat.org/oclc/20670239","WorldCat Record")</f>
        <v/>
      </c>
      <c r="AW1661" t="inlineStr">
        <is>
          <t>22319838:eng</t>
        </is>
      </c>
      <c r="AX1661" t="inlineStr">
        <is>
          <t>20670239</t>
        </is>
      </c>
      <c r="AY1661" t="inlineStr">
        <is>
          <t>991001453859702656</t>
        </is>
      </c>
      <c r="AZ1661" t="inlineStr">
        <is>
          <t>991001453859702656</t>
        </is>
      </c>
      <c r="BA1661" t="inlineStr">
        <is>
          <t>2265125930002656</t>
        </is>
      </c>
      <c r="BB1661" t="inlineStr">
        <is>
          <t>BOOK</t>
        </is>
      </c>
      <c r="BD1661" t="inlineStr">
        <is>
          <t>9780201129236</t>
        </is>
      </c>
      <c r="BE1661" t="inlineStr">
        <is>
          <t>30001001884222</t>
        </is>
      </c>
      <c r="BF1661" t="inlineStr">
        <is>
          <t>893557999</t>
        </is>
      </c>
    </row>
    <row r="1662">
      <c r="A1662" t="inlineStr">
        <is>
          <t>No</t>
        </is>
      </c>
      <c r="B1662" t="inlineStr">
        <is>
          <t>CUHSL</t>
        </is>
      </c>
      <c r="C1662" t="inlineStr">
        <is>
          <t>SHELVES</t>
        </is>
      </c>
      <c r="D1662" t="inlineStr">
        <is>
          <t>WY 159 N439 1985</t>
        </is>
      </c>
      <c r="E1662" t="inlineStr">
        <is>
          <t>0                      WY 0159000N  439         1985</t>
        </is>
      </c>
      <c r="F1662" t="inlineStr">
        <is>
          <t>Neonatal nursing : a practical guide / edited by Anne Marie Dazé, John W. Scanlon.</t>
        </is>
      </c>
      <c r="H1662" t="inlineStr">
        <is>
          <t>No</t>
        </is>
      </c>
      <c r="I1662" t="inlineStr">
        <is>
          <t>1</t>
        </is>
      </c>
      <c r="J1662" t="inlineStr">
        <is>
          <t>No</t>
        </is>
      </c>
      <c r="K1662" t="inlineStr">
        <is>
          <t>No</t>
        </is>
      </c>
      <c r="L1662" t="inlineStr">
        <is>
          <t>0</t>
        </is>
      </c>
      <c r="N1662" t="inlineStr">
        <is>
          <t>Baltimore : University Park Press, c1985.</t>
        </is>
      </c>
      <c r="O1662" t="inlineStr">
        <is>
          <t>1985</t>
        </is>
      </c>
      <c r="Q1662" t="inlineStr">
        <is>
          <t>eng</t>
        </is>
      </c>
      <c r="R1662" t="inlineStr">
        <is>
          <t>xxu</t>
        </is>
      </c>
      <c r="T1662" t="inlineStr">
        <is>
          <t xml:space="preserve">WY </t>
        </is>
      </c>
      <c r="U1662" t="n">
        <v>7</v>
      </c>
      <c r="V1662" t="n">
        <v>7</v>
      </c>
      <c r="W1662" t="inlineStr">
        <is>
          <t>1989-11-20</t>
        </is>
      </c>
      <c r="X1662" t="inlineStr">
        <is>
          <t>1989-11-20</t>
        </is>
      </c>
      <c r="Y1662" t="inlineStr">
        <is>
          <t>1987-12-28</t>
        </is>
      </c>
      <c r="Z1662" t="inlineStr">
        <is>
          <t>1987-12-28</t>
        </is>
      </c>
      <c r="AA1662" t="n">
        <v>145</v>
      </c>
      <c r="AB1662" t="n">
        <v>134</v>
      </c>
      <c r="AC1662" t="n">
        <v>150</v>
      </c>
      <c r="AD1662" t="n">
        <v>2</v>
      </c>
      <c r="AE1662" t="n">
        <v>2</v>
      </c>
      <c r="AF1662" t="n">
        <v>3</v>
      </c>
      <c r="AG1662" t="n">
        <v>3</v>
      </c>
      <c r="AH1662" t="n">
        <v>0</v>
      </c>
      <c r="AI1662" t="n">
        <v>0</v>
      </c>
      <c r="AJ1662" t="n">
        <v>0</v>
      </c>
      <c r="AK1662" t="n">
        <v>0</v>
      </c>
      <c r="AL1662" t="n">
        <v>3</v>
      </c>
      <c r="AM1662" t="n">
        <v>3</v>
      </c>
      <c r="AN1662" t="n">
        <v>0</v>
      </c>
      <c r="AO1662" t="n">
        <v>0</v>
      </c>
      <c r="AP1662" t="n">
        <v>0</v>
      </c>
      <c r="AQ1662" t="n">
        <v>0</v>
      </c>
      <c r="AR1662" t="inlineStr">
        <is>
          <t>No</t>
        </is>
      </c>
      <c r="AS1662" t="inlineStr">
        <is>
          <t>Yes</t>
        </is>
      </c>
      <c r="AT1662">
        <f>HYPERLINK("http://catalog.hathitrust.org/Record/000605425","HathiTrust Record")</f>
        <v/>
      </c>
      <c r="AU1662">
        <f>HYPERLINK("https://creighton-primo.hosted.exlibrisgroup.com/primo-explore/search?tab=default_tab&amp;search_scope=EVERYTHING&amp;vid=01CRU&amp;lang=en_US&amp;offset=0&amp;query=any,contains,991000924199702656","Catalog Record")</f>
        <v/>
      </c>
      <c r="AV1662">
        <f>HYPERLINK("http://www.worldcat.org/oclc/11088879","WorldCat Record")</f>
        <v/>
      </c>
      <c r="AW1662" t="inlineStr">
        <is>
          <t>428758878:eng</t>
        </is>
      </c>
      <c r="AX1662" t="inlineStr">
        <is>
          <t>11088879</t>
        </is>
      </c>
      <c r="AY1662" t="inlineStr">
        <is>
          <t>991000924199702656</t>
        </is>
      </c>
      <c r="AZ1662" t="inlineStr">
        <is>
          <t>991000924199702656</t>
        </is>
      </c>
      <c r="BA1662" t="inlineStr">
        <is>
          <t>2261674420002656</t>
        </is>
      </c>
      <c r="BB1662" t="inlineStr">
        <is>
          <t>BOOK</t>
        </is>
      </c>
      <c r="BD1662" t="inlineStr">
        <is>
          <t>9780839118756</t>
        </is>
      </c>
      <c r="BE1662" t="inlineStr">
        <is>
          <t>30001000182461</t>
        </is>
      </c>
      <c r="BF1662" t="inlineStr">
        <is>
          <t>893450618</t>
        </is>
      </c>
    </row>
    <row r="1663">
      <c r="A1663" t="inlineStr">
        <is>
          <t>No</t>
        </is>
      </c>
      <c r="B1663" t="inlineStr">
        <is>
          <t>CUHSL</t>
        </is>
      </c>
      <c r="C1663" t="inlineStr">
        <is>
          <t>SHELVES</t>
        </is>
      </c>
      <c r="D1663" t="inlineStr">
        <is>
          <t>WY 159 N967 1983</t>
        </is>
      </c>
      <c r="E1663" t="inlineStr">
        <is>
          <t>0                      WY 0159000N  967         1983</t>
        </is>
      </c>
      <c r="F1663" t="inlineStr">
        <is>
          <t>Nursing care of infants and children / Lucille F. Whaley, Donna L. Wong [editors].</t>
        </is>
      </c>
      <c r="H1663" t="inlineStr">
        <is>
          <t>No</t>
        </is>
      </c>
      <c r="I1663" t="inlineStr">
        <is>
          <t>1</t>
        </is>
      </c>
      <c r="J1663" t="inlineStr">
        <is>
          <t>No</t>
        </is>
      </c>
      <c r="K1663" t="inlineStr">
        <is>
          <t>No</t>
        </is>
      </c>
      <c r="L1663" t="inlineStr">
        <is>
          <t>0</t>
        </is>
      </c>
      <c r="N1663" t="inlineStr">
        <is>
          <t>St. Louis : Mosby, c1983.</t>
        </is>
      </c>
      <c r="O1663" t="inlineStr">
        <is>
          <t>1983</t>
        </is>
      </c>
      <c r="P1663" t="inlineStr">
        <is>
          <t>2nd ed.</t>
        </is>
      </c>
      <c r="Q1663" t="inlineStr">
        <is>
          <t>eng</t>
        </is>
      </c>
      <c r="R1663" t="inlineStr">
        <is>
          <t>xxu</t>
        </is>
      </c>
      <c r="T1663" t="inlineStr">
        <is>
          <t xml:space="preserve">WY </t>
        </is>
      </c>
      <c r="U1663" t="n">
        <v>8</v>
      </c>
      <c r="V1663" t="n">
        <v>8</v>
      </c>
      <c r="W1663" t="inlineStr">
        <is>
          <t>1990-07-25</t>
        </is>
      </c>
      <c r="X1663" t="inlineStr">
        <is>
          <t>1990-07-25</t>
        </is>
      </c>
      <c r="Y1663" t="inlineStr">
        <is>
          <t>1987-10-24</t>
        </is>
      </c>
      <c r="Z1663" t="inlineStr">
        <is>
          <t>1987-10-24</t>
        </is>
      </c>
      <c r="AA1663" t="n">
        <v>235</v>
      </c>
      <c r="AB1663" t="n">
        <v>193</v>
      </c>
      <c r="AC1663" t="n">
        <v>557</v>
      </c>
      <c r="AD1663" t="n">
        <v>1</v>
      </c>
      <c r="AE1663" t="n">
        <v>4</v>
      </c>
      <c r="AF1663" t="n">
        <v>4</v>
      </c>
      <c r="AG1663" t="n">
        <v>11</v>
      </c>
      <c r="AH1663" t="n">
        <v>1</v>
      </c>
      <c r="AI1663" t="n">
        <v>3</v>
      </c>
      <c r="AJ1663" t="n">
        <v>0</v>
      </c>
      <c r="AK1663" t="n">
        <v>2</v>
      </c>
      <c r="AL1663" t="n">
        <v>3</v>
      </c>
      <c r="AM1663" t="n">
        <v>7</v>
      </c>
      <c r="AN1663" t="n">
        <v>0</v>
      </c>
      <c r="AO1663" t="n">
        <v>1</v>
      </c>
      <c r="AP1663" t="n">
        <v>0</v>
      </c>
      <c r="AQ1663" t="n">
        <v>0</v>
      </c>
      <c r="AR1663" t="inlineStr">
        <is>
          <t>No</t>
        </is>
      </c>
      <c r="AS1663" t="inlineStr">
        <is>
          <t>No</t>
        </is>
      </c>
      <c r="AU1663">
        <f>HYPERLINK("https://creighton-primo.hosted.exlibrisgroup.com/primo-explore/search?tab=default_tab&amp;search_scope=EVERYTHING&amp;vid=01CRU&amp;lang=en_US&amp;offset=0&amp;query=any,contains,991000732119702656","Catalog Record")</f>
        <v/>
      </c>
      <c r="AV1663">
        <f>HYPERLINK("http://www.worldcat.org/oclc/8475294","WorldCat Record")</f>
        <v/>
      </c>
      <c r="AW1663" t="inlineStr">
        <is>
          <t>3901077483:eng</t>
        </is>
      </c>
      <c r="AX1663" t="inlineStr">
        <is>
          <t>8475294</t>
        </is>
      </c>
      <c r="AY1663" t="inlineStr">
        <is>
          <t>991000732119702656</t>
        </is>
      </c>
      <c r="AZ1663" t="inlineStr">
        <is>
          <t>991000732119702656</t>
        </is>
      </c>
      <c r="BA1663" t="inlineStr">
        <is>
          <t>2271506360002656</t>
        </is>
      </c>
      <c r="BB1663" t="inlineStr">
        <is>
          <t>BOOK</t>
        </is>
      </c>
      <c r="BD1663" t="inlineStr">
        <is>
          <t>9780801654190</t>
        </is>
      </c>
      <c r="BE1663" t="inlineStr">
        <is>
          <t>30001000040511</t>
        </is>
      </c>
      <c r="BF1663" t="inlineStr">
        <is>
          <t>893160946</t>
        </is>
      </c>
    </row>
    <row r="1664">
      <c r="A1664" t="inlineStr">
        <is>
          <t>No</t>
        </is>
      </c>
      <c r="B1664" t="inlineStr">
        <is>
          <t>CUHSL</t>
        </is>
      </c>
      <c r="C1664" t="inlineStr">
        <is>
          <t>SHELVES</t>
        </is>
      </c>
      <c r="D1664" t="inlineStr">
        <is>
          <t>WY 159 N9738 1983</t>
        </is>
      </c>
      <c r="E1664" t="inlineStr">
        <is>
          <t>0                      WY 0159000N  9738        1983</t>
        </is>
      </c>
      <c r="F1664" t="inlineStr">
        <is>
          <t>Nursing and the management of pediatric communication disorders / edited by Susan J. Shanks.</t>
        </is>
      </c>
      <c r="H1664" t="inlineStr">
        <is>
          <t>No</t>
        </is>
      </c>
      <c r="I1664" t="inlineStr">
        <is>
          <t>1</t>
        </is>
      </c>
      <c r="J1664" t="inlineStr">
        <is>
          <t>No</t>
        </is>
      </c>
      <c r="K1664" t="inlineStr">
        <is>
          <t>No</t>
        </is>
      </c>
      <c r="L1664" t="inlineStr">
        <is>
          <t>0</t>
        </is>
      </c>
      <c r="N1664" t="inlineStr">
        <is>
          <t>San Diego, CA : College-Hill Press, c1983.</t>
        </is>
      </c>
      <c r="O1664" t="inlineStr">
        <is>
          <t>1983</t>
        </is>
      </c>
      <c r="Q1664" t="inlineStr">
        <is>
          <t>eng</t>
        </is>
      </c>
      <c r="R1664" t="inlineStr">
        <is>
          <t>xxu</t>
        </is>
      </c>
      <c r="T1664" t="inlineStr">
        <is>
          <t xml:space="preserve">WY </t>
        </is>
      </c>
      <c r="U1664" t="n">
        <v>2</v>
      </c>
      <c r="V1664" t="n">
        <v>2</v>
      </c>
      <c r="W1664" t="inlineStr">
        <is>
          <t>1993-02-02</t>
        </is>
      </c>
      <c r="X1664" t="inlineStr">
        <is>
          <t>1993-02-02</t>
        </is>
      </c>
      <c r="Y1664" t="inlineStr">
        <is>
          <t>1987-12-28</t>
        </is>
      </c>
      <c r="Z1664" t="inlineStr">
        <is>
          <t>1987-12-28</t>
        </is>
      </c>
      <c r="AA1664" t="n">
        <v>270</v>
      </c>
      <c r="AB1664" t="n">
        <v>236</v>
      </c>
      <c r="AC1664" t="n">
        <v>243</v>
      </c>
      <c r="AD1664" t="n">
        <v>3</v>
      </c>
      <c r="AE1664" t="n">
        <v>3</v>
      </c>
      <c r="AF1664" t="n">
        <v>13</v>
      </c>
      <c r="AG1664" t="n">
        <v>13</v>
      </c>
      <c r="AH1664" t="n">
        <v>5</v>
      </c>
      <c r="AI1664" t="n">
        <v>5</v>
      </c>
      <c r="AJ1664" t="n">
        <v>2</v>
      </c>
      <c r="AK1664" t="n">
        <v>2</v>
      </c>
      <c r="AL1664" t="n">
        <v>7</v>
      </c>
      <c r="AM1664" t="n">
        <v>7</v>
      </c>
      <c r="AN1664" t="n">
        <v>2</v>
      </c>
      <c r="AO1664" t="n">
        <v>2</v>
      </c>
      <c r="AP1664" t="n">
        <v>0</v>
      </c>
      <c r="AQ1664" t="n">
        <v>0</v>
      </c>
      <c r="AR1664" t="inlineStr">
        <is>
          <t>No</t>
        </is>
      </c>
      <c r="AS1664" t="inlineStr">
        <is>
          <t>Yes</t>
        </is>
      </c>
      <c r="AT1664">
        <f>HYPERLINK("http://catalog.hathitrust.org/Record/000206893","HathiTrust Record")</f>
        <v/>
      </c>
      <c r="AU1664">
        <f>HYPERLINK("https://creighton-primo.hosted.exlibrisgroup.com/primo-explore/search?tab=default_tab&amp;search_scope=EVERYTHING&amp;vid=01CRU&amp;lang=en_US&amp;offset=0&amp;query=any,contains,991000924399702656","Catalog Record")</f>
        <v/>
      </c>
      <c r="AV1664">
        <f>HYPERLINK("http://www.worldcat.org/oclc/9197330","WorldCat Record")</f>
        <v/>
      </c>
      <c r="AW1664" t="inlineStr">
        <is>
          <t>3859622155:eng</t>
        </is>
      </c>
      <c r="AX1664" t="inlineStr">
        <is>
          <t>9197330</t>
        </is>
      </c>
      <c r="AY1664" t="inlineStr">
        <is>
          <t>991000924399702656</t>
        </is>
      </c>
      <c r="AZ1664" t="inlineStr">
        <is>
          <t>991000924399702656</t>
        </is>
      </c>
      <c r="BA1664" t="inlineStr">
        <is>
          <t>2266629820002656</t>
        </is>
      </c>
      <c r="BB1664" t="inlineStr">
        <is>
          <t>BOOK</t>
        </is>
      </c>
      <c r="BD1664" t="inlineStr">
        <is>
          <t>9780933014855</t>
        </is>
      </c>
      <c r="BE1664" t="inlineStr">
        <is>
          <t>30001000182537</t>
        </is>
      </c>
      <c r="BF1664" t="inlineStr">
        <is>
          <t>893467725</t>
        </is>
      </c>
    </row>
    <row r="1665">
      <c r="A1665" t="inlineStr">
        <is>
          <t>No</t>
        </is>
      </c>
      <c r="B1665" t="inlineStr">
        <is>
          <t>CUHSL</t>
        </is>
      </c>
      <c r="C1665" t="inlineStr">
        <is>
          <t>SHELVES</t>
        </is>
      </c>
      <c r="D1665" t="inlineStr">
        <is>
          <t>WY 159 N97384 1986</t>
        </is>
      </c>
      <c r="E1665" t="inlineStr">
        <is>
          <t>0                      WY 0159000N  97384       1986</t>
        </is>
      </c>
      <c r="F1665" t="inlineStr">
        <is>
          <t>Nursing assessment and strategies for the family at risk / [edited by] Suzanne Hall Johnson.</t>
        </is>
      </c>
      <c r="H1665" t="inlineStr">
        <is>
          <t>No</t>
        </is>
      </c>
      <c r="I1665" t="inlineStr">
        <is>
          <t>1</t>
        </is>
      </c>
      <c r="J1665" t="inlineStr">
        <is>
          <t>No</t>
        </is>
      </c>
      <c r="K1665" t="inlineStr">
        <is>
          <t>No</t>
        </is>
      </c>
      <c r="L1665" t="inlineStr">
        <is>
          <t>0</t>
        </is>
      </c>
      <c r="N1665" t="inlineStr">
        <is>
          <t>Philadelphia : Lippincott, c1986.</t>
        </is>
      </c>
      <c r="O1665" t="inlineStr">
        <is>
          <t>1986</t>
        </is>
      </c>
      <c r="P1665" t="inlineStr">
        <is>
          <t>2nd ed.</t>
        </is>
      </c>
      <c r="Q1665" t="inlineStr">
        <is>
          <t>eng</t>
        </is>
      </c>
      <c r="R1665" t="inlineStr">
        <is>
          <t>xxu</t>
        </is>
      </c>
      <c r="T1665" t="inlineStr">
        <is>
          <t xml:space="preserve">WY </t>
        </is>
      </c>
      <c r="U1665" t="n">
        <v>9</v>
      </c>
      <c r="V1665" t="n">
        <v>9</v>
      </c>
      <c r="W1665" t="inlineStr">
        <is>
          <t>1993-07-17</t>
        </is>
      </c>
      <c r="X1665" t="inlineStr">
        <is>
          <t>1993-07-17</t>
        </is>
      </c>
      <c r="Y1665" t="inlineStr">
        <is>
          <t>1987-12-28</t>
        </is>
      </c>
      <c r="Z1665" t="inlineStr">
        <is>
          <t>1987-12-28</t>
        </is>
      </c>
      <c r="AA1665" t="n">
        <v>233</v>
      </c>
      <c r="AB1665" t="n">
        <v>186</v>
      </c>
      <c r="AC1665" t="n">
        <v>188</v>
      </c>
      <c r="AD1665" t="n">
        <v>2</v>
      </c>
      <c r="AE1665" t="n">
        <v>2</v>
      </c>
      <c r="AF1665" t="n">
        <v>7</v>
      </c>
      <c r="AG1665" t="n">
        <v>7</v>
      </c>
      <c r="AH1665" t="n">
        <v>3</v>
      </c>
      <c r="AI1665" t="n">
        <v>3</v>
      </c>
      <c r="AJ1665" t="n">
        <v>1</v>
      </c>
      <c r="AK1665" t="n">
        <v>1</v>
      </c>
      <c r="AL1665" t="n">
        <v>4</v>
      </c>
      <c r="AM1665" t="n">
        <v>4</v>
      </c>
      <c r="AN1665" t="n">
        <v>1</v>
      </c>
      <c r="AO1665" t="n">
        <v>1</v>
      </c>
      <c r="AP1665" t="n">
        <v>0</v>
      </c>
      <c r="AQ1665" t="n">
        <v>0</v>
      </c>
      <c r="AR1665" t="inlineStr">
        <is>
          <t>No</t>
        </is>
      </c>
      <c r="AS1665" t="inlineStr">
        <is>
          <t>Yes</t>
        </is>
      </c>
      <c r="AT1665">
        <f>HYPERLINK("http://catalog.hathitrust.org/Record/000433344","HathiTrust Record")</f>
        <v/>
      </c>
      <c r="AU1665">
        <f>HYPERLINK("https://creighton-primo.hosted.exlibrisgroup.com/primo-explore/search?tab=default_tab&amp;search_scope=EVERYTHING&amp;vid=01CRU&amp;lang=en_US&amp;offset=0&amp;query=any,contains,991000924559702656","Catalog Record")</f>
        <v/>
      </c>
      <c r="AV1665">
        <f>HYPERLINK("http://www.worldcat.org/oclc/12344220","WorldCat Record")</f>
        <v/>
      </c>
      <c r="AW1665" t="inlineStr">
        <is>
          <t>836724321:eng</t>
        </is>
      </c>
      <c r="AX1665" t="inlineStr">
        <is>
          <t>12344220</t>
        </is>
      </c>
      <c r="AY1665" t="inlineStr">
        <is>
          <t>991000924559702656</t>
        </is>
      </c>
      <c r="AZ1665" t="inlineStr">
        <is>
          <t>991000924559702656</t>
        </is>
      </c>
      <c r="BA1665" t="inlineStr">
        <is>
          <t>2271881530002656</t>
        </is>
      </c>
      <c r="BB1665" t="inlineStr">
        <is>
          <t>BOOK</t>
        </is>
      </c>
      <c r="BD1665" t="inlineStr">
        <is>
          <t>9780397545667</t>
        </is>
      </c>
      <c r="BE1665" t="inlineStr">
        <is>
          <t>30001000182560</t>
        </is>
      </c>
      <c r="BF1665" t="inlineStr">
        <is>
          <t>893560772</t>
        </is>
      </c>
    </row>
    <row r="1666">
      <c r="A1666" t="inlineStr">
        <is>
          <t>No</t>
        </is>
      </c>
      <c r="B1666" t="inlineStr">
        <is>
          <t>CUHSL</t>
        </is>
      </c>
      <c r="C1666" t="inlineStr">
        <is>
          <t>SHELVES</t>
        </is>
      </c>
      <c r="D1666" t="inlineStr">
        <is>
          <t>WY 159 N973946 1988</t>
        </is>
      </c>
      <c r="E1666" t="inlineStr">
        <is>
          <t>0                      WY 0159000N  973946      1988</t>
        </is>
      </c>
      <c r="F1666" t="inlineStr">
        <is>
          <t>Nursing care plans for the child : a nursing diagnosis approach / Patricia Schafer ... [et al.].</t>
        </is>
      </c>
      <c r="H1666" t="inlineStr">
        <is>
          <t>No</t>
        </is>
      </c>
      <c r="I1666" t="inlineStr">
        <is>
          <t>1</t>
        </is>
      </c>
      <c r="J1666" t="inlineStr">
        <is>
          <t>No</t>
        </is>
      </c>
      <c r="K1666" t="inlineStr">
        <is>
          <t>No</t>
        </is>
      </c>
      <c r="L1666" t="inlineStr">
        <is>
          <t>0</t>
        </is>
      </c>
      <c r="N1666" t="inlineStr">
        <is>
          <t>Norwalk, CT : Appleton &amp; Lange, c1988.</t>
        </is>
      </c>
      <c r="O1666" t="inlineStr">
        <is>
          <t>1988</t>
        </is>
      </c>
      <c r="Q1666" t="inlineStr">
        <is>
          <t>eng</t>
        </is>
      </c>
      <c r="R1666" t="inlineStr">
        <is>
          <t>xxu</t>
        </is>
      </c>
      <c r="T1666" t="inlineStr">
        <is>
          <t xml:space="preserve">WY </t>
        </is>
      </c>
      <c r="U1666" t="n">
        <v>7</v>
      </c>
      <c r="V1666" t="n">
        <v>7</v>
      </c>
      <c r="W1666" t="inlineStr">
        <is>
          <t>1991-08-04</t>
        </is>
      </c>
      <c r="X1666" t="inlineStr">
        <is>
          <t>1991-08-04</t>
        </is>
      </c>
      <c r="Y1666" t="inlineStr">
        <is>
          <t>1989-01-28</t>
        </is>
      </c>
      <c r="Z1666" t="inlineStr">
        <is>
          <t>1989-01-28</t>
        </is>
      </c>
      <c r="AA1666" t="n">
        <v>140</v>
      </c>
      <c r="AB1666" t="n">
        <v>108</v>
      </c>
      <c r="AC1666" t="n">
        <v>110</v>
      </c>
      <c r="AD1666" t="n">
        <v>1</v>
      </c>
      <c r="AE1666" t="n">
        <v>1</v>
      </c>
      <c r="AF1666" t="n">
        <v>3</v>
      </c>
      <c r="AG1666" t="n">
        <v>3</v>
      </c>
      <c r="AH1666" t="n">
        <v>0</v>
      </c>
      <c r="AI1666" t="n">
        <v>0</v>
      </c>
      <c r="AJ1666" t="n">
        <v>2</v>
      </c>
      <c r="AK1666" t="n">
        <v>2</v>
      </c>
      <c r="AL1666" t="n">
        <v>2</v>
      </c>
      <c r="AM1666" t="n">
        <v>2</v>
      </c>
      <c r="AN1666" t="n">
        <v>0</v>
      </c>
      <c r="AO1666" t="n">
        <v>0</v>
      </c>
      <c r="AP1666" t="n">
        <v>0</v>
      </c>
      <c r="AQ1666" t="n">
        <v>0</v>
      </c>
      <c r="AR1666" t="inlineStr">
        <is>
          <t>No</t>
        </is>
      </c>
      <c r="AS1666" t="inlineStr">
        <is>
          <t>Yes</t>
        </is>
      </c>
      <c r="AT1666">
        <f>HYPERLINK("http://catalog.hathitrust.org/Record/001303679","HathiTrust Record")</f>
        <v/>
      </c>
      <c r="AU1666">
        <f>HYPERLINK("https://creighton-primo.hosted.exlibrisgroup.com/primo-explore/search?tab=default_tab&amp;search_scope=EVERYTHING&amp;vid=01CRU&amp;lang=en_US&amp;offset=0&amp;query=any,contains,991001116889702656","Catalog Record")</f>
        <v/>
      </c>
      <c r="AV1666">
        <f>HYPERLINK("http://www.worldcat.org/oclc/17953849","WorldCat Record")</f>
        <v/>
      </c>
      <c r="AW1666" t="inlineStr">
        <is>
          <t>931555926:eng</t>
        </is>
      </c>
      <c r="AX1666" t="inlineStr">
        <is>
          <t>17953849</t>
        </is>
      </c>
      <c r="AY1666" t="inlineStr">
        <is>
          <t>991001116889702656</t>
        </is>
      </c>
      <c r="AZ1666" t="inlineStr">
        <is>
          <t>991001116889702656</t>
        </is>
      </c>
      <c r="BA1666" t="inlineStr">
        <is>
          <t>2263028450002656</t>
        </is>
      </c>
      <c r="BB1666" t="inlineStr">
        <is>
          <t>BOOK</t>
        </is>
      </c>
      <c r="BD1666" t="inlineStr">
        <is>
          <t>9780838578032</t>
        </is>
      </c>
      <c r="BE1666" t="inlineStr">
        <is>
          <t>30001001613530</t>
        </is>
      </c>
      <c r="BF1666" t="inlineStr">
        <is>
          <t>893363783</t>
        </is>
      </c>
    </row>
    <row r="1667">
      <c r="A1667" t="inlineStr">
        <is>
          <t>No</t>
        </is>
      </c>
      <c r="B1667" t="inlineStr">
        <is>
          <t>CUHSL</t>
        </is>
      </c>
      <c r="C1667" t="inlineStr">
        <is>
          <t>SHELVES</t>
        </is>
      </c>
      <c r="D1667" t="inlineStr">
        <is>
          <t>WY 159 N97396 1987</t>
        </is>
      </c>
      <c r="E1667" t="inlineStr">
        <is>
          <t>0                      WY 0159000N  97396       1987</t>
        </is>
      </c>
      <c r="F1667" t="inlineStr">
        <is>
          <t>Nursing care plans for the pediatric patient / the Children's Hospital and Medical Center ; edited by Nancy Pomerhn Nelson and Julie Beckel.</t>
        </is>
      </c>
      <c r="H1667" t="inlineStr">
        <is>
          <t>No</t>
        </is>
      </c>
      <c r="I1667" t="inlineStr">
        <is>
          <t>1</t>
        </is>
      </c>
      <c r="J1667" t="inlineStr">
        <is>
          <t>No</t>
        </is>
      </c>
      <c r="K1667" t="inlineStr">
        <is>
          <t>No</t>
        </is>
      </c>
      <c r="L1667" t="inlineStr">
        <is>
          <t>0</t>
        </is>
      </c>
      <c r="N1667" t="inlineStr">
        <is>
          <t>St. Louis : Mosby, c1987.</t>
        </is>
      </c>
      <c r="O1667" t="inlineStr">
        <is>
          <t>1987</t>
        </is>
      </c>
      <c r="P1667" t="inlineStr">
        <is>
          <t>1st ed.</t>
        </is>
      </c>
      <c r="Q1667" t="inlineStr">
        <is>
          <t>eng</t>
        </is>
      </c>
      <c r="R1667" t="inlineStr">
        <is>
          <t>mou</t>
        </is>
      </c>
      <c r="T1667" t="inlineStr">
        <is>
          <t xml:space="preserve">WY </t>
        </is>
      </c>
      <c r="U1667" t="n">
        <v>11</v>
      </c>
      <c r="V1667" t="n">
        <v>11</v>
      </c>
      <c r="W1667" t="inlineStr">
        <is>
          <t>1995-03-19</t>
        </is>
      </c>
      <c r="X1667" t="inlineStr">
        <is>
          <t>1995-03-19</t>
        </is>
      </c>
      <c r="Y1667" t="inlineStr">
        <is>
          <t>1987-10-24</t>
        </is>
      </c>
      <c r="Z1667" t="inlineStr">
        <is>
          <t>1987-10-24</t>
        </is>
      </c>
      <c r="AA1667" t="n">
        <v>217</v>
      </c>
      <c r="AB1667" t="n">
        <v>175</v>
      </c>
      <c r="AC1667" t="n">
        <v>202</v>
      </c>
      <c r="AD1667" t="n">
        <v>2</v>
      </c>
      <c r="AE1667" t="n">
        <v>3</v>
      </c>
      <c r="AF1667" t="n">
        <v>5</v>
      </c>
      <c r="AG1667" t="n">
        <v>6</v>
      </c>
      <c r="AH1667" t="n">
        <v>1</v>
      </c>
      <c r="AI1667" t="n">
        <v>1</v>
      </c>
      <c r="AJ1667" t="n">
        <v>2</v>
      </c>
      <c r="AK1667" t="n">
        <v>2</v>
      </c>
      <c r="AL1667" t="n">
        <v>3</v>
      </c>
      <c r="AM1667" t="n">
        <v>3</v>
      </c>
      <c r="AN1667" t="n">
        <v>0</v>
      </c>
      <c r="AO1667" t="n">
        <v>1</v>
      </c>
      <c r="AP1667" t="n">
        <v>0</v>
      </c>
      <c r="AQ1667" t="n">
        <v>0</v>
      </c>
      <c r="AR1667" t="inlineStr">
        <is>
          <t>No</t>
        </is>
      </c>
      <c r="AS1667" t="inlineStr">
        <is>
          <t>Yes</t>
        </is>
      </c>
      <c r="AT1667">
        <f>HYPERLINK("http://catalog.hathitrust.org/Record/000812355","HathiTrust Record")</f>
        <v/>
      </c>
      <c r="AU1667">
        <f>HYPERLINK("https://creighton-primo.hosted.exlibrisgroup.com/primo-explore/search?tab=default_tab&amp;search_scope=EVERYTHING&amp;vid=01CRU&amp;lang=en_US&amp;offset=0&amp;query=any,contains,991000902699702656","Catalog Record")</f>
        <v/>
      </c>
      <c r="AV1667">
        <f>HYPERLINK("http://www.worldcat.org/oclc/15055342","WorldCat Record")</f>
        <v/>
      </c>
      <c r="AW1667" t="inlineStr">
        <is>
          <t>375106848:eng</t>
        </is>
      </c>
      <c r="AX1667" t="inlineStr">
        <is>
          <t>15055342</t>
        </is>
      </c>
      <c r="AY1667" t="inlineStr">
        <is>
          <t>991000902699702656</t>
        </is>
      </c>
      <c r="AZ1667" t="inlineStr">
        <is>
          <t>991000902699702656</t>
        </is>
      </c>
      <c r="BA1667" t="inlineStr">
        <is>
          <t>2260741480002656</t>
        </is>
      </c>
      <c r="BB1667" t="inlineStr">
        <is>
          <t>BOOK</t>
        </is>
      </c>
      <c r="BE1667" t="inlineStr">
        <is>
          <t>30001000170318</t>
        </is>
      </c>
      <c r="BF1667" t="inlineStr">
        <is>
          <t>893267780</t>
        </is>
      </c>
    </row>
    <row r="1668">
      <c r="A1668" t="inlineStr">
        <is>
          <t>No</t>
        </is>
      </c>
      <c r="B1668" t="inlineStr">
        <is>
          <t>CUHSL</t>
        </is>
      </c>
      <c r="C1668" t="inlineStr">
        <is>
          <t>SHELVES</t>
        </is>
      </c>
      <c r="D1668" t="inlineStr">
        <is>
          <t>WY 159 N97397 1990</t>
        </is>
      </c>
      <c r="E1668" t="inlineStr">
        <is>
          <t>0                      WY 0159000N  97397       1990</t>
        </is>
      </c>
      <c r="F1668" t="inlineStr">
        <is>
          <t>Nursing interventions for infants &amp; children / [edited by] Martha J. Craft, Janice A. Denehy.</t>
        </is>
      </c>
      <c r="H1668" t="inlineStr">
        <is>
          <t>No</t>
        </is>
      </c>
      <c r="I1668" t="inlineStr">
        <is>
          <t>1</t>
        </is>
      </c>
      <c r="J1668" t="inlineStr">
        <is>
          <t>No</t>
        </is>
      </c>
      <c r="K1668" t="inlineStr">
        <is>
          <t>No</t>
        </is>
      </c>
      <c r="L1668" t="inlineStr">
        <is>
          <t>0</t>
        </is>
      </c>
      <c r="N1668" t="inlineStr">
        <is>
          <t>Philadelphia : Saunders, c1990.</t>
        </is>
      </c>
      <c r="O1668" t="inlineStr">
        <is>
          <t>1990</t>
        </is>
      </c>
      <c r="Q1668" t="inlineStr">
        <is>
          <t>eng</t>
        </is>
      </c>
      <c r="R1668" t="inlineStr">
        <is>
          <t>xxu</t>
        </is>
      </c>
      <c r="T1668" t="inlineStr">
        <is>
          <t xml:space="preserve">WY </t>
        </is>
      </c>
      <c r="U1668" t="n">
        <v>8</v>
      </c>
      <c r="V1668" t="n">
        <v>8</v>
      </c>
      <c r="W1668" t="inlineStr">
        <is>
          <t>1998-02-10</t>
        </is>
      </c>
      <c r="X1668" t="inlineStr">
        <is>
          <t>1998-02-10</t>
        </is>
      </c>
      <c r="Y1668" t="inlineStr">
        <is>
          <t>1991-03-06</t>
        </is>
      </c>
      <c r="Z1668" t="inlineStr">
        <is>
          <t>1991-03-06</t>
        </is>
      </c>
      <c r="AA1668" t="n">
        <v>267</v>
      </c>
      <c r="AB1668" t="n">
        <v>205</v>
      </c>
      <c r="AC1668" t="n">
        <v>207</v>
      </c>
      <c r="AD1668" t="n">
        <v>1</v>
      </c>
      <c r="AE1668" t="n">
        <v>1</v>
      </c>
      <c r="AF1668" t="n">
        <v>9</v>
      </c>
      <c r="AG1668" t="n">
        <v>9</v>
      </c>
      <c r="AH1668" t="n">
        <v>2</v>
      </c>
      <c r="AI1668" t="n">
        <v>2</v>
      </c>
      <c r="AJ1668" t="n">
        <v>2</v>
      </c>
      <c r="AK1668" t="n">
        <v>2</v>
      </c>
      <c r="AL1668" t="n">
        <v>7</v>
      </c>
      <c r="AM1668" t="n">
        <v>7</v>
      </c>
      <c r="AN1668" t="n">
        <v>0</v>
      </c>
      <c r="AO1668" t="n">
        <v>0</v>
      </c>
      <c r="AP1668" t="n">
        <v>0</v>
      </c>
      <c r="AQ1668" t="n">
        <v>0</v>
      </c>
      <c r="AR1668" t="inlineStr">
        <is>
          <t>No</t>
        </is>
      </c>
      <c r="AS1668" t="inlineStr">
        <is>
          <t>Yes</t>
        </is>
      </c>
      <c r="AT1668">
        <f>HYPERLINK("http://catalog.hathitrust.org/Record/001827402","HathiTrust Record")</f>
        <v/>
      </c>
      <c r="AU1668">
        <f>HYPERLINK("https://creighton-primo.hosted.exlibrisgroup.com/primo-explore/search?tab=default_tab&amp;search_scope=EVERYTHING&amp;vid=01CRU&amp;lang=en_US&amp;offset=0&amp;query=any,contains,991000824929702656","Catalog Record")</f>
        <v/>
      </c>
      <c r="AV1668">
        <f>HYPERLINK("http://www.worldcat.org/oclc/19981709","WorldCat Record")</f>
        <v/>
      </c>
      <c r="AW1668" t="inlineStr">
        <is>
          <t>438064586:eng</t>
        </is>
      </c>
      <c r="AX1668" t="inlineStr">
        <is>
          <t>19981709</t>
        </is>
      </c>
      <c r="AY1668" t="inlineStr">
        <is>
          <t>991000824929702656</t>
        </is>
      </c>
      <c r="AZ1668" t="inlineStr">
        <is>
          <t>991000824929702656</t>
        </is>
      </c>
      <c r="BA1668" t="inlineStr">
        <is>
          <t>2260233100002656</t>
        </is>
      </c>
      <c r="BB1668" t="inlineStr">
        <is>
          <t>BOOK</t>
        </is>
      </c>
      <c r="BD1668" t="inlineStr">
        <is>
          <t>9780721621296</t>
        </is>
      </c>
      <c r="BE1668" t="inlineStr">
        <is>
          <t>30001002088435</t>
        </is>
      </c>
      <c r="BF1668" t="inlineStr">
        <is>
          <t>893133844</t>
        </is>
      </c>
    </row>
    <row r="1669">
      <c r="A1669" t="inlineStr">
        <is>
          <t>No</t>
        </is>
      </c>
      <c r="B1669" t="inlineStr">
        <is>
          <t>CUHSL</t>
        </is>
      </c>
      <c r="C1669" t="inlineStr">
        <is>
          <t>SHELVES</t>
        </is>
      </c>
      <c r="D1669" t="inlineStr">
        <is>
          <t>WY 159 P3695 1997</t>
        </is>
      </c>
      <c r="E1669" t="inlineStr">
        <is>
          <t>0                      WY 0159000P  3695        1997</t>
        </is>
      </c>
      <c r="F1669" t="inlineStr">
        <is>
          <t>Pediatric home care / edited by Wendy L. Votroubek, Julie L. Townsend.</t>
        </is>
      </c>
      <c r="H1669" t="inlineStr">
        <is>
          <t>No</t>
        </is>
      </c>
      <c r="I1669" t="inlineStr">
        <is>
          <t>1</t>
        </is>
      </c>
      <c r="J1669" t="inlineStr">
        <is>
          <t>No</t>
        </is>
      </c>
      <c r="K1669" t="inlineStr">
        <is>
          <t>No</t>
        </is>
      </c>
      <c r="L1669" t="inlineStr">
        <is>
          <t>0</t>
        </is>
      </c>
      <c r="N1669" t="inlineStr">
        <is>
          <t>Gaithersburg, Md. : Aspen Publishers, 1997.</t>
        </is>
      </c>
      <c r="O1669" t="inlineStr">
        <is>
          <t>1997</t>
        </is>
      </c>
      <c r="P1669" t="inlineStr">
        <is>
          <t>2nd ed.</t>
        </is>
      </c>
      <c r="Q1669" t="inlineStr">
        <is>
          <t>eng</t>
        </is>
      </c>
      <c r="R1669" t="inlineStr">
        <is>
          <t>mdu</t>
        </is>
      </c>
      <c r="T1669" t="inlineStr">
        <is>
          <t xml:space="preserve">WY </t>
        </is>
      </c>
      <c r="U1669" t="n">
        <v>2</v>
      </c>
      <c r="V1669" t="n">
        <v>2</v>
      </c>
      <c r="W1669" t="inlineStr">
        <is>
          <t>1999-04-09</t>
        </is>
      </c>
      <c r="X1669" t="inlineStr">
        <is>
          <t>1999-04-09</t>
        </is>
      </c>
      <c r="Y1669" t="inlineStr">
        <is>
          <t>1999-04-08</t>
        </is>
      </c>
      <c r="Z1669" t="inlineStr">
        <is>
          <t>1999-04-08</t>
        </is>
      </c>
      <c r="AA1669" t="n">
        <v>171</v>
      </c>
      <c r="AB1669" t="n">
        <v>142</v>
      </c>
      <c r="AC1669" t="n">
        <v>223</v>
      </c>
      <c r="AD1669" t="n">
        <v>1</v>
      </c>
      <c r="AE1669" t="n">
        <v>2</v>
      </c>
      <c r="AF1669" t="n">
        <v>6</v>
      </c>
      <c r="AG1669" t="n">
        <v>9</v>
      </c>
      <c r="AH1669" t="n">
        <v>3</v>
      </c>
      <c r="AI1669" t="n">
        <v>5</v>
      </c>
      <c r="AJ1669" t="n">
        <v>1</v>
      </c>
      <c r="AK1669" t="n">
        <v>2</v>
      </c>
      <c r="AL1669" t="n">
        <v>2</v>
      </c>
      <c r="AM1669" t="n">
        <v>4</v>
      </c>
      <c r="AN1669" t="n">
        <v>0</v>
      </c>
      <c r="AO1669" t="n">
        <v>0</v>
      </c>
      <c r="AP1669" t="n">
        <v>0</v>
      </c>
      <c r="AQ1669" t="n">
        <v>0</v>
      </c>
      <c r="AR1669" t="inlineStr">
        <is>
          <t>No</t>
        </is>
      </c>
      <c r="AS1669" t="inlineStr">
        <is>
          <t>Yes</t>
        </is>
      </c>
      <c r="AT1669">
        <f>HYPERLINK("http://catalog.hathitrust.org/Record/003188333","HathiTrust Record")</f>
        <v/>
      </c>
      <c r="AU1669">
        <f>HYPERLINK("https://creighton-primo.hosted.exlibrisgroup.com/primo-explore/search?tab=default_tab&amp;search_scope=EVERYTHING&amp;vid=01CRU&amp;lang=en_US&amp;offset=0&amp;query=any,contains,991001572739702656","Catalog Record")</f>
        <v/>
      </c>
      <c r="AV1669">
        <f>HYPERLINK("http://www.worldcat.org/oclc/36768448","WorldCat Record")</f>
        <v/>
      </c>
      <c r="AW1669" t="inlineStr">
        <is>
          <t>1909345597:eng</t>
        </is>
      </c>
      <c r="AX1669" t="inlineStr">
        <is>
          <t>36768448</t>
        </is>
      </c>
      <c r="AY1669" t="inlineStr">
        <is>
          <t>991001572739702656</t>
        </is>
      </c>
      <c r="AZ1669" t="inlineStr">
        <is>
          <t>991001572739702656</t>
        </is>
      </c>
      <c r="BA1669" t="inlineStr">
        <is>
          <t>2261684280002656</t>
        </is>
      </c>
      <c r="BB1669" t="inlineStr">
        <is>
          <t>BOOK</t>
        </is>
      </c>
      <c r="BD1669" t="inlineStr">
        <is>
          <t>9780834208841</t>
        </is>
      </c>
      <c r="BE1669" t="inlineStr">
        <is>
          <t>30001004071082</t>
        </is>
      </c>
      <c r="BF1669" t="inlineStr">
        <is>
          <t>893558108</t>
        </is>
      </c>
    </row>
    <row r="1670">
      <c r="A1670" t="inlineStr">
        <is>
          <t>No</t>
        </is>
      </c>
      <c r="B1670" t="inlineStr">
        <is>
          <t>CUHSL</t>
        </is>
      </c>
      <c r="C1670" t="inlineStr">
        <is>
          <t>SHELVES</t>
        </is>
      </c>
      <c r="D1670" t="inlineStr">
        <is>
          <t>WY 159 P371 1983</t>
        </is>
      </c>
      <c r="E1670" t="inlineStr">
        <is>
          <t>0                      WY 0159000P  371         1983</t>
        </is>
      </c>
      <c r="F1670" t="inlineStr">
        <is>
          <t>Pediatric care : a guide for patient education / [edited by] Susan E. Parker.</t>
        </is>
      </c>
      <c r="H1670" t="inlineStr">
        <is>
          <t>No</t>
        </is>
      </c>
      <c r="I1670" t="inlineStr">
        <is>
          <t>1</t>
        </is>
      </c>
      <c r="J1670" t="inlineStr">
        <is>
          <t>No</t>
        </is>
      </c>
      <c r="K1670" t="inlineStr">
        <is>
          <t>No</t>
        </is>
      </c>
      <c r="L1670" t="inlineStr">
        <is>
          <t>0</t>
        </is>
      </c>
      <c r="N1670" t="inlineStr">
        <is>
          <t>Norwalk, Conn. : Appleton-Century-Crofts, c1983.</t>
        </is>
      </c>
      <c r="O1670" t="inlineStr">
        <is>
          <t>1983</t>
        </is>
      </c>
      <c r="Q1670" t="inlineStr">
        <is>
          <t>eng</t>
        </is>
      </c>
      <c r="R1670" t="inlineStr">
        <is>
          <t>ctu</t>
        </is>
      </c>
      <c r="S1670" t="inlineStr">
        <is>
          <t>Appleton patient education series</t>
        </is>
      </c>
      <c r="T1670" t="inlineStr">
        <is>
          <t xml:space="preserve">WY </t>
        </is>
      </c>
      <c r="U1670" t="n">
        <v>4</v>
      </c>
      <c r="V1670" t="n">
        <v>4</v>
      </c>
      <c r="W1670" t="inlineStr">
        <is>
          <t>1991-03-19</t>
        </is>
      </c>
      <c r="X1670" t="inlineStr">
        <is>
          <t>1991-03-19</t>
        </is>
      </c>
      <c r="Y1670" t="inlineStr">
        <is>
          <t>1987-12-28</t>
        </is>
      </c>
      <c r="Z1670" t="inlineStr">
        <is>
          <t>1987-12-28</t>
        </is>
      </c>
      <c r="AA1670" t="n">
        <v>114</v>
      </c>
      <c r="AB1670" t="n">
        <v>85</v>
      </c>
      <c r="AC1670" t="n">
        <v>87</v>
      </c>
      <c r="AD1670" t="n">
        <v>1</v>
      </c>
      <c r="AE1670" t="n">
        <v>1</v>
      </c>
      <c r="AF1670" t="n">
        <v>3</v>
      </c>
      <c r="AG1670" t="n">
        <v>3</v>
      </c>
      <c r="AH1670" t="n">
        <v>1</v>
      </c>
      <c r="AI1670" t="n">
        <v>1</v>
      </c>
      <c r="AJ1670" t="n">
        <v>0</v>
      </c>
      <c r="AK1670" t="n">
        <v>0</v>
      </c>
      <c r="AL1670" t="n">
        <v>2</v>
      </c>
      <c r="AM1670" t="n">
        <v>2</v>
      </c>
      <c r="AN1670" t="n">
        <v>0</v>
      </c>
      <c r="AO1670" t="n">
        <v>0</v>
      </c>
      <c r="AP1670" t="n">
        <v>0</v>
      </c>
      <c r="AQ1670" t="n">
        <v>0</v>
      </c>
      <c r="AR1670" t="inlineStr">
        <is>
          <t>No</t>
        </is>
      </c>
      <c r="AS1670" t="inlineStr">
        <is>
          <t>Yes</t>
        </is>
      </c>
      <c r="AT1670">
        <f>HYPERLINK("http://catalog.hathitrust.org/Record/000203945","HathiTrust Record")</f>
        <v/>
      </c>
      <c r="AU1670">
        <f>HYPERLINK("https://creighton-primo.hosted.exlibrisgroup.com/primo-explore/search?tab=default_tab&amp;search_scope=EVERYTHING&amp;vid=01CRU&amp;lang=en_US&amp;offset=0&amp;query=any,contains,991000924739702656","Catalog Record")</f>
        <v/>
      </c>
      <c r="AV1670">
        <f>HYPERLINK("http://www.worldcat.org/oclc/8626519","WorldCat Record")</f>
        <v/>
      </c>
      <c r="AW1670" t="inlineStr">
        <is>
          <t>32542840:eng</t>
        </is>
      </c>
      <c r="AX1670" t="inlineStr">
        <is>
          <t>8626519</t>
        </is>
      </c>
      <c r="AY1670" t="inlineStr">
        <is>
          <t>991000924739702656</t>
        </is>
      </c>
      <c r="AZ1670" t="inlineStr">
        <is>
          <t>991000924739702656</t>
        </is>
      </c>
      <c r="BA1670" t="inlineStr">
        <is>
          <t>2261140880002656</t>
        </is>
      </c>
      <c r="BB1670" t="inlineStr">
        <is>
          <t>BOOK</t>
        </is>
      </c>
      <c r="BE1670" t="inlineStr">
        <is>
          <t>30001000182594</t>
        </is>
      </c>
      <c r="BF1670" t="inlineStr">
        <is>
          <t>893551941</t>
        </is>
      </c>
    </row>
    <row r="1671">
      <c r="A1671" t="inlineStr">
        <is>
          <t>No</t>
        </is>
      </c>
      <c r="B1671" t="inlineStr">
        <is>
          <t>CUHSL</t>
        </is>
      </c>
      <c r="C1671" t="inlineStr">
        <is>
          <t>SHELVES</t>
        </is>
      </c>
      <c r="D1671" t="inlineStr">
        <is>
          <t>WY 159 P3733 1999</t>
        </is>
      </c>
      <c r="E1671" t="inlineStr">
        <is>
          <t>0                      WY 0159000P  3733        1999</t>
        </is>
      </c>
      <c r="F1671" t="inlineStr">
        <is>
          <t>Pediatric nursing : caring for children / [edited by] Jane Ball, Ruth Bindler.</t>
        </is>
      </c>
      <c r="H1671" t="inlineStr">
        <is>
          <t>No</t>
        </is>
      </c>
      <c r="I1671" t="inlineStr">
        <is>
          <t>1</t>
        </is>
      </c>
      <c r="J1671" t="inlineStr">
        <is>
          <t>No</t>
        </is>
      </c>
      <c r="K1671" t="inlineStr">
        <is>
          <t>Yes</t>
        </is>
      </c>
      <c r="L1671" t="inlineStr">
        <is>
          <t>0</t>
        </is>
      </c>
      <c r="N1671" t="inlineStr">
        <is>
          <t>Stamford, Conn. : Appleton &amp; Lange, c1999.</t>
        </is>
      </c>
      <c r="O1671" t="inlineStr">
        <is>
          <t>1999</t>
        </is>
      </c>
      <c r="P1671" t="inlineStr">
        <is>
          <t>2nd ed.</t>
        </is>
      </c>
      <c r="Q1671" t="inlineStr">
        <is>
          <t>eng</t>
        </is>
      </c>
      <c r="R1671" t="inlineStr">
        <is>
          <t>ctu</t>
        </is>
      </c>
      <c r="T1671" t="inlineStr">
        <is>
          <t xml:space="preserve">WY </t>
        </is>
      </c>
      <c r="U1671" t="n">
        <v>2</v>
      </c>
      <c r="V1671" t="n">
        <v>2</v>
      </c>
      <c r="W1671" t="inlineStr">
        <is>
          <t>1999-02-18</t>
        </is>
      </c>
      <c r="X1671" t="inlineStr">
        <is>
          <t>1999-02-18</t>
        </is>
      </c>
      <c r="Y1671" t="inlineStr">
        <is>
          <t>1999-02-18</t>
        </is>
      </c>
      <c r="Z1671" t="inlineStr">
        <is>
          <t>1999-02-18</t>
        </is>
      </c>
      <c r="AA1671" t="n">
        <v>267</v>
      </c>
      <c r="AB1671" t="n">
        <v>225</v>
      </c>
      <c r="AC1671" t="n">
        <v>552</v>
      </c>
      <c r="AD1671" t="n">
        <v>1</v>
      </c>
      <c r="AE1671" t="n">
        <v>3</v>
      </c>
      <c r="AF1671" t="n">
        <v>3</v>
      </c>
      <c r="AG1671" t="n">
        <v>13</v>
      </c>
      <c r="AH1671" t="n">
        <v>2</v>
      </c>
      <c r="AI1671" t="n">
        <v>3</v>
      </c>
      <c r="AJ1671" t="n">
        <v>0</v>
      </c>
      <c r="AK1671" t="n">
        <v>2</v>
      </c>
      <c r="AL1671" t="n">
        <v>2</v>
      </c>
      <c r="AM1671" t="n">
        <v>8</v>
      </c>
      <c r="AN1671" t="n">
        <v>0</v>
      </c>
      <c r="AO1671" t="n">
        <v>2</v>
      </c>
      <c r="AP1671" t="n">
        <v>0</v>
      </c>
      <c r="AQ1671" t="n">
        <v>0</v>
      </c>
      <c r="AR1671" t="inlineStr">
        <is>
          <t>No</t>
        </is>
      </c>
      <c r="AS1671" t="inlineStr">
        <is>
          <t>Yes</t>
        </is>
      </c>
      <c r="AT1671">
        <f>HYPERLINK("http://catalog.hathitrust.org/Record/004015900","HathiTrust Record")</f>
        <v/>
      </c>
      <c r="AU1671">
        <f>HYPERLINK("https://creighton-primo.hosted.exlibrisgroup.com/primo-explore/search?tab=default_tab&amp;search_scope=EVERYTHING&amp;vid=01CRU&amp;lang=en_US&amp;offset=0&amp;query=any,contains,991001553429702656","Catalog Record")</f>
        <v/>
      </c>
      <c r="AV1671">
        <f>HYPERLINK("http://www.worldcat.org/oclc/39236350","WorldCat Record")</f>
        <v/>
      </c>
      <c r="AW1671" t="inlineStr">
        <is>
          <t>863947746:eng</t>
        </is>
      </c>
      <c r="AX1671" t="inlineStr">
        <is>
          <t>39236350</t>
        </is>
      </c>
      <c r="AY1671" t="inlineStr">
        <is>
          <t>991001553429702656</t>
        </is>
      </c>
      <c r="AZ1671" t="inlineStr">
        <is>
          <t>991001553429702656</t>
        </is>
      </c>
      <c r="BA1671" t="inlineStr">
        <is>
          <t>2258729680002656</t>
        </is>
      </c>
      <c r="BB1671" t="inlineStr">
        <is>
          <t>BOOK</t>
        </is>
      </c>
      <c r="BD1671" t="inlineStr">
        <is>
          <t>9780838581230</t>
        </is>
      </c>
      <c r="BE1671" t="inlineStr">
        <is>
          <t>30001004159382</t>
        </is>
      </c>
      <c r="BF1671" t="inlineStr">
        <is>
          <t>893162148</t>
        </is>
      </c>
    </row>
    <row r="1672">
      <c r="A1672" t="inlineStr">
        <is>
          <t>No</t>
        </is>
      </c>
      <c r="B1672" t="inlineStr">
        <is>
          <t>CUHSL</t>
        </is>
      </c>
      <c r="C1672" t="inlineStr">
        <is>
          <t>SHELVES</t>
        </is>
      </c>
      <c r="D1672" t="inlineStr">
        <is>
          <t>WY159 P3733 2003</t>
        </is>
      </c>
      <c r="E1672" t="inlineStr">
        <is>
          <t>0                      WY 0159000P  3733        2003</t>
        </is>
      </c>
      <c r="F1672" t="inlineStr">
        <is>
          <t>Pediatric nursing : caring for children / [edited by] Jane W. Ball, Ruth C. Bindler.</t>
        </is>
      </c>
      <c r="H1672" t="inlineStr">
        <is>
          <t>No</t>
        </is>
      </c>
      <c r="I1672" t="inlineStr">
        <is>
          <t>1</t>
        </is>
      </c>
      <c r="J1672" t="inlineStr">
        <is>
          <t>No</t>
        </is>
      </c>
      <c r="K1672" t="inlineStr">
        <is>
          <t>Yes</t>
        </is>
      </c>
      <c r="L1672" t="inlineStr">
        <is>
          <t>0</t>
        </is>
      </c>
      <c r="N1672" t="inlineStr">
        <is>
          <t>Upper Saddle River, N.J. : Prentice Hall, c2003.</t>
        </is>
      </c>
      <c r="O1672" t="inlineStr">
        <is>
          <t>2003</t>
        </is>
      </c>
      <c r="P1672" t="inlineStr">
        <is>
          <t>3rd ed.</t>
        </is>
      </c>
      <c r="Q1672" t="inlineStr">
        <is>
          <t>eng</t>
        </is>
      </c>
      <c r="R1672" t="inlineStr">
        <is>
          <t>nju</t>
        </is>
      </c>
      <c r="T1672" t="inlineStr">
        <is>
          <t xml:space="preserve">WY </t>
        </is>
      </c>
      <c r="U1672" t="n">
        <v>3</v>
      </c>
      <c r="V1672" t="n">
        <v>3</v>
      </c>
      <c r="W1672" t="inlineStr">
        <is>
          <t>2004-09-16</t>
        </is>
      </c>
      <c r="X1672" t="inlineStr">
        <is>
          <t>2004-09-16</t>
        </is>
      </c>
      <c r="Y1672" t="inlineStr">
        <is>
          <t>2002-11-05</t>
        </is>
      </c>
      <c r="Z1672" t="inlineStr">
        <is>
          <t>2002-11-05</t>
        </is>
      </c>
      <c r="AA1672" t="n">
        <v>251</v>
      </c>
      <c r="AB1672" t="n">
        <v>184</v>
      </c>
      <c r="AC1672" t="n">
        <v>552</v>
      </c>
      <c r="AD1672" t="n">
        <v>1</v>
      </c>
      <c r="AE1672" t="n">
        <v>3</v>
      </c>
      <c r="AF1672" t="n">
        <v>4</v>
      </c>
      <c r="AG1672" t="n">
        <v>13</v>
      </c>
      <c r="AH1672" t="n">
        <v>0</v>
      </c>
      <c r="AI1672" t="n">
        <v>3</v>
      </c>
      <c r="AJ1672" t="n">
        <v>1</v>
      </c>
      <c r="AK1672" t="n">
        <v>2</v>
      </c>
      <c r="AL1672" t="n">
        <v>4</v>
      </c>
      <c r="AM1672" t="n">
        <v>8</v>
      </c>
      <c r="AN1672" t="n">
        <v>0</v>
      </c>
      <c r="AO1672" t="n">
        <v>2</v>
      </c>
      <c r="AP1672" t="n">
        <v>0</v>
      </c>
      <c r="AQ1672" t="n">
        <v>0</v>
      </c>
      <c r="AR1672" t="inlineStr">
        <is>
          <t>No</t>
        </is>
      </c>
      <c r="AS1672" t="inlineStr">
        <is>
          <t>Yes</t>
        </is>
      </c>
      <c r="AT1672">
        <f>HYPERLINK("http://catalog.hathitrust.org/Record/004278540","HathiTrust Record")</f>
        <v/>
      </c>
      <c r="AU1672">
        <f>HYPERLINK("https://creighton-primo.hosted.exlibrisgroup.com/primo-explore/search?tab=default_tab&amp;search_scope=EVERYTHING&amp;vid=01CRU&amp;lang=en_US&amp;offset=0&amp;query=any,contains,991000331819702656","Catalog Record")</f>
        <v/>
      </c>
      <c r="AV1672">
        <f>HYPERLINK("http://www.worldcat.org/oclc/49527014","WorldCat Record")</f>
        <v/>
      </c>
      <c r="AW1672" t="inlineStr">
        <is>
          <t>863947746:eng</t>
        </is>
      </c>
      <c r="AX1672" t="inlineStr">
        <is>
          <t>49527014</t>
        </is>
      </c>
      <c r="AY1672" t="inlineStr">
        <is>
          <t>991000331819702656</t>
        </is>
      </c>
      <c r="AZ1672" t="inlineStr">
        <is>
          <t>991000331819702656</t>
        </is>
      </c>
      <c r="BA1672" t="inlineStr">
        <is>
          <t>2271724830002656</t>
        </is>
      </c>
      <c r="BB1672" t="inlineStr">
        <is>
          <t>BOOK</t>
        </is>
      </c>
      <c r="BD1672" t="inlineStr">
        <is>
          <t>9780130994059</t>
        </is>
      </c>
      <c r="BE1672" t="inlineStr">
        <is>
          <t>30001004500478</t>
        </is>
      </c>
      <c r="BF1672" t="inlineStr">
        <is>
          <t>893109417</t>
        </is>
      </c>
    </row>
    <row r="1673">
      <c r="A1673" t="inlineStr">
        <is>
          <t>No</t>
        </is>
      </c>
      <c r="B1673" t="inlineStr">
        <is>
          <t>CUHSL</t>
        </is>
      </c>
      <c r="C1673" t="inlineStr">
        <is>
          <t>SHELVES</t>
        </is>
      </c>
      <c r="D1673" t="inlineStr">
        <is>
          <t>WY 159 P3733qr 1999</t>
        </is>
      </c>
      <c r="E1673" t="inlineStr">
        <is>
          <t>0                      WY 0159000P  3733qr      1999</t>
        </is>
      </c>
      <c r="F1673" t="inlineStr">
        <is>
          <t>Quick reference to Pediatric clinical skills/ [by] Ruth Bindler, Jane Ball.</t>
        </is>
      </c>
      <c r="H1673" t="inlineStr">
        <is>
          <t>No</t>
        </is>
      </c>
      <c r="I1673" t="inlineStr">
        <is>
          <t>1</t>
        </is>
      </c>
      <c r="J1673" t="inlineStr">
        <is>
          <t>No</t>
        </is>
      </c>
      <c r="K1673" t="inlineStr">
        <is>
          <t>No</t>
        </is>
      </c>
      <c r="L1673" t="inlineStr">
        <is>
          <t>0</t>
        </is>
      </c>
      <c r="M1673" t="inlineStr">
        <is>
          <t>Bindler, Ruth McGillis.</t>
        </is>
      </c>
      <c r="N1673" t="inlineStr">
        <is>
          <t>Stamford, Conn. : Appleton &amp; Lange, c1999.</t>
        </is>
      </c>
      <c r="O1673" t="inlineStr">
        <is>
          <t>1999</t>
        </is>
      </c>
      <c r="Q1673" t="inlineStr">
        <is>
          <t>eng</t>
        </is>
      </c>
      <c r="R1673" t="inlineStr">
        <is>
          <t>ctu</t>
        </is>
      </c>
      <c r="T1673" t="inlineStr">
        <is>
          <t xml:space="preserve">WY </t>
        </is>
      </c>
      <c r="U1673" t="n">
        <v>1</v>
      </c>
      <c r="V1673" t="n">
        <v>1</v>
      </c>
      <c r="W1673" t="inlineStr">
        <is>
          <t>1999-02-18</t>
        </is>
      </c>
      <c r="X1673" t="inlineStr">
        <is>
          <t>1999-02-18</t>
        </is>
      </c>
      <c r="Y1673" t="inlineStr">
        <is>
          <t>1999-02-18</t>
        </is>
      </c>
      <c r="Z1673" t="inlineStr">
        <is>
          <t>1999-02-18</t>
        </is>
      </c>
      <c r="AA1673" t="n">
        <v>106</v>
      </c>
      <c r="AB1673" t="n">
        <v>90</v>
      </c>
      <c r="AC1673" t="n">
        <v>90</v>
      </c>
      <c r="AD1673" t="n">
        <v>1</v>
      </c>
      <c r="AE1673" t="n">
        <v>1</v>
      </c>
      <c r="AF1673" t="n">
        <v>1</v>
      </c>
      <c r="AG1673" t="n">
        <v>1</v>
      </c>
      <c r="AH1673" t="n">
        <v>1</v>
      </c>
      <c r="AI1673" t="n">
        <v>1</v>
      </c>
      <c r="AJ1673" t="n">
        <v>0</v>
      </c>
      <c r="AK1673" t="n">
        <v>0</v>
      </c>
      <c r="AL1673" t="n">
        <v>0</v>
      </c>
      <c r="AM1673" t="n">
        <v>0</v>
      </c>
      <c r="AN1673" t="n">
        <v>0</v>
      </c>
      <c r="AO1673" t="n">
        <v>0</v>
      </c>
      <c r="AP1673" t="n">
        <v>0</v>
      </c>
      <c r="AQ1673" t="n">
        <v>0</v>
      </c>
      <c r="AR1673" t="inlineStr">
        <is>
          <t>No</t>
        </is>
      </c>
      <c r="AS1673" t="inlineStr">
        <is>
          <t>No</t>
        </is>
      </c>
      <c r="AU1673">
        <f>HYPERLINK("https://creighton-primo.hosted.exlibrisgroup.com/primo-explore/search?tab=default_tab&amp;search_scope=EVERYTHING&amp;vid=01CRU&amp;lang=en_US&amp;offset=0&amp;query=any,contains,991001561389702656","Catalog Record")</f>
        <v/>
      </c>
      <c r="AV1673">
        <f>HYPERLINK("http://www.worldcat.org/oclc/40789842","WorldCat Record")</f>
        <v/>
      </c>
      <c r="AW1673" t="inlineStr">
        <is>
          <t>20497118:eng</t>
        </is>
      </c>
      <c r="AX1673" t="inlineStr">
        <is>
          <t>40789842</t>
        </is>
      </c>
      <c r="AY1673" t="inlineStr">
        <is>
          <t>991001561389702656</t>
        </is>
      </c>
      <c r="AZ1673" t="inlineStr">
        <is>
          <t>991001561389702656</t>
        </is>
      </c>
      <c r="BA1673" t="inlineStr">
        <is>
          <t>2258588330002656</t>
        </is>
      </c>
      <c r="BB1673" t="inlineStr">
        <is>
          <t>BOOK</t>
        </is>
      </c>
      <c r="BD1673" t="inlineStr">
        <is>
          <t>9780838581230</t>
        </is>
      </c>
      <c r="BE1673" t="inlineStr">
        <is>
          <t>30001004159390</t>
        </is>
      </c>
      <c r="BF1673" t="inlineStr">
        <is>
          <t>893279221</t>
        </is>
      </c>
    </row>
    <row r="1674">
      <c r="A1674" t="inlineStr">
        <is>
          <t>No</t>
        </is>
      </c>
      <c r="B1674" t="inlineStr">
        <is>
          <t>CUHSL</t>
        </is>
      </c>
      <c r="C1674" t="inlineStr">
        <is>
          <t>SHELVES</t>
        </is>
      </c>
      <c r="D1674" t="inlineStr">
        <is>
          <t>WY 159 P3734 1990</t>
        </is>
      </c>
      <c r="E1674" t="inlineStr">
        <is>
          <t>0                      WY 0159000P  3734        1990</t>
        </is>
      </c>
      <c r="F1674" t="inlineStr">
        <is>
          <t>Pediatric nursing care / Gladys M. Scipien ... [et al.].</t>
        </is>
      </c>
      <c r="H1674" t="inlineStr">
        <is>
          <t>No</t>
        </is>
      </c>
      <c r="I1674" t="inlineStr">
        <is>
          <t>1</t>
        </is>
      </c>
      <c r="J1674" t="inlineStr">
        <is>
          <t>No</t>
        </is>
      </c>
      <c r="K1674" t="inlineStr">
        <is>
          <t>No</t>
        </is>
      </c>
      <c r="L1674" t="inlineStr">
        <is>
          <t>0</t>
        </is>
      </c>
      <c r="N1674" t="inlineStr">
        <is>
          <t>St. Louis : C.V. Mosby, c1990.</t>
        </is>
      </c>
      <c r="O1674" t="inlineStr">
        <is>
          <t>1990</t>
        </is>
      </c>
      <c r="Q1674" t="inlineStr">
        <is>
          <t>eng</t>
        </is>
      </c>
      <c r="R1674" t="inlineStr">
        <is>
          <t>mou</t>
        </is>
      </c>
      <c r="T1674" t="inlineStr">
        <is>
          <t xml:space="preserve">WY </t>
        </is>
      </c>
      <c r="U1674" t="n">
        <v>12</v>
      </c>
      <c r="V1674" t="n">
        <v>12</v>
      </c>
      <c r="W1674" t="inlineStr">
        <is>
          <t>1998-04-29</t>
        </is>
      </c>
      <c r="X1674" t="inlineStr">
        <is>
          <t>1998-04-29</t>
        </is>
      </c>
      <c r="Y1674" t="inlineStr">
        <is>
          <t>1993-03-26</t>
        </is>
      </c>
      <c r="Z1674" t="inlineStr">
        <is>
          <t>1993-03-26</t>
        </is>
      </c>
      <c r="AA1674" t="n">
        <v>315</v>
      </c>
      <c r="AB1674" t="n">
        <v>257</v>
      </c>
      <c r="AC1674" t="n">
        <v>264</v>
      </c>
      <c r="AD1674" t="n">
        <v>2</v>
      </c>
      <c r="AE1674" t="n">
        <v>2</v>
      </c>
      <c r="AF1674" t="n">
        <v>6</v>
      </c>
      <c r="AG1674" t="n">
        <v>6</v>
      </c>
      <c r="AH1674" t="n">
        <v>2</v>
      </c>
      <c r="AI1674" t="n">
        <v>2</v>
      </c>
      <c r="AJ1674" t="n">
        <v>1</v>
      </c>
      <c r="AK1674" t="n">
        <v>1</v>
      </c>
      <c r="AL1674" t="n">
        <v>3</v>
      </c>
      <c r="AM1674" t="n">
        <v>3</v>
      </c>
      <c r="AN1674" t="n">
        <v>1</v>
      </c>
      <c r="AO1674" t="n">
        <v>1</v>
      </c>
      <c r="AP1674" t="n">
        <v>0</v>
      </c>
      <c r="AQ1674" t="n">
        <v>0</v>
      </c>
      <c r="AR1674" t="inlineStr">
        <is>
          <t>No</t>
        </is>
      </c>
      <c r="AS1674" t="inlineStr">
        <is>
          <t>Yes</t>
        </is>
      </c>
      <c r="AT1674">
        <f>HYPERLINK("http://catalog.hathitrust.org/Record/001831731","HathiTrust Record")</f>
        <v/>
      </c>
      <c r="AU1674">
        <f>HYPERLINK("https://creighton-primo.hosted.exlibrisgroup.com/primo-explore/search?tab=default_tab&amp;search_scope=EVERYTHING&amp;vid=01CRU&amp;lang=en_US&amp;offset=0&amp;query=any,contains,991001476599702656","Catalog Record")</f>
        <v/>
      </c>
      <c r="AV1674">
        <f>HYPERLINK("http://www.worldcat.org/oclc/18716219","WorldCat Record")</f>
        <v/>
      </c>
      <c r="AW1674" t="inlineStr">
        <is>
          <t>18368267:eng</t>
        </is>
      </c>
      <c r="AX1674" t="inlineStr">
        <is>
          <t>18716219</t>
        </is>
      </c>
      <c r="AY1674" t="inlineStr">
        <is>
          <t>991001476599702656</t>
        </is>
      </c>
      <c r="AZ1674" t="inlineStr">
        <is>
          <t>991001476599702656</t>
        </is>
      </c>
      <c r="BA1674" t="inlineStr">
        <is>
          <t>2265081940002656</t>
        </is>
      </c>
      <c r="BB1674" t="inlineStr">
        <is>
          <t>BOOK</t>
        </is>
      </c>
      <c r="BD1674" t="inlineStr">
        <is>
          <t>9780801660580</t>
        </is>
      </c>
      <c r="BE1674" t="inlineStr">
        <is>
          <t>30001002563494</t>
        </is>
      </c>
      <c r="BF1674" t="inlineStr">
        <is>
          <t>893736620</t>
        </is>
      </c>
    </row>
    <row r="1675">
      <c r="A1675" t="inlineStr">
        <is>
          <t>No</t>
        </is>
      </c>
      <c r="B1675" t="inlineStr">
        <is>
          <t>CUHSL</t>
        </is>
      </c>
      <c r="C1675" t="inlineStr">
        <is>
          <t>SHELVES</t>
        </is>
      </c>
      <c r="D1675" t="inlineStr">
        <is>
          <t>WY 159 P641n 1987</t>
        </is>
      </c>
      <c r="E1675" t="inlineStr">
        <is>
          <t>0                      WY 0159000P  641n        1987</t>
        </is>
      </c>
      <c r="F1675" t="inlineStr">
        <is>
          <t>Child health nursing : care of the growing family / Adele Pillitteri.</t>
        </is>
      </c>
      <c r="H1675" t="inlineStr">
        <is>
          <t>No</t>
        </is>
      </c>
      <c r="I1675" t="inlineStr">
        <is>
          <t>1</t>
        </is>
      </c>
      <c r="J1675" t="inlineStr">
        <is>
          <t>No</t>
        </is>
      </c>
      <c r="K1675" t="inlineStr">
        <is>
          <t>No</t>
        </is>
      </c>
      <c r="L1675" t="inlineStr">
        <is>
          <t>0</t>
        </is>
      </c>
      <c r="M1675" t="inlineStr">
        <is>
          <t>Pillitteri, Adele.</t>
        </is>
      </c>
      <c r="N1675" t="inlineStr">
        <is>
          <t>Boston : Little, Brown, c1987.</t>
        </is>
      </c>
      <c r="O1675" t="inlineStr">
        <is>
          <t>1987</t>
        </is>
      </c>
      <c r="P1675" t="inlineStr">
        <is>
          <t>3rd ed.</t>
        </is>
      </c>
      <c r="Q1675" t="inlineStr">
        <is>
          <t>eng</t>
        </is>
      </c>
      <c r="R1675" t="inlineStr">
        <is>
          <t>xxu</t>
        </is>
      </c>
      <c r="T1675" t="inlineStr">
        <is>
          <t xml:space="preserve">WY </t>
        </is>
      </c>
      <c r="U1675" t="n">
        <v>3</v>
      </c>
      <c r="V1675" t="n">
        <v>3</v>
      </c>
      <c r="W1675" t="inlineStr">
        <is>
          <t>1993-03-17</t>
        </is>
      </c>
      <c r="X1675" t="inlineStr">
        <is>
          <t>1993-03-17</t>
        </is>
      </c>
      <c r="Y1675" t="inlineStr">
        <is>
          <t>1987-10-24</t>
        </is>
      </c>
      <c r="Z1675" t="inlineStr">
        <is>
          <t>1987-10-24</t>
        </is>
      </c>
      <c r="AA1675" t="n">
        <v>220</v>
      </c>
      <c r="AB1675" t="n">
        <v>183</v>
      </c>
      <c r="AC1675" t="n">
        <v>198</v>
      </c>
      <c r="AD1675" t="n">
        <v>1</v>
      </c>
      <c r="AE1675" t="n">
        <v>1</v>
      </c>
      <c r="AF1675" t="n">
        <v>6</v>
      </c>
      <c r="AG1675" t="n">
        <v>6</v>
      </c>
      <c r="AH1675" t="n">
        <v>3</v>
      </c>
      <c r="AI1675" t="n">
        <v>3</v>
      </c>
      <c r="AJ1675" t="n">
        <v>1</v>
      </c>
      <c r="AK1675" t="n">
        <v>1</v>
      </c>
      <c r="AL1675" t="n">
        <v>5</v>
      </c>
      <c r="AM1675" t="n">
        <v>5</v>
      </c>
      <c r="AN1675" t="n">
        <v>0</v>
      </c>
      <c r="AO1675" t="n">
        <v>0</v>
      </c>
      <c r="AP1675" t="n">
        <v>0</v>
      </c>
      <c r="AQ1675" t="n">
        <v>0</v>
      </c>
      <c r="AR1675" t="inlineStr">
        <is>
          <t>No</t>
        </is>
      </c>
      <c r="AS1675" t="inlineStr">
        <is>
          <t>Yes</t>
        </is>
      </c>
      <c r="AT1675">
        <f>HYPERLINK("http://catalog.hathitrust.org/Record/004414528","HathiTrust Record")</f>
        <v/>
      </c>
      <c r="AU1675">
        <f>HYPERLINK("https://creighton-primo.hosted.exlibrisgroup.com/primo-explore/search?tab=default_tab&amp;search_scope=EVERYTHING&amp;vid=01CRU&amp;lang=en_US&amp;offset=0&amp;query=any,contains,991000763959702656","Catalog Record")</f>
        <v/>
      </c>
      <c r="AV1675">
        <f>HYPERLINK("http://www.worldcat.org/oclc/14719679","WorldCat Record")</f>
        <v/>
      </c>
      <c r="AW1675" t="inlineStr">
        <is>
          <t>894330233:eng</t>
        </is>
      </c>
      <c r="AX1675" t="inlineStr">
        <is>
          <t>14719679</t>
        </is>
      </c>
      <c r="AY1675" t="inlineStr">
        <is>
          <t>991000763959702656</t>
        </is>
      </c>
      <c r="AZ1675" t="inlineStr">
        <is>
          <t>991000763959702656</t>
        </is>
      </c>
      <c r="BA1675" t="inlineStr">
        <is>
          <t>2257602890002656</t>
        </is>
      </c>
      <c r="BB1675" t="inlineStr">
        <is>
          <t>BOOK</t>
        </is>
      </c>
      <c r="BD1675" t="inlineStr">
        <is>
          <t>9780316707961</t>
        </is>
      </c>
      <c r="BE1675" t="inlineStr">
        <is>
          <t>30001000056699</t>
        </is>
      </c>
      <c r="BF1675" t="inlineStr">
        <is>
          <t>893545876</t>
        </is>
      </c>
    </row>
    <row r="1676">
      <c r="A1676" t="inlineStr">
        <is>
          <t>No</t>
        </is>
      </c>
      <c r="B1676" t="inlineStr">
        <is>
          <t>CUHSL</t>
        </is>
      </c>
      <c r="C1676" t="inlineStr">
        <is>
          <t>SHELVES</t>
        </is>
      </c>
      <c r="D1676" t="inlineStr">
        <is>
          <t>WY 159 P957p 1982</t>
        </is>
      </c>
      <c r="E1676" t="inlineStr">
        <is>
          <t>0                      WY 0159000P  957p        1982</t>
        </is>
      </c>
      <c r="F1676" t="inlineStr">
        <is>
          <t>Promoting the health of children : a guide for caretakers and health care professionals / Sheila M. Pringle, Brenda E. Ramsey.</t>
        </is>
      </c>
      <c r="H1676" t="inlineStr">
        <is>
          <t>No</t>
        </is>
      </c>
      <c r="I1676" t="inlineStr">
        <is>
          <t>1</t>
        </is>
      </c>
      <c r="J1676" t="inlineStr">
        <is>
          <t>No</t>
        </is>
      </c>
      <c r="K1676" t="inlineStr">
        <is>
          <t>No</t>
        </is>
      </c>
      <c r="L1676" t="inlineStr">
        <is>
          <t>0</t>
        </is>
      </c>
      <c r="M1676" t="inlineStr">
        <is>
          <t>Pringle, Sheila M.</t>
        </is>
      </c>
      <c r="N1676" t="inlineStr">
        <is>
          <t>St. Louis : Mosby, c1982.</t>
        </is>
      </c>
      <c r="O1676" t="inlineStr">
        <is>
          <t>1982</t>
        </is>
      </c>
      <c r="Q1676" t="inlineStr">
        <is>
          <t>eng</t>
        </is>
      </c>
      <c r="R1676" t="inlineStr">
        <is>
          <t>xxu</t>
        </is>
      </c>
      <c r="T1676" t="inlineStr">
        <is>
          <t xml:space="preserve">WY </t>
        </is>
      </c>
      <c r="U1676" t="n">
        <v>2</v>
      </c>
      <c r="V1676" t="n">
        <v>2</v>
      </c>
      <c r="W1676" t="inlineStr">
        <is>
          <t>2004-09-16</t>
        </is>
      </c>
      <c r="X1676" t="inlineStr">
        <is>
          <t>2004-09-16</t>
        </is>
      </c>
      <c r="Y1676" t="inlineStr">
        <is>
          <t>1987-11-17</t>
        </is>
      </c>
      <c r="Z1676" t="inlineStr">
        <is>
          <t>1987-11-17</t>
        </is>
      </c>
      <c r="AA1676" t="n">
        <v>183</v>
      </c>
      <c r="AB1676" t="n">
        <v>134</v>
      </c>
      <c r="AC1676" t="n">
        <v>136</v>
      </c>
      <c r="AD1676" t="n">
        <v>2</v>
      </c>
      <c r="AE1676" t="n">
        <v>2</v>
      </c>
      <c r="AF1676" t="n">
        <v>4</v>
      </c>
      <c r="AG1676" t="n">
        <v>4</v>
      </c>
      <c r="AH1676" t="n">
        <v>2</v>
      </c>
      <c r="AI1676" t="n">
        <v>2</v>
      </c>
      <c r="AJ1676" t="n">
        <v>1</v>
      </c>
      <c r="AK1676" t="n">
        <v>1</v>
      </c>
      <c r="AL1676" t="n">
        <v>1</v>
      </c>
      <c r="AM1676" t="n">
        <v>1</v>
      </c>
      <c r="AN1676" t="n">
        <v>1</v>
      </c>
      <c r="AO1676" t="n">
        <v>1</v>
      </c>
      <c r="AP1676" t="n">
        <v>0</v>
      </c>
      <c r="AQ1676" t="n">
        <v>0</v>
      </c>
      <c r="AR1676" t="inlineStr">
        <is>
          <t>No</t>
        </is>
      </c>
      <c r="AS1676" t="inlineStr">
        <is>
          <t>Yes</t>
        </is>
      </c>
      <c r="AT1676">
        <f>HYPERLINK("http://catalog.hathitrust.org/Record/000279050","HathiTrust Record")</f>
        <v/>
      </c>
      <c r="AU1676">
        <f>HYPERLINK("https://creighton-primo.hosted.exlibrisgroup.com/primo-explore/search?tab=default_tab&amp;search_scope=EVERYTHING&amp;vid=01CRU&amp;lang=en_US&amp;offset=0&amp;query=any,contains,991001532059702656","Catalog Record")</f>
        <v/>
      </c>
      <c r="AV1676">
        <f>HYPERLINK("http://www.worldcat.org/oclc/7735106","WorldCat Record")</f>
        <v/>
      </c>
      <c r="AW1676" t="inlineStr">
        <is>
          <t>197713856:eng</t>
        </is>
      </c>
      <c r="AX1676" t="inlineStr">
        <is>
          <t>7735106</t>
        </is>
      </c>
      <c r="AY1676" t="inlineStr">
        <is>
          <t>991001532059702656</t>
        </is>
      </c>
      <c r="AZ1676" t="inlineStr">
        <is>
          <t>991001532059702656</t>
        </is>
      </c>
      <c r="BA1676" t="inlineStr">
        <is>
          <t>2272693140002656</t>
        </is>
      </c>
      <c r="BB1676" t="inlineStr">
        <is>
          <t>BOOK</t>
        </is>
      </c>
      <c r="BD1676" t="inlineStr">
        <is>
          <t>9780801640483</t>
        </is>
      </c>
      <c r="BE1676" t="inlineStr">
        <is>
          <t>30001000621799</t>
        </is>
      </c>
      <c r="BF1676" t="inlineStr">
        <is>
          <t>893821320</t>
        </is>
      </c>
    </row>
    <row r="1677">
      <c r="A1677" t="inlineStr">
        <is>
          <t>No</t>
        </is>
      </c>
      <c r="B1677" t="inlineStr">
        <is>
          <t>CUHSL</t>
        </is>
      </c>
      <c r="C1677" t="inlineStr">
        <is>
          <t>SHELVES</t>
        </is>
      </c>
      <c r="D1677" t="inlineStr">
        <is>
          <t>WY 159 S492n 1987</t>
        </is>
      </c>
      <c r="E1677" t="inlineStr">
        <is>
          <t>0                      WY 0159000S  492n        1987</t>
        </is>
      </c>
      <c r="F1677" t="inlineStr">
        <is>
          <t>Nursing management of children / Jane Servonsky, Susan Opas.</t>
        </is>
      </c>
      <c r="H1677" t="inlineStr">
        <is>
          <t>No</t>
        </is>
      </c>
      <c r="I1677" t="inlineStr">
        <is>
          <t>1</t>
        </is>
      </c>
      <c r="J1677" t="inlineStr">
        <is>
          <t>No</t>
        </is>
      </c>
      <c r="K1677" t="inlineStr">
        <is>
          <t>No</t>
        </is>
      </c>
      <c r="L1677" t="inlineStr">
        <is>
          <t>0</t>
        </is>
      </c>
      <c r="M1677" t="inlineStr">
        <is>
          <t>Servonsky, Jane.</t>
        </is>
      </c>
      <c r="N1677" t="inlineStr">
        <is>
          <t>Boston : Jones and Bartlett, c1987.</t>
        </is>
      </c>
      <c r="O1677" t="inlineStr">
        <is>
          <t>1987</t>
        </is>
      </c>
      <c r="Q1677" t="inlineStr">
        <is>
          <t>eng</t>
        </is>
      </c>
      <c r="R1677" t="inlineStr">
        <is>
          <t>xxu</t>
        </is>
      </c>
      <c r="T1677" t="inlineStr">
        <is>
          <t xml:space="preserve">WY </t>
        </is>
      </c>
      <c r="U1677" t="n">
        <v>10</v>
      </c>
      <c r="V1677" t="n">
        <v>10</v>
      </c>
      <c r="W1677" t="inlineStr">
        <is>
          <t>1997-09-29</t>
        </is>
      </c>
      <c r="X1677" t="inlineStr">
        <is>
          <t>1997-09-29</t>
        </is>
      </c>
      <c r="Y1677" t="inlineStr">
        <is>
          <t>1987-10-24</t>
        </is>
      </c>
      <c r="Z1677" t="inlineStr">
        <is>
          <t>1987-10-24</t>
        </is>
      </c>
      <c r="AA1677" t="n">
        <v>184</v>
      </c>
      <c r="AB1677" t="n">
        <v>155</v>
      </c>
      <c r="AC1677" t="n">
        <v>160</v>
      </c>
      <c r="AD1677" t="n">
        <v>1</v>
      </c>
      <c r="AE1677" t="n">
        <v>1</v>
      </c>
      <c r="AF1677" t="n">
        <v>3</v>
      </c>
      <c r="AG1677" t="n">
        <v>3</v>
      </c>
      <c r="AH1677" t="n">
        <v>1</v>
      </c>
      <c r="AI1677" t="n">
        <v>1</v>
      </c>
      <c r="AJ1677" t="n">
        <v>0</v>
      </c>
      <c r="AK1677" t="n">
        <v>0</v>
      </c>
      <c r="AL1677" t="n">
        <v>2</v>
      </c>
      <c r="AM1677" t="n">
        <v>2</v>
      </c>
      <c r="AN1677" t="n">
        <v>0</v>
      </c>
      <c r="AO1677" t="n">
        <v>0</v>
      </c>
      <c r="AP1677" t="n">
        <v>0</v>
      </c>
      <c r="AQ1677" t="n">
        <v>0</v>
      </c>
      <c r="AR1677" t="inlineStr">
        <is>
          <t>No</t>
        </is>
      </c>
      <c r="AS1677" t="inlineStr">
        <is>
          <t>No</t>
        </is>
      </c>
      <c r="AU1677">
        <f>HYPERLINK("https://creighton-primo.hosted.exlibrisgroup.com/primo-explore/search?tab=default_tab&amp;search_scope=EVERYTHING&amp;vid=01CRU&amp;lang=en_US&amp;offset=0&amp;query=any,contains,991000766309702656","Catalog Record")</f>
        <v/>
      </c>
      <c r="AV1677">
        <f>HYPERLINK("http://www.worldcat.org/oclc/14520141","WorldCat Record")</f>
        <v/>
      </c>
      <c r="AW1677" t="inlineStr">
        <is>
          <t>8548043:eng</t>
        </is>
      </c>
      <c r="AX1677" t="inlineStr">
        <is>
          <t>14520141</t>
        </is>
      </c>
      <c r="AY1677" t="inlineStr">
        <is>
          <t>991000766309702656</t>
        </is>
      </c>
      <c r="AZ1677" t="inlineStr">
        <is>
          <t>991000766309702656</t>
        </is>
      </c>
      <c r="BA1677" t="inlineStr">
        <is>
          <t>2271181840002656</t>
        </is>
      </c>
      <c r="BB1677" t="inlineStr">
        <is>
          <t>BOOK</t>
        </is>
      </c>
      <c r="BD1677" t="inlineStr">
        <is>
          <t>9780867203578</t>
        </is>
      </c>
      <c r="BE1677" t="inlineStr">
        <is>
          <t>30001000057085</t>
        </is>
      </c>
      <c r="BF1677" t="inlineStr">
        <is>
          <t>893726755</t>
        </is>
      </c>
    </row>
    <row r="1678">
      <c r="A1678" t="inlineStr">
        <is>
          <t>No</t>
        </is>
      </c>
      <c r="B1678" t="inlineStr">
        <is>
          <t>CUHSL</t>
        </is>
      </c>
      <c r="C1678" t="inlineStr">
        <is>
          <t>SHELVES</t>
        </is>
      </c>
      <c r="D1678" t="inlineStr">
        <is>
          <t>WY 159 S7415p 1990</t>
        </is>
      </c>
      <c r="E1678" t="inlineStr">
        <is>
          <t>0                      WY 0159000S  7415p       1990</t>
        </is>
      </c>
      <c r="F1678" t="inlineStr">
        <is>
          <t>Pediatric care plans / Kathleen Morgan Speer.</t>
        </is>
      </c>
      <c r="H1678" t="inlineStr">
        <is>
          <t>No</t>
        </is>
      </c>
      <c r="I1678" t="inlineStr">
        <is>
          <t>1</t>
        </is>
      </c>
      <c r="J1678" t="inlineStr">
        <is>
          <t>No</t>
        </is>
      </c>
      <c r="K1678" t="inlineStr">
        <is>
          <t>No</t>
        </is>
      </c>
      <c r="L1678" t="inlineStr">
        <is>
          <t>0</t>
        </is>
      </c>
      <c r="M1678" t="inlineStr">
        <is>
          <t>Speer, Kathleen Morgan.</t>
        </is>
      </c>
      <c r="N1678" t="inlineStr">
        <is>
          <t>Springhouse, Pa. : Springhouse Corp., c1990.</t>
        </is>
      </c>
      <c r="O1678" t="inlineStr">
        <is>
          <t>1990</t>
        </is>
      </c>
      <c r="Q1678" t="inlineStr">
        <is>
          <t>eng</t>
        </is>
      </c>
      <c r="R1678" t="inlineStr">
        <is>
          <t>pau</t>
        </is>
      </c>
      <c r="T1678" t="inlineStr">
        <is>
          <t xml:space="preserve">WY </t>
        </is>
      </c>
      <c r="U1678" t="n">
        <v>22</v>
      </c>
      <c r="V1678" t="n">
        <v>22</v>
      </c>
      <c r="W1678" t="inlineStr">
        <is>
          <t>1997-09-12</t>
        </is>
      </c>
      <c r="X1678" t="inlineStr">
        <is>
          <t>1997-09-12</t>
        </is>
      </c>
      <c r="Y1678" t="inlineStr">
        <is>
          <t>1990-09-05</t>
        </is>
      </c>
      <c r="Z1678" t="inlineStr">
        <is>
          <t>1990-09-05</t>
        </is>
      </c>
      <c r="AA1678" t="n">
        <v>148</v>
      </c>
      <c r="AB1678" t="n">
        <v>111</v>
      </c>
      <c r="AC1678" t="n">
        <v>113</v>
      </c>
      <c r="AD1678" t="n">
        <v>1</v>
      </c>
      <c r="AE1678" t="n">
        <v>1</v>
      </c>
      <c r="AF1678" t="n">
        <v>1</v>
      </c>
      <c r="AG1678" t="n">
        <v>1</v>
      </c>
      <c r="AH1678" t="n">
        <v>1</v>
      </c>
      <c r="AI1678" t="n">
        <v>1</v>
      </c>
      <c r="AJ1678" t="n">
        <v>0</v>
      </c>
      <c r="AK1678" t="n">
        <v>0</v>
      </c>
      <c r="AL1678" t="n">
        <v>1</v>
      </c>
      <c r="AM1678" t="n">
        <v>1</v>
      </c>
      <c r="AN1678" t="n">
        <v>0</v>
      </c>
      <c r="AO1678" t="n">
        <v>0</v>
      </c>
      <c r="AP1678" t="n">
        <v>0</v>
      </c>
      <c r="AQ1678" t="n">
        <v>0</v>
      </c>
      <c r="AR1678" t="inlineStr">
        <is>
          <t>No</t>
        </is>
      </c>
      <c r="AS1678" t="inlineStr">
        <is>
          <t>Yes</t>
        </is>
      </c>
      <c r="AT1678">
        <f>HYPERLINK("http://catalog.hathitrust.org/Record/002453105","HathiTrust Record")</f>
        <v/>
      </c>
      <c r="AU1678">
        <f>HYPERLINK("https://creighton-primo.hosted.exlibrisgroup.com/primo-explore/search?tab=default_tab&amp;search_scope=EVERYTHING&amp;vid=01CRU&amp;lang=en_US&amp;offset=0&amp;query=any,contains,991001454189702656","Catalog Record")</f>
        <v/>
      </c>
      <c r="AV1678">
        <f>HYPERLINK("http://www.worldcat.org/oclc/20262453","WorldCat Record")</f>
        <v/>
      </c>
      <c r="AW1678" t="inlineStr">
        <is>
          <t>3901161620:eng</t>
        </is>
      </c>
      <c r="AX1678" t="inlineStr">
        <is>
          <t>20262453</t>
        </is>
      </c>
      <c r="AY1678" t="inlineStr">
        <is>
          <t>991001454189702656</t>
        </is>
      </c>
      <c r="AZ1678" t="inlineStr">
        <is>
          <t>991001454189702656</t>
        </is>
      </c>
      <c r="BA1678" t="inlineStr">
        <is>
          <t>2261161980002656</t>
        </is>
      </c>
      <c r="BB1678" t="inlineStr">
        <is>
          <t>BOOK</t>
        </is>
      </c>
      <c r="BD1678" t="inlineStr">
        <is>
          <t>9780874342260</t>
        </is>
      </c>
      <c r="BE1678" t="inlineStr">
        <is>
          <t>30001001884404</t>
        </is>
      </c>
      <c r="BF1678" t="inlineStr">
        <is>
          <t>893134586</t>
        </is>
      </c>
    </row>
    <row r="1679">
      <c r="A1679" t="inlineStr">
        <is>
          <t>No</t>
        </is>
      </c>
      <c r="B1679" t="inlineStr">
        <is>
          <t>CUHSL</t>
        </is>
      </c>
      <c r="C1679" t="inlineStr">
        <is>
          <t>SHELVES</t>
        </is>
      </c>
      <c r="D1679" t="inlineStr">
        <is>
          <t>WY 159 S814n 1985</t>
        </is>
      </c>
      <c r="E1679" t="inlineStr">
        <is>
          <t>0                      WY 0159000S  814n        1985</t>
        </is>
      </c>
      <c r="F1679" t="inlineStr">
        <is>
          <t>Nursing assessment of young children vulnerable to developmental disabilities : with special reference to children with cerebral palsy / by Shirle Steele.</t>
        </is>
      </c>
      <c r="H1679" t="inlineStr">
        <is>
          <t>No</t>
        </is>
      </c>
      <c r="I1679" t="inlineStr">
        <is>
          <t>1</t>
        </is>
      </c>
      <c r="J1679" t="inlineStr">
        <is>
          <t>No</t>
        </is>
      </c>
      <c r="K1679" t="inlineStr">
        <is>
          <t>No</t>
        </is>
      </c>
      <c r="L1679" t="inlineStr">
        <is>
          <t>0</t>
        </is>
      </c>
      <c r="M1679" t="inlineStr">
        <is>
          <t>Steele, Shirley.</t>
        </is>
      </c>
      <c r="N1679" t="inlineStr">
        <is>
          <t>[S.l.] : Sparks Center, c1985.</t>
        </is>
      </c>
      <c r="O1679" t="inlineStr">
        <is>
          <t>1985</t>
        </is>
      </c>
      <c r="Q1679" t="inlineStr">
        <is>
          <t>eng</t>
        </is>
      </c>
      <c r="R1679" t="inlineStr">
        <is>
          <t xml:space="preserve">xx </t>
        </is>
      </c>
      <c r="T1679" t="inlineStr">
        <is>
          <t xml:space="preserve">WY </t>
        </is>
      </c>
      <c r="U1679" t="n">
        <v>3</v>
      </c>
      <c r="V1679" t="n">
        <v>3</v>
      </c>
      <c r="W1679" t="inlineStr">
        <is>
          <t>1998-02-10</t>
        </is>
      </c>
      <c r="X1679" t="inlineStr">
        <is>
          <t>1998-02-10</t>
        </is>
      </c>
      <c r="Y1679" t="inlineStr">
        <is>
          <t>1988-07-19</t>
        </is>
      </c>
      <c r="Z1679" t="inlineStr">
        <is>
          <t>1988-07-19</t>
        </is>
      </c>
      <c r="AA1679" t="n">
        <v>3</v>
      </c>
      <c r="AB1679" t="n">
        <v>3</v>
      </c>
      <c r="AC1679" t="n">
        <v>3</v>
      </c>
      <c r="AD1679" t="n">
        <v>1</v>
      </c>
      <c r="AE1679" t="n">
        <v>1</v>
      </c>
      <c r="AF1679" t="n">
        <v>0</v>
      </c>
      <c r="AG1679" t="n">
        <v>0</v>
      </c>
      <c r="AH1679" t="n">
        <v>0</v>
      </c>
      <c r="AI1679" t="n">
        <v>0</v>
      </c>
      <c r="AJ1679" t="n">
        <v>0</v>
      </c>
      <c r="AK1679" t="n">
        <v>0</v>
      </c>
      <c r="AL1679" t="n">
        <v>0</v>
      </c>
      <c r="AM1679" t="n">
        <v>0</v>
      </c>
      <c r="AN1679" t="n">
        <v>0</v>
      </c>
      <c r="AO1679" t="n">
        <v>0</v>
      </c>
      <c r="AP1679" t="n">
        <v>0</v>
      </c>
      <c r="AQ1679" t="n">
        <v>0</v>
      </c>
      <c r="AR1679" t="inlineStr">
        <is>
          <t>No</t>
        </is>
      </c>
      <c r="AS1679" t="inlineStr">
        <is>
          <t>No</t>
        </is>
      </c>
      <c r="AU1679">
        <f>HYPERLINK("https://creighton-primo.hosted.exlibrisgroup.com/primo-explore/search?tab=default_tab&amp;search_scope=EVERYTHING&amp;vid=01CRU&amp;lang=en_US&amp;offset=0&amp;query=any,contains,991000629879702656","Catalog Record")</f>
        <v/>
      </c>
      <c r="AV1679">
        <f>HYPERLINK("http://www.worldcat.org/oclc/18232390","WorldCat Record")</f>
        <v/>
      </c>
      <c r="AW1679" t="inlineStr">
        <is>
          <t>17683968:eng</t>
        </is>
      </c>
      <c r="AX1679" t="inlineStr">
        <is>
          <t>18232390</t>
        </is>
      </c>
      <c r="AY1679" t="inlineStr">
        <is>
          <t>991000629879702656</t>
        </is>
      </c>
      <c r="AZ1679" t="inlineStr">
        <is>
          <t>991000629879702656</t>
        </is>
      </c>
      <c r="BA1679" t="inlineStr">
        <is>
          <t>2257371830002656</t>
        </is>
      </c>
      <c r="BB1679" t="inlineStr">
        <is>
          <t>BOOK</t>
        </is>
      </c>
      <c r="BE1679" t="inlineStr">
        <is>
          <t>30001000015455</t>
        </is>
      </c>
      <c r="BF1679" t="inlineStr">
        <is>
          <t>893647765</t>
        </is>
      </c>
    </row>
    <row r="1680">
      <c r="A1680" t="inlineStr">
        <is>
          <t>No</t>
        </is>
      </c>
      <c r="B1680" t="inlineStr">
        <is>
          <t>CUHSL</t>
        </is>
      </c>
      <c r="C1680" t="inlineStr">
        <is>
          <t>SHELVES</t>
        </is>
      </c>
      <c r="D1680" t="inlineStr">
        <is>
          <t>WY 159 S933 1947</t>
        </is>
      </c>
      <c r="E1680" t="inlineStr">
        <is>
          <t>0                      WY 0159000S  933         1947</t>
        </is>
      </c>
      <c r="F1680" t="inlineStr">
        <is>
          <t>A study of pediatric nursing / sponsored by U.S. Children's Bureau and National League of Nursing Education in cooperation with New York Hospital.</t>
        </is>
      </c>
      <c r="H1680" t="inlineStr">
        <is>
          <t>No</t>
        </is>
      </c>
      <c r="I1680" t="inlineStr">
        <is>
          <t>1</t>
        </is>
      </c>
      <c r="J1680" t="inlineStr">
        <is>
          <t>No</t>
        </is>
      </c>
      <c r="K1680" t="inlineStr">
        <is>
          <t>No</t>
        </is>
      </c>
      <c r="L1680" t="inlineStr">
        <is>
          <t>0</t>
        </is>
      </c>
      <c r="N1680" t="inlineStr">
        <is>
          <t>New York : National League of Nursing Education, 1947.</t>
        </is>
      </c>
      <c r="O1680" t="inlineStr">
        <is>
          <t>1947</t>
        </is>
      </c>
      <c r="Q1680" t="inlineStr">
        <is>
          <t>eng</t>
        </is>
      </c>
      <c r="R1680" t="inlineStr">
        <is>
          <t>nyu</t>
        </is>
      </c>
      <c r="T1680" t="inlineStr">
        <is>
          <t xml:space="preserve">WY </t>
        </is>
      </c>
      <c r="U1680" t="n">
        <v>3</v>
      </c>
      <c r="V1680" t="n">
        <v>3</v>
      </c>
      <c r="W1680" t="inlineStr">
        <is>
          <t>1990-07-03</t>
        </is>
      </c>
      <c r="X1680" t="inlineStr">
        <is>
          <t>1990-07-03</t>
        </is>
      </c>
      <c r="Y1680" t="inlineStr">
        <is>
          <t>1987-11-19</t>
        </is>
      </c>
      <c r="Z1680" t="inlineStr">
        <is>
          <t>1987-11-19</t>
        </is>
      </c>
      <c r="AA1680" t="n">
        <v>38</v>
      </c>
      <c r="AB1680" t="n">
        <v>36</v>
      </c>
      <c r="AC1680" t="n">
        <v>43</v>
      </c>
      <c r="AD1680" t="n">
        <v>1</v>
      </c>
      <c r="AE1680" t="n">
        <v>1</v>
      </c>
      <c r="AF1680" t="n">
        <v>2</v>
      </c>
      <c r="AG1680" t="n">
        <v>2</v>
      </c>
      <c r="AH1680" t="n">
        <v>0</v>
      </c>
      <c r="AI1680" t="n">
        <v>0</v>
      </c>
      <c r="AJ1680" t="n">
        <v>0</v>
      </c>
      <c r="AK1680" t="n">
        <v>0</v>
      </c>
      <c r="AL1680" t="n">
        <v>2</v>
      </c>
      <c r="AM1680" t="n">
        <v>2</v>
      </c>
      <c r="AN1680" t="n">
        <v>0</v>
      </c>
      <c r="AO1680" t="n">
        <v>0</v>
      </c>
      <c r="AP1680" t="n">
        <v>0</v>
      </c>
      <c r="AQ1680" t="n">
        <v>0</v>
      </c>
      <c r="AR1680" t="inlineStr">
        <is>
          <t>Yes</t>
        </is>
      </c>
      <c r="AS1680" t="inlineStr">
        <is>
          <t>No</t>
        </is>
      </c>
      <c r="AT1680">
        <f>HYPERLINK("http://catalog.hathitrust.org/Record/001574836","HathiTrust Record")</f>
        <v/>
      </c>
      <c r="AU1680">
        <f>HYPERLINK("https://creighton-primo.hosted.exlibrisgroup.com/primo-explore/search?tab=default_tab&amp;search_scope=EVERYTHING&amp;vid=01CRU&amp;lang=en_US&amp;offset=0&amp;query=any,contains,991001518429702656","Catalog Record")</f>
        <v/>
      </c>
      <c r="AV1680">
        <f>HYPERLINK("http://www.worldcat.org/oclc/3727726","WorldCat Record")</f>
        <v/>
      </c>
      <c r="AW1680" t="inlineStr">
        <is>
          <t>12351064:eng</t>
        </is>
      </c>
      <c r="AX1680" t="inlineStr">
        <is>
          <t>3727726</t>
        </is>
      </c>
      <c r="AY1680" t="inlineStr">
        <is>
          <t>991001518429702656</t>
        </is>
      </c>
      <c r="AZ1680" t="inlineStr">
        <is>
          <t>991001518429702656</t>
        </is>
      </c>
      <c r="BA1680" t="inlineStr">
        <is>
          <t>2263410350002656</t>
        </is>
      </c>
      <c r="BB1680" t="inlineStr">
        <is>
          <t>BOOK</t>
        </is>
      </c>
      <c r="BE1680" t="inlineStr">
        <is>
          <t>30001000600470</t>
        </is>
      </c>
      <c r="BF1680" t="inlineStr">
        <is>
          <t>893465602</t>
        </is>
      </c>
    </row>
    <row r="1681">
      <c r="A1681" t="inlineStr">
        <is>
          <t>No</t>
        </is>
      </c>
      <c r="B1681" t="inlineStr">
        <is>
          <t>CUHSL</t>
        </is>
      </c>
      <c r="C1681" t="inlineStr">
        <is>
          <t>SHELVES</t>
        </is>
      </c>
      <c r="D1681" t="inlineStr">
        <is>
          <t>WY 159 T118f 1981</t>
        </is>
      </c>
      <c r="E1681" t="inlineStr">
        <is>
          <t>0                      WY 0159000T  118f        1981</t>
        </is>
      </c>
      <c r="F1681" t="inlineStr">
        <is>
          <t>Family centered care of children and adolescents : nursing concepts in child health / Jo Joyce Marie Tackett, Mabel Hunsberger.</t>
        </is>
      </c>
      <c r="H1681" t="inlineStr">
        <is>
          <t>No</t>
        </is>
      </c>
      <c r="I1681" t="inlineStr">
        <is>
          <t>1</t>
        </is>
      </c>
      <c r="J1681" t="inlineStr">
        <is>
          <t>No</t>
        </is>
      </c>
      <c r="K1681" t="inlineStr">
        <is>
          <t>No</t>
        </is>
      </c>
      <c r="L1681" t="inlineStr">
        <is>
          <t>0</t>
        </is>
      </c>
      <c r="M1681" t="inlineStr">
        <is>
          <t>Tackett-Anderson, Jo Joyce.</t>
        </is>
      </c>
      <c r="N1681" t="inlineStr">
        <is>
          <t>Philadelphia : Saunders, 1981.</t>
        </is>
      </c>
      <c r="O1681" t="inlineStr">
        <is>
          <t>1981</t>
        </is>
      </c>
      <c r="Q1681" t="inlineStr">
        <is>
          <t>eng</t>
        </is>
      </c>
      <c r="R1681" t="inlineStr">
        <is>
          <t>xxu</t>
        </is>
      </c>
      <c r="T1681" t="inlineStr">
        <is>
          <t xml:space="preserve">WY </t>
        </is>
      </c>
      <c r="U1681" t="n">
        <v>3</v>
      </c>
      <c r="V1681" t="n">
        <v>3</v>
      </c>
      <c r="W1681" t="inlineStr">
        <is>
          <t>2004-09-16</t>
        </is>
      </c>
      <c r="X1681" t="inlineStr">
        <is>
          <t>2004-09-16</t>
        </is>
      </c>
      <c r="Y1681" t="inlineStr">
        <is>
          <t>1987-12-28</t>
        </is>
      </c>
      <c r="Z1681" t="inlineStr">
        <is>
          <t>1987-12-28</t>
        </is>
      </c>
      <c r="AA1681" t="n">
        <v>259</v>
      </c>
      <c r="AB1681" t="n">
        <v>208</v>
      </c>
      <c r="AC1681" t="n">
        <v>208</v>
      </c>
      <c r="AD1681" t="n">
        <v>3</v>
      </c>
      <c r="AE1681" t="n">
        <v>3</v>
      </c>
      <c r="AF1681" t="n">
        <v>9</v>
      </c>
      <c r="AG1681" t="n">
        <v>9</v>
      </c>
      <c r="AH1681" t="n">
        <v>4</v>
      </c>
      <c r="AI1681" t="n">
        <v>4</v>
      </c>
      <c r="AJ1681" t="n">
        <v>1</v>
      </c>
      <c r="AK1681" t="n">
        <v>1</v>
      </c>
      <c r="AL1681" t="n">
        <v>3</v>
      </c>
      <c r="AM1681" t="n">
        <v>3</v>
      </c>
      <c r="AN1681" t="n">
        <v>2</v>
      </c>
      <c r="AO1681" t="n">
        <v>2</v>
      </c>
      <c r="AP1681" t="n">
        <v>0</v>
      </c>
      <c r="AQ1681" t="n">
        <v>0</v>
      </c>
      <c r="AR1681" t="inlineStr">
        <is>
          <t>No</t>
        </is>
      </c>
      <c r="AS1681" t="inlineStr">
        <is>
          <t>No</t>
        </is>
      </c>
      <c r="AU1681">
        <f>HYPERLINK("https://creighton-primo.hosted.exlibrisgroup.com/primo-explore/search?tab=default_tab&amp;search_scope=EVERYTHING&amp;vid=01CRU&amp;lang=en_US&amp;offset=0&amp;query=any,contains,991000924969702656","Catalog Record")</f>
        <v/>
      </c>
      <c r="AV1681">
        <f>HYPERLINK("http://www.worldcat.org/oclc/7329108","WorldCat Record")</f>
        <v/>
      </c>
      <c r="AW1681" t="inlineStr">
        <is>
          <t>364430384:eng</t>
        </is>
      </c>
      <c r="AX1681" t="inlineStr">
        <is>
          <t>7329108</t>
        </is>
      </c>
      <c r="AY1681" t="inlineStr">
        <is>
          <t>991000924969702656</t>
        </is>
      </c>
      <c r="AZ1681" t="inlineStr">
        <is>
          <t>991000924969702656</t>
        </is>
      </c>
      <c r="BA1681" t="inlineStr">
        <is>
          <t>2271958390002656</t>
        </is>
      </c>
      <c r="BB1681" t="inlineStr">
        <is>
          <t>BOOK</t>
        </is>
      </c>
      <c r="BD1681" t="inlineStr">
        <is>
          <t>9780721687407</t>
        </is>
      </c>
      <c r="BE1681" t="inlineStr">
        <is>
          <t>30001000182693</t>
        </is>
      </c>
      <c r="BF1681" t="inlineStr">
        <is>
          <t>893743566</t>
        </is>
      </c>
    </row>
    <row r="1682">
      <c r="A1682" t="inlineStr">
        <is>
          <t>No</t>
        </is>
      </c>
      <c r="B1682" t="inlineStr">
        <is>
          <t>CUHSL</t>
        </is>
      </c>
      <c r="C1682" t="inlineStr">
        <is>
          <t>SHELVES</t>
        </is>
      </c>
      <c r="D1682" t="inlineStr">
        <is>
          <t>WY 159 T469p 1997</t>
        </is>
      </c>
      <c r="E1682" t="inlineStr">
        <is>
          <t>0                      WY 0159000T  469p        1997</t>
        </is>
      </c>
      <c r="F1682" t="inlineStr">
        <is>
          <t>Thompson's pediatric nursing : an introductory text.</t>
        </is>
      </c>
      <c r="H1682" t="inlineStr">
        <is>
          <t>No</t>
        </is>
      </c>
      <c r="I1682" t="inlineStr">
        <is>
          <t>1</t>
        </is>
      </c>
      <c r="J1682" t="inlineStr">
        <is>
          <t>No</t>
        </is>
      </c>
      <c r="K1682" t="inlineStr">
        <is>
          <t>Yes</t>
        </is>
      </c>
      <c r="L1682" t="inlineStr">
        <is>
          <t>0</t>
        </is>
      </c>
      <c r="M1682" t="inlineStr">
        <is>
          <t>Schulte, Elizabeth.</t>
        </is>
      </c>
      <c r="N1682" t="inlineStr">
        <is>
          <t>Philadelphia : W.B. Saunders, c1997.</t>
        </is>
      </c>
      <c r="O1682" t="inlineStr">
        <is>
          <t>1997</t>
        </is>
      </c>
      <c r="P1682" t="inlineStr">
        <is>
          <t>7th ed. / Elizabeth B. Schulte, Debra L. Price, Susan Rowen James.</t>
        </is>
      </c>
      <c r="Q1682" t="inlineStr">
        <is>
          <t>eng</t>
        </is>
      </c>
      <c r="R1682" t="inlineStr">
        <is>
          <t>pau</t>
        </is>
      </c>
      <c r="T1682" t="inlineStr">
        <is>
          <t xml:space="preserve">WY </t>
        </is>
      </c>
      <c r="U1682" t="n">
        <v>5</v>
      </c>
      <c r="V1682" t="n">
        <v>5</v>
      </c>
      <c r="W1682" t="inlineStr">
        <is>
          <t>2001-06-18</t>
        </is>
      </c>
      <c r="X1682" t="inlineStr">
        <is>
          <t>2001-06-18</t>
        </is>
      </c>
      <c r="Y1682" t="inlineStr">
        <is>
          <t>1997-07-24</t>
        </is>
      </c>
      <c r="Z1682" t="inlineStr">
        <is>
          <t>1997-07-24</t>
        </is>
      </c>
      <c r="AA1682" t="n">
        <v>168</v>
      </c>
      <c r="AB1682" t="n">
        <v>128</v>
      </c>
      <c r="AC1682" t="n">
        <v>212</v>
      </c>
      <c r="AD1682" t="n">
        <v>1</v>
      </c>
      <c r="AE1682" t="n">
        <v>1</v>
      </c>
      <c r="AF1682" t="n">
        <v>1</v>
      </c>
      <c r="AG1682" t="n">
        <v>2</v>
      </c>
      <c r="AH1682" t="n">
        <v>0</v>
      </c>
      <c r="AI1682" t="n">
        <v>1</v>
      </c>
      <c r="AJ1682" t="n">
        <v>0</v>
      </c>
      <c r="AK1682" t="n">
        <v>0</v>
      </c>
      <c r="AL1682" t="n">
        <v>1</v>
      </c>
      <c r="AM1682" t="n">
        <v>1</v>
      </c>
      <c r="AN1682" t="n">
        <v>0</v>
      </c>
      <c r="AO1682" t="n">
        <v>0</v>
      </c>
      <c r="AP1682" t="n">
        <v>0</v>
      </c>
      <c r="AQ1682" t="n">
        <v>0</v>
      </c>
      <c r="AR1682" t="inlineStr">
        <is>
          <t>No</t>
        </is>
      </c>
      <c r="AS1682" t="inlineStr">
        <is>
          <t>Yes</t>
        </is>
      </c>
      <c r="AT1682">
        <f>HYPERLINK("http://catalog.hathitrust.org/Record/003269744","HathiTrust Record")</f>
        <v/>
      </c>
      <c r="AU1682">
        <f>HYPERLINK("https://creighton-primo.hosted.exlibrisgroup.com/primo-explore/search?tab=default_tab&amp;search_scope=EVERYTHING&amp;vid=01CRU&amp;lang=en_US&amp;offset=0&amp;query=any,contains,991001259959702656","Catalog Record")</f>
        <v/>
      </c>
      <c r="AV1682">
        <f>HYPERLINK("http://www.worldcat.org/oclc/36430960","WorldCat Record")</f>
        <v/>
      </c>
      <c r="AW1682" t="inlineStr">
        <is>
          <t>1070127:eng</t>
        </is>
      </c>
      <c r="AX1682" t="inlineStr">
        <is>
          <t>36430960</t>
        </is>
      </c>
      <c r="AY1682" t="inlineStr">
        <is>
          <t>991001259959702656</t>
        </is>
      </c>
      <c r="AZ1682" t="inlineStr">
        <is>
          <t>991001259959702656</t>
        </is>
      </c>
      <c r="BA1682" t="inlineStr">
        <is>
          <t>2267866400002656</t>
        </is>
      </c>
      <c r="BB1682" t="inlineStr">
        <is>
          <t>BOOK</t>
        </is>
      </c>
      <c r="BD1682" t="inlineStr">
        <is>
          <t>9780721642390</t>
        </is>
      </c>
      <c r="BE1682" t="inlineStr">
        <is>
          <t>30001003690767</t>
        </is>
      </c>
      <c r="BF1682" t="inlineStr">
        <is>
          <t>893649020</t>
        </is>
      </c>
    </row>
    <row r="1683">
      <c r="A1683" t="inlineStr">
        <is>
          <t>No</t>
        </is>
      </c>
      <c r="B1683" t="inlineStr">
        <is>
          <t>CUHSL</t>
        </is>
      </c>
      <c r="C1683" t="inlineStr">
        <is>
          <t>SHELVES</t>
        </is>
      </c>
      <c r="D1683" t="inlineStr">
        <is>
          <t>WY 159 W522e 1985</t>
        </is>
      </c>
      <c r="E1683" t="inlineStr">
        <is>
          <t>0                      WY 0159000W  522e        1985</t>
        </is>
      </c>
      <c r="F1683" t="inlineStr">
        <is>
          <t>Essentials of pediatric nursing / Lucille F. Whaley, Donna L. Wong.</t>
        </is>
      </c>
      <c r="H1683" t="inlineStr">
        <is>
          <t>No</t>
        </is>
      </c>
      <c r="I1683" t="inlineStr">
        <is>
          <t>1</t>
        </is>
      </c>
      <c r="J1683" t="inlineStr">
        <is>
          <t>No</t>
        </is>
      </c>
      <c r="K1683" t="inlineStr">
        <is>
          <t>No</t>
        </is>
      </c>
      <c r="L1683" t="inlineStr">
        <is>
          <t>0</t>
        </is>
      </c>
      <c r="M1683" t="inlineStr">
        <is>
          <t>Whaley, Lucille F., 1923-</t>
        </is>
      </c>
      <c r="N1683" t="inlineStr">
        <is>
          <t>St. Louis : Mosby, c1985.</t>
        </is>
      </c>
      <c r="O1683" t="inlineStr">
        <is>
          <t>1985</t>
        </is>
      </c>
      <c r="P1683" t="inlineStr">
        <is>
          <t>2nd ed.</t>
        </is>
      </c>
      <c r="Q1683" t="inlineStr">
        <is>
          <t>eng</t>
        </is>
      </c>
      <c r="R1683" t="inlineStr">
        <is>
          <t xml:space="preserve">jo </t>
        </is>
      </c>
      <c r="T1683" t="inlineStr">
        <is>
          <t xml:space="preserve">WY </t>
        </is>
      </c>
      <c r="U1683" t="n">
        <v>12</v>
      </c>
      <c r="V1683" t="n">
        <v>12</v>
      </c>
      <c r="W1683" t="inlineStr">
        <is>
          <t>1991-09-19</t>
        </is>
      </c>
      <c r="X1683" t="inlineStr">
        <is>
          <t>1991-09-19</t>
        </is>
      </c>
      <c r="Y1683" t="inlineStr">
        <is>
          <t>1987-12-28</t>
        </is>
      </c>
      <c r="Z1683" t="inlineStr">
        <is>
          <t>1987-12-28</t>
        </is>
      </c>
      <c r="AA1683" t="n">
        <v>241</v>
      </c>
      <c r="AB1683" t="n">
        <v>197</v>
      </c>
      <c r="AC1683" t="n">
        <v>399</v>
      </c>
      <c r="AD1683" t="n">
        <v>1</v>
      </c>
      <c r="AE1683" t="n">
        <v>2</v>
      </c>
      <c r="AF1683" t="n">
        <v>4</v>
      </c>
      <c r="AG1683" t="n">
        <v>10</v>
      </c>
      <c r="AH1683" t="n">
        <v>0</v>
      </c>
      <c r="AI1683" t="n">
        <v>2</v>
      </c>
      <c r="AJ1683" t="n">
        <v>1</v>
      </c>
      <c r="AK1683" t="n">
        <v>2</v>
      </c>
      <c r="AL1683" t="n">
        <v>3</v>
      </c>
      <c r="AM1683" t="n">
        <v>7</v>
      </c>
      <c r="AN1683" t="n">
        <v>0</v>
      </c>
      <c r="AO1683" t="n">
        <v>1</v>
      </c>
      <c r="AP1683" t="n">
        <v>0</v>
      </c>
      <c r="AQ1683" t="n">
        <v>0</v>
      </c>
      <c r="AR1683" t="inlineStr">
        <is>
          <t>No</t>
        </is>
      </c>
      <c r="AS1683" t="inlineStr">
        <is>
          <t>Yes</t>
        </is>
      </c>
      <c r="AT1683">
        <f>HYPERLINK("http://catalog.hathitrust.org/Record/000458140","HathiTrust Record")</f>
        <v/>
      </c>
      <c r="AU1683">
        <f>HYPERLINK("https://creighton-primo.hosted.exlibrisgroup.com/primo-explore/search?tab=default_tab&amp;search_scope=EVERYTHING&amp;vid=01CRU&amp;lang=en_US&amp;offset=0&amp;query=any,contains,991000925119702656","Catalog Record")</f>
        <v/>
      </c>
      <c r="AV1683">
        <f>HYPERLINK("http://www.worldcat.org/oclc/11157284","WorldCat Record")</f>
        <v/>
      </c>
      <c r="AW1683" t="inlineStr">
        <is>
          <t>3731011:eng</t>
        </is>
      </c>
      <c r="AX1683" t="inlineStr">
        <is>
          <t>11157284</t>
        </is>
      </c>
      <c r="AY1683" t="inlineStr">
        <is>
          <t>991000925119702656</t>
        </is>
      </c>
      <c r="AZ1683" t="inlineStr">
        <is>
          <t>991000925119702656</t>
        </is>
      </c>
      <c r="BA1683" t="inlineStr">
        <is>
          <t>2257728750002656</t>
        </is>
      </c>
      <c r="BB1683" t="inlineStr">
        <is>
          <t>BOOK</t>
        </is>
      </c>
      <c r="BD1683" t="inlineStr">
        <is>
          <t>9780801654145</t>
        </is>
      </c>
      <c r="BE1683" t="inlineStr">
        <is>
          <t>30001000182743</t>
        </is>
      </c>
      <c r="BF1683" t="inlineStr">
        <is>
          <t>893121024</t>
        </is>
      </c>
    </row>
    <row r="1684">
      <c r="A1684" t="inlineStr">
        <is>
          <t>No</t>
        </is>
      </c>
      <c r="B1684" t="inlineStr">
        <is>
          <t>CUHSL</t>
        </is>
      </c>
      <c r="C1684" t="inlineStr">
        <is>
          <t>SHELVES</t>
        </is>
      </c>
      <c r="D1684" t="inlineStr">
        <is>
          <t>WY 159 W5523 1999</t>
        </is>
      </c>
      <c r="E1684" t="inlineStr">
        <is>
          <t>0                      WY 0159000W  5523        1999</t>
        </is>
      </c>
      <c r="F1684" t="inlineStr">
        <is>
          <t>Whaley &amp; Wong's nursing care of infants and children / Donna L. Wong ... [et al.].</t>
        </is>
      </c>
      <c r="H1684" t="inlineStr">
        <is>
          <t>No</t>
        </is>
      </c>
      <c r="I1684" t="inlineStr">
        <is>
          <t>1</t>
        </is>
      </c>
      <c r="J1684" t="inlineStr">
        <is>
          <t>No</t>
        </is>
      </c>
      <c r="K1684" t="inlineStr">
        <is>
          <t>Yes</t>
        </is>
      </c>
      <c r="L1684" t="inlineStr">
        <is>
          <t>0</t>
        </is>
      </c>
      <c r="N1684" t="inlineStr">
        <is>
          <t>St. Louis : Mosby, c1999.</t>
        </is>
      </c>
      <c r="O1684" t="inlineStr">
        <is>
          <t>1999</t>
        </is>
      </c>
      <c r="P1684" t="inlineStr">
        <is>
          <t>6th ed.</t>
        </is>
      </c>
      <c r="Q1684" t="inlineStr">
        <is>
          <t>eng</t>
        </is>
      </c>
      <c r="R1684" t="inlineStr">
        <is>
          <t>mou</t>
        </is>
      </c>
      <c r="T1684" t="inlineStr">
        <is>
          <t xml:space="preserve">WY </t>
        </is>
      </c>
      <c r="U1684" t="n">
        <v>14</v>
      </c>
      <c r="V1684" t="n">
        <v>14</v>
      </c>
      <c r="W1684" t="inlineStr">
        <is>
          <t>2003-04-04</t>
        </is>
      </c>
      <c r="X1684" t="inlineStr">
        <is>
          <t>2003-04-04</t>
        </is>
      </c>
      <c r="Y1684" t="inlineStr">
        <is>
          <t>1999-01-19</t>
        </is>
      </c>
      <c r="Z1684" t="inlineStr">
        <is>
          <t>1999-01-19</t>
        </is>
      </c>
      <c r="AA1684" t="n">
        <v>397</v>
      </c>
      <c r="AB1684" t="n">
        <v>289</v>
      </c>
      <c r="AC1684" t="n">
        <v>444</v>
      </c>
      <c r="AD1684" t="n">
        <v>3</v>
      </c>
      <c r="AE1684" t="n">
        <v>3</v>
      </c>
      <c r="AF1684" t="n">
        <v>5</v>
      </c>
      <c r="AG1684" t="n">
        <v>8</v>
      </c>
      <c r="AH1684" t="n">
        <v>1</v>
      </c>
      <c r="AI1684" t="n">
        <v>3</v>
      </c>
      <c r="AJ1684" t="n">
        <v>0</v>
      </c>
      <c r="AK1684" t="n">
        <v>0</v>
      </c>
      <c r="AL1684" t="n">
        <v>4</v>
      </c>
      <c r="AM1684" t="n">
        <v>6</v>
      </c>
      <c r="AN1684" t="n">
        <v>1</v>
      </c>
      <c r="AO1684" t="n">
        <v>1</v>
      </c>
      <c r="AP1684" t="n">
        <v>0</v>
      </c>
      <c r="AQ1684" t="n">
        <v>0</v>
      </c>
      <c r="AR1684" t="inlineStr">
        <is>
          <t>No</t>
        </is>
      </c>
      <c r="AS1684" t="inlineStr">
        <is>
          <t>No</t>
        </is>
      </c>
      <c r="AU1684">
        <f>HYPERLINK("https://creighton-primo.hosted.exlibrisgroup.com/primo-explore/search?tab=default_tab&amp;search_scope=EVERYTHING&amp;vid=01CRU&amp;lang=en_US&amp;offset=0&amp;query=any,contains,991001805269702656","Catalog Record")</f>
        <v/>
      </c>
      <c r="AV1684">
        <f>HYPERLINK("http://www.worldcat.org/oclc/39764044","WorldCat Record")</f>
        <v/>
      </c>
      <c r="AW1684" t="inlineStr">
        <is>
          <t>3856363407:eng</t>
        </is>
      </c>
      <c r="AX1684" t="inlineStr">
        <is>
          <t>39764044</t>
        </is>
      </c>
      <c r="AY1684" t="inlineStr">
        <is>
          <t>991001805269702656</t>
        </is>
      </c>
      <c r="AZ1684" t="inlineStr">
        <is>
          <t>991001805269702656</t>
        </is>
      </c>
      <c r="BA1684" t="inlineStr">
        <is>
          <t>2266305500002656</t>
        </is>
      </c>
      <c r="BB1684" t="inlineStr">
        <is>
          <t>BOOK</t>
        </is>
      </c>
      <c r="BD1684" t="inlineStr">
        <is>
          <t>9780323001502</t>
        </is>
      </c>
      <c r="BE1684" t="inlineStr">
        <is>
          <t>30001003961747</t>
        </is>
      </c>
      <c r="BF1684" t="inlineStr">
        <is>
          <t>893168908</t>
        </is>
      </c>
    </row>
    <row r="1685">
      <c r="A1685" t="inlineStr">
        <is>
          <t>No</t>
        </is>
      </c>
      <c r="B1685" t="inlineStr">
        <is>
          <t>CUHSL</t>
        </is>
      </c>
      <c r="C1685" t="inlineStr">
        <is>
          <t>SHELVES</t>
        </is>
      </c>
      <c r="D1685" t="inlineStr">
        <is>
          <t>WY159 W8728 2001</t>
        </is>
      </c>
      <c r="E1685" t="inlineStr">
        <is>
          <t>0                      WY 0159000W  8728        2001</t>
        </is>
      </c>
      <c r="F1685" t="inlineStr">
        <is>
          <t>Wong's essentials of pediatric nursing / Donna L. Wong ... [et al.].</t>
        </is>
      </c>
      <c r="H1685" t="inlineStr">
        <is>
          <t>No</t>
        </is>
      </c>
      <c r="I1685" t="inlineStr">
        <is>
          <t>1</t>
        </is>
      </c>
      <c r="J1685" t="inlineStr">
        <is>
          <t>No</t>
        </is>
      </c>
      <c r="K1685" t="inlineStr">
        <is>
          <t>Yes</t>
        </is>
      </c>
      <c r="L1685" t="inlineStr">
        <is>
          <t>0</t>
        </is>
      </c>
      <c r="N1685" t="inlineStr">
        <is>
          <t>St. Louis : Mosby, c2001.</t>
        </is>
      </c>
      <c r="O1685" t="inlineStr">
        <is>
          <t>2001</t>
        </is>
      </c>
      <c r="P1685" t="inlineStr">
        <is>
          <t>6th ed.</t>
        </is>
      </c>
      <c r="Q1685" t="inlineStr">
        <is>
          <t>eng</t>
        </is>
      </c>
      <c r="R1685" t="inlineStr">
        <is>
          <t>mou</t>
        </is>
      </c>
      <c r="T1685" t="inlineStr">
        <is>
          <t xml:space="preserve">WY </t>
        </is>
      </c>
      <c r="U1685" t="n">
        <v>6</v>
      </c>
      <c r="V1685" t="n">
        <v>6</v>
      </c>
      <c r="W1685" t="inlineStr">
        <is>
          <t>2006-10-21</t>
        </is>
      </c>
      <c r="X1685" t="inlineStr">
        <is>
          <t>2006-10-21</t>
        </is>
      </c>
      <c r="Y1685" t="inlineStr">
        <is>
          <t>2002-07-01</t>
        </is>
      </c>
      <c r="Z1685" t="inlineStr">
        <is>
          <t>2002-07-01</t>
        </is>
      </c>
      <c r="AA1685" t="n">
        <v>310</v>
      </c>
      <c r="AB1685" t="n">
        <v>236</v>
      </c>
      <c r="AC1685" t="n">
        <v>961</v>
      </c>
      <c r="AD1685" t="n">
        <v>1</v>
      </c>
      <c r="AE1685" t="n">
        <v>4</v>
      </c>
      <c r="AF1685" t="n">
        <v>6</v>
      </c>
      <c r="AG1685" t="n">
        <v>25</v>
      </c>
      <c r="AH1685" t="n">
        <v>1</v>
      </c>
      <c r="AI1685" t="n">
        <v>7</v>
      </c>
      <c r="AJ1685" t="n">
        <v>2</v>
      </c>
      <c r="AK1685" t="n">
        <v>6</v>
      </c>
      <c r="AL1685" t="n">
        <v>3</v>
      </c>
      <c r="AM1685" t="n">
        <v>12</v>
      </c>
      <c r="AN1685" t="n">
        <v>0</v>
      </c>
      <c r="AO1685" t="n">
        <v>3</v>
      </c>
      <c r="AP1685" t="n">
        <v>0</v>
      </c>
      <c r="AQ1685" t="n">
        <v>0</v>
      </c>
      <c r="AR1685" t="inlineStr">
        <is>
          <t>No</t>
        </is>
      </c>
      <c r="AS1685" t="inlineStr">
        <is>
          <t>No</t>
        </is>
      </c>
      <c r="AU1685">
        <f>HYPERLINK("https://creighton-primo.hosted.exlibrisgroup.com/primo-explore/search?tab=default_tab&amp;search_scope=EVERYTHING&amp;vid=01CRU&amp;lang=en_US&amp;offset=0&amp;query=any,contains,991000320629702656","Catalog Record")</f>
        <v/>
      </c>
      <c r="AV1685">
        <f>HYPERLINK("http://www.worldcat.org/oclc/44579059","WorldCat Record")</f>
        <v/>
      </c>
      <c r="AW1685" t="inlineStr">
        <is>
          <t>3855428503:eng</t>
        </is>
      </c>
      <c r="AX1685" t="inlineStr">
        <is>
          <t>44579059</t>
        </is>
      </c>
      <c r="AY1685" t="inlineStr">
        <is>
          <t>991000320629702656</t>
        </is>
      </c>
      <c r="AZ1685" t="inlineStr">
        <is>
          <t>991000320629702656</t>
        </is>
      </c>
      <c r="BA1685" t="inlineStr">
        <is>
          <t>2270358670002656</t>
        </is>
      </c>
      <c r="BB1685" t="inlineStr">
        <is>
          <t>BOOK</t>
        </is>
      </c>
      <c r="BD1685" t="inlineStr">
        <is>
          <t>9780323009898</t>
        </is>
      </c>
      <c r="BE1685" t="inlineStr">
        <is>
          <t>30001004238251</t>
        </is>
      </c>
      <c r="BF1685" t="inlineStr">
        <is>
          <t>893109406</t>
        </is>
      </c>
    </row>
    <row r="1686">
      <c r="A1686" t="inlineStr">
        <is>
          <t>No</t>
        </is>
      </c>
      <c r="B1686" t="inlineStr">
        <is>
          <t>CUHSL</t>
        </is>
      </c>
      <c r="C1686" t="inlineStr">
        <is>
          <t>SHELVES</t>
        </is>
      </c>
      <c r="D1686" t="inlineStr">
        <is>
          <t>WY159 W8728 2005</t>
        </is>
      </c>
      <c r="E1686" t="inlineStr">
        <is>
          <t>0                      WY 0159000W  8728        2005</t>
        </is>
      </c>
      <c r="F1686" t="inlineStr">
        <is>
          <t>Wong's essentials of pediatric nursing.</t>
        </is>
      </c>
      <c r="H1686" t="inlineStr">
        <is>
          <t>No</t>
        </is>
      </c>
      <c r="I1686" t="inlineStr">
        <is>
          <t>1</t>
        </is>
      </c>
      <c r="J1686" t="inlineStr">
        <is>
          <t>No</t>
        </is>
      </c>
      <c r="K1686" t="inlineStr">
        <is>
          <t>Yes</t>
        </is>
      </c>
      <c r="L1686" t="inlineStr">
        <is>
          <t>0</t>
        </is>
      </c>
      <c r="N1686" t="inlineStr">
        <is>
          <t>St. Louis, Mo. : Elsevier Mosby, c2005.</t>
        </is>
      </c>
      <c r="O1686" t="inlineStr">
        <is>
          <t>2005</t>
        </is>
      </c>
      <c r="P1686" t="inlineStr">
        <is>
          <t>7th ed. / [edited by] Marilyn J. Hockenberry ; section editors, David Wilson, Marilyn L. Winkelstein.</t>
        </is>
      </c>
      <c r="Q1686" t="inlineStr">
        <is>
          <t>eng</t>
        </is>
      </c>
      <c r="R1686" t="inlineStr">
        <is>
          <t>mou</t>
        </is>
      </c>
      <c r="T1686" t="inlineStr">
        <is>
          <t xml:space="preserve">WY </t>
        </is>
      </c>
      <c r="U1686" t="n">
        <v>3</v>
      </c>
      <c r="V1686" t="n">
        <v>3</v>
      </c>
      <c r="W1686" t="inlineStr">
        <is>
          <t>2008-10-30</t>
        </is>
      </c>
      <c r="X1686" t="inlineStr">
        <is>
          <t>2008-10-30</t>
        </is>
      </c>
      <c r="Y1686" t="inlineStr">
        <is>
          <t>2005-01-13</t>
        </is>
      </c>
      <c r="Z1686" t="inlineStr">
        <is>
          <t>2005-01-13</t>
        </is>
      </c>
      <c r="AA1686" t="n">
        <v>404</v>
      </c>
      <c r="AB1686" t="n">
        <v>299</v>
      </c>
      <c r="AC1686" t="n">
        <v>961</v>
      </c>
      <c r="AD1686" t="n">
        <v>1</v>
      </c>
      <c r="AE1686" t="n">
        <v>4</v>
      </c>
      <c r="AF1686" t="n">
        <v>7</v>
      </c>
      <c r="AG1686" t="n">
        <v>25</v>
      </c>
      <c r="AH1686" t="n">
        <v>3</v>
      </c>
      <c r="AI1686" t="n">
        <v>7</v>
      </c>
      <c r="AJ1686" t="n">
        <v>1</v>
      </c>
      <c r="AK1686" t="n">
        <v>6</v>
      </c>
      <c r="AL1686" t="n">
        <v>4</v>
      </c>
      <c r="AM1686" t="n">
        <v>12</v>
      </c>
      <c r="AN1686" t="n">
        <v>0</v>
      </c>
      <c r="AO1686" t="n">
        <v>3</v>
      </c>
      <c r="AP1686" t="n">
        <v>0</v>
      </c>
      <c r="AQ1686" t="n">
        <v>0</v>
      </c>
      <c r="AR1686" t="inlineStr">
        <is>
          <t>No</t>
        </is>
      </c>
      <c r="AS1686" t="inlineStr">
        <is>
          <t>Yes</t>
        </is>
      </c>
      <c r="AT1686">
        <f>HYPERLINK("http://catalog.hathitrust.org/Record/004923836","HathiTrust Record")</f>
        <v/>
      </c>
      <c r="AU1686">
        <f>HYPERLINK("https://creighton-primo.hosted.exlibrisgroup.com/primo-explore/search?tab=default_tab&amp;search_scope=EVERYTHING&amp;vid=01CRU&amp;lang=en_US&amp;offset=0&amp;query=any,contains,991000422749702656","Catalog Record")</f>
        <v/>
      </c>
      <c r="AV1686">
        <f>HYPERLINK("http://www.worldcat.org/oclc/57250925","WorldCat Record")</f>
        <v/>
      </c>
      <c r="AW1686" t="inlineStr">
        <is>
          <t>3855428503:eng</t>
        </is>
      </c>
      <c r="AX1686" t="inlineStr">
        <is>
          <t>57250925</t>
        </is>
      </c>
      <c r="AY1686" t="inlineStr">
        <is>
          <t>991000422749702656</t>
        </is>
      </c>
      <c r="AZ1686" t="inlineStr">
        <is>
          <t>991000422749702656</t>
        </is>
      </c>
      <c r="BA1686" t="inlineStr">
        <is>
          <t>2272247610002656</t>
        </is>
      </c>
      <c r="BB1686" t="inlineStr">
        <is>
          <t>BOOK</t>
        </is>
      </c>
      <c r="BD1686" t="inlineStr">
        <is>
          <t>9780323025935</t>
        </is>
      </c>
      <c r="BE1686" t="inlineStr">
        <is>
          <t>30001004926343</t>
        </is>
      </c>
      <c r="BF1686" t="inlineStr">
        <is>
          <t>893447274</t>
        </is>
      </c>
    </row>
    <row r="1687">
      <c r="A1687" t="inlineStr">
        <is>
          <t>No</t>
        </is>
      </c>
      <c r="B1687" t="inlineStr">
        <is>
          <t>CUHSL</t>
        </is>
      </c>
      <c r="C1687" t="inlineStr">
        <is>
          <t>SHELVES</t>
        </is>
      </c>
      <c r="D1687" t="inlineStr">
        <is>
          <t>WY159 W872p 2000</t>
        </is>
      </c>
      <c r="E1687" t="inlineStr">
        <is>
          <t>0                      WY 0159000W  872p        2000</t>
        </is>
      </c>
      <c r="F1687" t="inlineStr">
        <is>
          <t>Pediatric quick reference / Donna L. Wong.</t>
        </is>
      </c>
      <c r="H1687" t="inlineStr">
        <is>
          <t>No</t>
        </is>
      </c>
      <c r="I1687" t="inlineStr">
        <is>
          <t>1</t>
        </is>
      </c>
      <c r="J1687" t="inlineStr">
        <is>
          <t>No</t>
        </is>
      </c>
      <c r="K1687" t="inlineStr">
        <is>
          <t>No</t>
        </is>
      </c>
      <c r="L1687" t="inlineStr">
        <is>
          <t>0</t>
        </is>
      </c>
      <c r="M1687" t="inlineStr">
        <is>
          <t>Wong, Donna L., 1948-2008.</t>
        </is>
      </c>
      <c r="N1687" t="inlineStr">
        <is>
          <t>St. Louis : Mosby Year Book, c2000.</t>
        </is>
      </c>
      <c r="O1687" t="inlineStr">
        <is>
          <t>2000</t>
        </is>
      </c>
      <c r="P1687" t="inlineStr">
        <is>
          <t>3rd ed.</t>
        </is>
      </c>
      <c r="Q1687" t="inlineStr">
        <is>
          <t>eng</t>
        </is>
      </c>
      <c r="R1687" t="inlineStr">
        <is>
          <t>mou</t>
        </is>
      </c>
      <c r="T1687" t="inlineStr">
        <is>
          <t xml:space="preserve">WY </t>
        </is>
      </c>
      <c r="U1687" t="n">
        <v>1</v>
      </c>
      <c r="V1687" t="n">
        <v>1</v>
      </c>
      <c r="W1687" t="inlineStr">
        <is>
          <t>2002-10-17</t>
        </is>
      </c>
      <c r="X1687" t="inlineStr">
        <is>
          <t>2002-10-17</t>
        </is>
      </c>
      <c r="Y1687" t="inlineStr">
        <is>
          <t>2002-06-28</t>
        </is>
      </c>
      <c r="Z1687" t="inlineStr">
        <is>
          <t>2002-06-28</t>
        </is>
      </c>
      <c r="AA1687" t="n">
        <v>205</v>
      </c>
      <c r="AB1687" t="n">
        <v>152</v>
      </c>
      <c r="AC1687" t="n">
        <v>317</v>
      </c>
      <c r="AD1687" t="n">
        <v>1</v>
      </c>
      <c r="AE1687" t="n">
        <v>2</v>
      </c>
      <c r="AF1687" t="n">
        <v>3</v>
      </c>
      <c r="AG1687" t="n">
        <v>5</v>
      </c>
      <c r="AH1687" t="n">
        <v>0</v>
      </c>
      <c r="AI1687" t="n">
        <v>0</v>
      </c>
      <c r="AJ1687" t="n">
        <v>1</v>
      </c>
      <c r="AK1687" t="n">
        <v>2</v>
      </c>
      <c r="AL1687" t="n">
        <v>2</v>
      </c>
      <c r="AM1687" t="n">
        <v>4</v>
      </c>
      <c r="AN1687" t="n">
        <v>0</v>
      </c>
      <c r="AO1687" t="n">
        <v>0</v>
      </c>
      <c r="AP1687" t="n">
        <v>0</v>
      </c>
      <c r="AQ1687" t="n">
        <v>0</v>
      </c>
      <c r="AR1687" t="inlineStr">
        <is>
          <t>No</t>
        </is>
      </c>
      <c r="AS1687" t="inlineStr">
        <is>
          <t>Yes</t>
        </is>
      </c>
      <c r="AT1687">
        <f>HYPERLINK("http://catalog.hathitrust.org/Record/004080071","HathiTrust Record")</f>
        <v/>
      </c>
      <c r="AU1687">
        <f>HYPERLINK("https://creighton-primo.hosted.exlibrisgroup.com/primo-explore/search?tab=default_tab&amp;search_scope=EVERYTHING&amp;vid=01CRU&amp;lang=en_US&amp;offset=0&amp;query=any,contains,991000320409702656","Catalog Record")</f>
        <v/>
      </c>
      <c r="AV1687">
        <f>HYPERLINK("http://www.worldcat.org/oclc/43274699","WorldCat Record")</f>
        <v/>
      </c>
      <c r="AW1687" t="inlineStr">
        <is>
          <t>222601961:eng</t>
        </is>
      </c>
      <c r="AX1687" t="inlineStr">
        <is>
          <t>43274699</t>
        </is>
      </c>
      <c r="AY1687" t="inlineStr">
        <is>
          <t>991000320409702656</t>
        </is>
      </c>
      <c r="AZ1687" t="inlineStr">
        <is>
          <t>991000320409702656</t>
        </is>
      </c>
      <c r="BA1687" t="inlineStr">
        <is>
          <t>2267197040002656</t>
        </is>
      </c>
      <c r="BB1687" t="inlineStr">
        <is>
          <t>BOOK</t>
        </is>
      </c>
      <c r="BD1687" t="inlineStr">
        <is>
          <t>9780323010566</t>
        </is>
      </c>
      <c r="BE1687" t="inlineStr">
        <is>
          <t>30001004238400</t>
        </is>
      </c>
      <c r="BF1687" t="inlineStr">
        <is>
          <t>893136738</t>
        </is>
      </c>
    </row>
    <row r="1688">
      <c r="A1688" t="inlineStr">
        <is>
          <t>No</t>
        </is>
      </c>
      <c r="B1688" t="inlineStr">
        <is>
          <t>CUHSL</t>
        </is>
      </c>
      <c r="C1688" t="inlineStr">
        <is>
          <t>SHELVES</t>
        </is>
      </c>
      <c r="D1688" t="inlineStr">
        <is>
          <t>WY159 W872sa 2000</t>
        </is>
      </c>
      <c r="E1688" t="inlineStr">
        <is>
          <t>0                      WY 0159000W  872sa       2000</t>
        </is>
      </c>
      <c r="F1688" t="inlineStr">
        <is>
          <t>Wong and Whaley's clinical manual of pediatric nursing / Donna L. Wong, Caryn Stoermer Hess ; with community and home care instructions by Christina Algiere Kasprisin.</t>
        </is>
      </c>
      <c r="H1688" t="inlineStr">
        <is>
          <t>No</t>
        </is>
      </c>
      <c r="I1688" t="inlineStr">
        <is>
          <t>1</t>
        </is>
      </c>
      <c r="J1688" t="inlineStr">
        <is>
          <t>No</t>
        </is>
      </c>
      <c r="K1688" t="inlineStr">
        <is>
          <t>Yes</t>
        </is>
      </c>
      <c r="L1688" t="inlineStr">
        <is>
          <t>0</t>
        </is>
      </c>
      <c r="M1688" t="inlineStr">
        <is>
          <t>Wong, Donna L., 1948-2008.</t>
        </is>
      </c>
      <c r="N1688" t="inlineStr">
        <is>
          <t>St. Louis : Mosby, c2000.</t>
        </is>
      </c>
      <c r="O1688" t="inlineStr">
        <is>
          <t>2000</t>
        </is>
      </c>
      <c r="P1688" t="inlineStr">
        <is>
          <t>5th ed.</t>
        </is>
      </c>
      <c r="Q1688" t="inlineStr">
        <is>
          <t>eng</t>
        </is>
      </c>
      <c r="R1688" t="inlineStr">
        <is>
          <t>mou</t>
        </is>
      </c>
      <c r="T1688" t="inlineStr">
        <is>
          <t xml:space="preserve">WY </t>
        </is>
      </c>
      <c r="U1688" t="n">
        <v>2</v>
      </c>
      <c r="V1688" t="n">
        <v>2</v>
      </c>
      <c r="W1688" t="inlineStr">
        <is>
          <t>2006-10-21</t>
        </is>
      </c>
      <c r="X1688" t="inlineStr">
        <is>
          <t>2006-10-21</t>
        </is>
      </c>
      <c r="Y1688" t="inlineStr">
        <is>
          <t>2002-06-28</t>
        </is>
      </c>
      <c r="Z1688" t="inlineStr">
        <is>
          <t>2002-06-28</t>
        </is>
      </c>
      <c r="AA1688" t="n">
        <v>382</v>
      </c>
      <c r="AB1688" t="n">
        <v>316</v>
      </c>
      <c r="AC1688" t="n">
        <v>418</v>
      </c>
      <c r="AD1688" t="n">
        <v>2</v>
      </c>
      <c r="AE1688" t="n">
        <v>2</v>
      </c>
      <c r="AF1688" t="n">
        <v>7</v>
      </c>
      <c r="AG1688" t="n">
        <v>9</v>
      </c>
      <c r="AH1688" t="n">
        <v>1</v>
      </c>
      <c r="AI1688" t="n">
        <v>3</v>
      </c>
      <c r="AJ1688" t="n">
        <v>2</v>
      </c>
      <c r="AK1688" t="n">
        <v>2</v>
      </c>
      <c r="AL1688" t="n">
        <v>4</v>
      </c>
      <c r="AM1688" t="n">
        <v>4</v>
      </c>
      <c r="AN1688" t="n">
        <v>1</v>
      </c>
      <c r="AO1688" t="n">
        <v>1</v>
      </c>
      <c r="AP1688" t="n">
        <v>0</v>
      </c>
      <c r="AQ1688" t="n">
        <v>0</v>
      </c>
      <c r="AR1688" t="inlineStr">
        <is>
          <t>No</t>
        </is>
      </c>
      <c r="AS1688" t="inlineStr">
        <is>
          <t>Yes</t>
        </is>
      </c>
      <c r="AT1688">
        <f>HYPERLINK("http://catalog.hathitrust.org/Record/003474641","HathiTrust Record")</f>
        <v/>
      </c>
      <c r="AU1688">
        <f>HYPERLINK("https://creighton-primo.hosted.exlibrisgroup.com/primo-explore/search?tab=default_tab&amp;search_scope=EVERYTHING&amp;vid=01CRU&amp;lang=en_US&amp;offset=0&amp;query=any,contains,991000320459702656","Catalog Record")</f>
        <v/>
      </c>
      <c r="AV1688">
        <f>HYPERLINK("http://www.worldcat.org/oclc/42429674","WorldCat Record")</f>
        <v/>
      </c>
      <c r="AW1688" t="inlineStr">
        <is>
          <t>1863485480:eng</t>
        </is>
      </c>
      <c r="AX1688" t="inlineStr">
        <is>
          <t>42429674</t>
        </is>
      </c>
      <c r="AY1688" t="inlineStr">
        <is>
          <t>991000320459702656</t>
        </is>
      </c>
      <c r="AZ1688" t="inlineStr">
        <is>
          <t>991000320459702656</t>
        </is>
      </c>
      <c r="BA1688" t="inlineStr">
        <is>
          <t>2255609340002656</t>
        </is>
      </c>
      <c r="BB1688" t="inlineStr">
        <is>
          <t>BOOK</t>
        </is>
      </c>
      <c r="BD1688" t="inlineStr">
        <is>
          <t>9780323009799</t>
        </is>
      </c>
      <c r="BE1688" t="inlineStr">
        <is>
          <t>30001004238376</t>
        </is>
      </c>
      <c r="BF1688" t="inlineStr">
        <is>
          <t>893732759</t>
        </is>
      </c>
    </row>
    <row r="1689">
      <c r="A1689" t="inlineStr">
        <is>
          <t>No</t>
        </is>
      </c>
      <c r="B1689" t="inlineStr">
        <is>
          <t>CUHSL</t>
        </is>
      </c>
      <c r="C1689" t="inlineStr">
        <is>
          <t>SHELVES</t>
        </is>
      </c>
      <c r="D1689" t="inlineStr">
        <is>
          <t>WY 159 W872w 1993</t>
        </is>
      </c>
      <c r="E1689" t="inlineStr">
        <is>
          <t>0                      WY 0159000W  872w        1993</t>
        </is>
      </c>
      <c r="F1689" t="inlineStr">
        <is>
          <t>Whaley &amp; Wong's Essentials of pediatric nursing / Donna L. Wong ; contributing editor, Judy Holt Rollins.</t>
        </is>
      </c>
      <c r="H1689" t="inlineStr">
        <is>
          <t>No</t>
        </is>
      </c>
      <c r="I1689" t="inlineStr">
        <is>
          <t>1</t>
        </is>
      </c>
      <c r="J1689" t="inlineStr">
        <is>
          <t>No</t>
        </is>
      </c>
      <c r="K1689" t="inlineStr">
        <is>
          <t>Yes</t>
        </is>
      </c>
      <c r="L1689" t="inlineStr">
        <is>
          <t>0</t>
        </is>
      </c>
      <c r="M1689" t="inlineStr">
        <is>
          <t>Wong, Donna L., 1948-2008.</t>
        </is>
      </c>
      <c r="N1689" t="inlineStr">
        <is>
          <t>St. Louis : Mosby-Year Book, c1993.</t>
        </is>
      </c>
      <c r="O1689" t="inlineStr">
        <is>
          <t>1993</t>
        </is>
      </c>
      <c r="P1689" t="inlineStr">
        <is>
          <t>4th ed.</t>
        </is>
      </c>
      <c r="Q1689" t="inlineStr">
        <is>
          <t>eng</t>
        </is>
      </c>
      <c r="R1689" t="inlineStr">
        <is>
          <t>mou</t>
        </is>
      </c>
      <c r="T1689" t="inlineStr">
        <is>
          <t xml:space="preserve">WY </t>
        </is>
      </c>
      <c r="U1689" t="n">
        <v>10</v>
      </c>
      <c r="V1689" t="n">
        <v>10</v>
      </c>
      <c r="W1689" t="inlineStr">
        <is>
          <t>1998-01-20</t>
        </is>
      </c>
      <c r="X1689" t="inlineStr">
        <is>
          <t>1998-01-20</t>
        </is>
      </c>
      <c r="Y1689" t="inlineStr">
        <is>
          <t>1995-02-15</t>
        </is>
      </c>
      <c r="Z1689" t="inlineStr">
        <is>
          <t>1995-02-15</t>
        </is>
      </c>
      <c r="AA1689" t="n">
        <v>340</v>
      </c>
      <c r="AB1689" t="n">
        <v>266</v>
      </c>
      <c r="AC1689" t="n">
        <v>456</v>
      </c>
      <c r="AD1689" t="n">
        <v>2</v>
      </c>
      <c r="AE1689" t="n">
        <v>3</v>
      </c>
      <c r="AF1689" t="n">
        <v>2</v>
      </c>
      <c r="AG1689" t="n">
        <v>12</v>
      </c>
      <c r="AH1689" t="n">
        <v>0</v>
      </c>
      <c r="AI1689" t="n">
        <v>5</v>
      </c>
      <c r="AJ1689" t="n">
        <v>1</v>
      </c>
      <c r="AK1689" t="n">
        <v>2</v>
      </c>
      <c r="AL1689" t="n">
        <v>2</v>
      </c>
      <c r="AM1689" t="n">
        <v>7</v>
      </c>
      <c r="AN1689" t="n">
        <v>0</v>
      </c>
      <c r="AO1689" t="n">
        <v>1</v>
      </c>
      <c r="AP1689" t="n">
        <v>0</v>
      </c>
      <c r="AQ1689" t="n">
        <v>0</v>
      </c>
      <c r="AR1689" t="inlineStr">
        <is>
          <t>No</t>
        </is>
      </c>
      <c r="AS1689" t="inlineStr">
        <is>
          <t>Yes</t>
        </is>
      </c>
      <c r="AT1689">
        <f>HYPERLINK("http://catalog.hathitrust.org/Record/004520757","HathiTrust Record")</f>
        <v/>
      </c>
      <c r="AU1689">
        <f>HYPERLINK("https://creighton-primo.hosted.exlibrisgroup.com/primo-explore/search?tab=default_tab&amp;search_scope=EVERYTHING&amp;vid=01CRU&amp;lang=en_US&amp;offset=0&amp;query=any,contains,991000688329702656","Catalog Record")</f>
        <v/>
      </c>
      <c r="AV1689">
        <f>HYPERLINK("http://www.worldcat.org/oclc/26505654","WorldCat Record")</f>
        <v/>
      </c>
      <c r="AW1689" t="inlineStr">
        <is>
          <t>3902736510:eng</t>
        </is>
      </c>
      <c r="AX1689" t="inlineStr">
        <is>
          <t>26505654</t>
        </is>
      </c>
      <c r="AY1689" t="inlineStr">
        <is>
          <t>991000688329702656</t>
        </is>
      </c>
      <c r="AZ1689" t="inlineStr">
        <is>
          <t>991000688329702656</t>
        </is>
      </c>
      <c r="BA1689" t="inlineStr">
        <is>
          <t>2255297570002656</t>
        </is>
      </c>
      <c r="BB1689" t="inlineStr">
        <is>
          <t>BOOK</t>
        </is>
      </c>
      <c r="BD1689" t="inlineStr">
        <is>
          <t>9780801666506</t>
        </is>
      </c>
      <c r="BE1689" t="inlineStr">
        <is>
          <t>30001002699645</t>
        </is>
      </c>
      <c r="BF1689" t="inlineStr">
        <is>
          <t>893373401</t>
        </is>
      </c>
    </row>
    <row r="1690">
      <c r="A1690" t="inlineStr">
        <is>
          <t>No</t>
        </is>
      </c>
      <c r="B1690" t="inlineStr">
        <is>
          <t>CUHSL</t>
        </is>
      </c>
      <c r="C1690" t="inlineStr">
        <is>
          <t>SHELVES</t>
        </is>
      </c>
      <c r="D1690" t="inlineStr">
        <is>
          <t>WY 159 W872w 1995</t>
        </is>
      </c>
      <c r="E1690" t="inlineStr">
        <is>
          <t>0                      WY 0159000W  872w        1995</t>
        </is>
      </c>
      <c r="F1690" t="inlineStr">
        <is>
          <t>Whaley &amp; Wong's nursing care of infants and children / Donna L. Wong ; contribution editor, David Wilson.</t>
        </is>
      </c>
      <c r="H1690" t="inlineStr">
        <is>
          <t>No</t>
        </is>
      </c>
      <c r="I1690" t="inlineStr">
        <is>
          <t>1</t>
        </is>
      </c>
      <c r="J1690" t="inlineStr">
        <is>
          <t>No</t>
        </is>
      </c>
      <c r="K1690" t="inlineStr">
        <is>
          <t>Yes</t>
        </is>
      </c>
      <c r="L1690" t="inlineStr">
        <is>
          <t>0</t>
        </is>
      </c>
      <c r="M1690" t="inlineStr">
        <is>
          <t>Wong, Donna L., 1948-2008.</t>
        </is>
      </c>
      <c r="N1690" t="inlineStr">
        <is>
          <t>St. Louis : Mosby-Year Book, c1995.</t>
        </is>
      </c>
      <c r="O1690" t="inlineStr">
        <is>
          <t>1995</t>
        </is>
      </c>
      <c r="P1690" t="inlineStr">
        <is>
          <t>5th ed.</t>
        </is>
      </c>
      <c r="Q1690" t="inlineStr">
        <is>
          <t>eng</t>
        </is>
      </c>
      <c r="R1690" t="inlineStr">
        <is>
          <t>mou</t>
        </is>
      </c>
      <c r="T1690" t="inlineStr">
        <is>
          <t xml:space="preserve">WY </t>
        </is>
      </c>
      <c r="U1690" t="n">
        <v>64</v>
      </c>
      <c r="V1690" t="n">
        <v>64</v>
      </c>
      <c r="W1690" t="inlineStr">
        <is>
          <t>2002-11-16</t>
        </is>
      </c>
      <c r="X1690" t="inlineStr">
        <is>
          <t>2002-11-16</t>
        </is>
      </c>
      <c r="Y1690" t="inlineStr">
        <is>
          <t>1995-01-19</t>
        </is>
      </c>
      <c r="Z1690" t="inlineStr">
        <is>
          <t>1995-01-19</t>
        </is>
      </c>
      <c r="AA1690" t="n">
        <v>347</v>
      </c>
      <c r="AB1690" t="n">
        <v>255</v>
      </c>
      <c r="AC1690" t="n">
        <v>444</v>
      </c>
      <c r="AD1690" t="n">
        <v>2</v>
      </c>
      <c r="AE1690" t="n">
        <v>3</v>
      </c>
      <c r="AF1690" t="n">
        <v>5</v>
      </c>
      <c r="AG1690" t="n">
        <v>8</v>
      </c>
      <c r="AH1690" t="n">
        <v>2</v>
      </c>
      <c r="AI1690" t="n">
        <v>3</v>
      </c>
      <c r="AJ1690" t="n">
        <v>0</v>
      </c>
      <c r="AK1690" t="n">
        <v>0</v>
      </c>
      <c r="AL1690" t="n">
        <v>4</v>
      </c>
      <c r="AM1690" t="n">
        <v>6</v>
      </c>
      <c r="AN1690" t="n">
        <v>0</v>
      </c>
      <c r="AO1690" t="n">
        <v>1</v>
      </c>
      <c r="AP1690" t="n">
        <v>0</v>
      </c>
      <c r="AQ1690" t="n">
        <v>0</v>
      </c>
      <c r="AR1690" t="inlineStr">
        <is>
          <t>No</t>
        </is>
      </c>
      <c r="AS1690" t="inlineStr">
        <is>
          <t>No</t>
        </is>
      </c>
      <c r="AU1690">
        <f>HYPERLINK("https://creighton-primo.hosted.exlibrisgroup.com/primo-explore/search?tab=default_tab&amp;search_scope=EVERYTHING&amp;vid=01CRU&amp;lang=en_US&amp;offset=0&amp;query=any,contains,991000685609702656","Catalog Record")</f>
        <v/>
      </c>
      <c r="AV1690">
        <f>HYPERLINK("http://www.worldcat.org/oclc/31374965","WorldCat Record")</f>
        <v/>
      </c>
      <c r="AW1690" t="inlineStr">
        <is>
          <t>3856363407:eng</t>
        </is>
      </c>
      <c r="AX1690" t="inlineStr">
        <is>
          <t>31374965</t>
        </is>
      </c>
      <c r="AY1690" t="inlineStr">
        <is>
          <t>991000685609702656</t>
        </is>
      </c>
      <c r="AZ1690" t="inlineStr">
        <is>
          <t>991000685609702656</t>
        </is>
      </c>
      <c r="BA1690" t="inlineStr">
        <is>
          <t>2256486270002656</t>
        </is>
      </c>
      <c r="BB1690" t="inlineStr">
        <is>
          <t>BOOK</t>
        </is>
      </c>
      <c r="BD1690" t="inlineStr">
        <is>
          <t>9780801678820</t>
        </is>
      </c>
      <c r="BE1690" t="inlineStr">
        <is>
          <t>30001002698852</t>
        </is>
      </c>
      <c r="BF1690" t="inlineStr">
        <is>
          <t>893556842</t>
        </is>
      </c>
    </row>
    <row r="1691">
      <c r="A1691" t="inlineStr">
        <is>
          <t>No</t>
        </is>
      </c>
      <c r="B1691" t="inlineStr">
        <is>
          <t>CUHSL</t>
        </is>
      </c>
      <c r="C1691" t="inlineStr">
        <is>
          <t>SHELVES</t>
        </is>
      </c>
      <c r="D1691" t="inlineStr">
        <is>
          <t>WY 159 W872w 1997</t>
        </is>
      </c>
      <c r="E1691" t="inlineStr">
        <is>
          <t>0                      WY 0159000W  872w        1997</t>
        </is>
      </c>
      <c r="F1691" t="inlineStr">
        <is>
          <t>Whaley &amp; Wong's essentials of pediatric nursing / Donna L. Wong.</t>
        </is>
      </c>
      <c r="H1691" t="inlineStr">
        <is>
          <t>No</t>
        </is>
      </c>
      <c r="I1691" t="inlineStr">
        <is>
          <t>1</t>
        </is>
      </c>
      <c r="J1691" t="inlineStr">
        <is>
          <t>No</t>
        </is>
      </c>
      <c r="K1691" t="inlineStr">
        <is>
          <t>Yes</t>
        </is>
      </c>
      <c r="L1691" t="inlineStr">
        <is>
          <t>0</t>
        </is>
      </c>
      <c r="M1691" t="inlineStr">
        <is>
          <t>Wong, Donna L., 1948-2008.</t>
        </is>
      </c>
      <c r="N1691" t="inlineStr">
        <is>
          <t>St. Louis : Mosby, c1997.</t>
        </is>
      </c>
      <c r="O1691" t="inlineStr">
        <is>
          <t>1997</t>
        </is>
      </c>
      <c r="P1691" t="inlineStr">
        <is>
          <t>5th ed.</t>
        </is>
      </c>
      <c r="Q1691" t="inlineStr">
        <is>
          <t>eng</t>
        </is>
      </c>
      <c r="R1691" t="inlineStr">
        <is>
          <t>mou</t>
        </is>
      </c>
      <c r="T1691" t="inlineStr">
        <is>
          <t xml:space="preserve">WY </t>
        </is>
      </c>
      <c r="U1691" t="n">
        <v>5</v>
      </c>
      <c r="V1691" t="n">
        <v>5</v>
      </c>
      <c r="W1691" t="inlineStr">
        <is>
          <t>2000-10-03</t>
        </is>
      </c>
      <c r="X1691" t="inlineStr">
        <is>
          <t>2000-10-03</t>
        </is>
      </c>
      <c r="Y1691" t="inlineStr">
        <is>
          <t>1998-07-30</t>
        </is>
      </c>
      <c r="Z1691" t="inlineStr">
        <is>
          <t>1998-07-30</t>
        </is>
      </c>
      <c r="AA1691" t="n">
        <v>333</v>
      </c>
      <c r="AB1691" t="n">
        <v>275</v>
      </c>
      <c r="AC1691" t="n">
        <v>456</v>
      </c>
      <c r="AD1691" t="n">
        <v>2</v>
      </c>
      <c r="AE1691" t="n">
        <v>3</v>
      </c>
      <c r="AF1691" t="n">
        <v>9</v>
      </c>
      <c r="AG1691" t="n">
        <v>12</v>
      </c>
      <c r="AH1691" t="n">
        <v>4</v>
      </c>
      <c r="AI1691" t="n">
        <v>5</v>
      </c>
      <c r="AJ1691" t="n">
        <v>0</v>
      </c>
      <c r="AK1691" t="n">
        <v>2</v>
      </c>
      <c r="AL1691" t="n">
        <v>6</v>
      </c>
      <c r="AM1691" t="n">
        <v>7</v>
      </c>
      <c r="AN1691" t="n">
        <v>1</v>
      </c>
      <c r="AO1691" t="n">
        <v>1</v>
      </c>
      <c r="AP1691" t="n">
        <v>0</v>
      </c>
      <c r="AQ1691" t="n">
        <v>0</v>
      </c>
      <c r="AR1691" t="inlineStr">
        <is>
          <t>No</t>
        </is>
      </c>
      <c r="AS1691" t="inlineStr">
        <is>
          <t>Yes</t>
        </is>
      </c>
      <c r="AT1691">
        <f>HYPERLINK("http://catalog.hathitrust.org/Record/004563897","HathiTrust Record")</f>
        <v/>
      </c>
      <c r="AU1691">
        <f>HYPERLINK("https://creighton-primo.hosted.exlibrisgroup.com/primo-explore/search?tab=default_tab&amp;search_scope=EVERYTHING&amp;vid=01CRU&amp;lang=en_US&amp;offset=0&amp;query=any,contains,991000818139702656","Catalog Record")</f>
        <v/>
      </c>
      <c r="AV1691">
        <f>HYPERLINK("http://www.worldcat.org/oclc/35741573","WorldCat Record")</f>
        <v/>
      </c>
      <c r="AW1691" t="inlineStr">
        <is>
          <t>3902736510:eng</t>
        </is>
      </c>
      <c r="AX1691" t="inlineStr">
        <is>
          <t>35741573</t>
        </is>
      </c>
      <c r="AY1691" t="inlineStr">
        <is>
          <t>991000818139702656</t>
        </is>
      </c>
      <c r="AZ1691" t="inlineStr">
        <is>
          <t>991000818139702656</t>
        </is>
      </c>
      <c r="BA1691" t="inlineStr">
        <is>
          <t>2260717570002656</t>
        </is>
      </c>
      <c r="BB1691" t="inlineStr">
        <is>
          <t>BOOK</t>
        </is>
      </c>
      <c r="BD1691" t="inlineStr">
        <is>
          <t>9780815192701</t>
        </is>
      </c>
      <c r="BE1691" t="inlineStr">
        <is>
          <t>30001004090918</t>
        </is>
      </c>
      <c r="BF1691" t="inlineStr">
        <is>
          <t>893450443</t>
        </is>
      </c>
    </row>
    <row r="1692">
      <c r="A1692" t="inlineStr">
        <is>
          <t>No</t>
        </is>
      </c>
      <c r="B1692" t="inlineStr">
        <is>
          <t>CUHSL</t>
        </is>
      </c>
      <c r="C1692" t="inlineStr">
        <is>
          <t>SHELVES</t>
        </is>
      </c>
      <c r="D1692" t="inlineStr">
        <is>
          <t>WY 159 W872wa 1996</t>
        </is>
      </c>
      <c r="E1692" t="inlineStr">
        <is>
          <t>0                      WY 0159000W  872wa       1996</t>
        </is>
      </c>
      <c r="F1692" t="inlineStr">
        <is>
          <t>Wong and Whaley's clinical manual of pediatric nursing / Donna L. Wong ; with home care instructions by Christina Algiere Kasprisin ; with revised nursing care plans by Caryn Stoermer Hess.</t>
        </is>
      </c>
      <c r="H1692" t="inlineStr">
        <is>
          <t>No</t>
        </is>
      </c>
      <c r="I1692" t="inlineStr">
        <is>
          <t>1</t>
        </is>
      </c>
      <c r="J1692" t="inlineStr">
        <is>
          <t>No</t>
        </is>
      </c>
      <c r="K1692" t="inlineStr">
        <is>
          <t>Yes</t>
        </is>
      </c>
      <c r="L1692" t="inlineStr">
        <is>
          <t>0</t>
        </is>
      </c>
      <c r="M1692" t="inlineStr">
        <is>
          <t>Wong, Donna L., 1948-2008.</t>
        </is>
      </c>
      <c r="N1692" t="inlineStr">
        <is>
          <t>St. Louis : Mosby, c1996.</t>
        </is>
      </c>
      <c r="O1692" t="inlineStr">
        <is>
          <t>1996</t>
        </is>
      </c>
      <c r="P1692" t="inlineStr">
        <is>
          <t>4th ed.</t>
        </is>
      </c>
      <c r="Q1692" t="inlineStr">
        <is>
          <t>eng</t>
        </is>
      </c>
      <c r="R1692" t="inlineStr">
        <is>
          <t>mou</t>
        </is>
      </c>
      <c r="T1692" t="inlineStr">
        <is>
          <t xml:space="preserve">WY </t>
        </is>
      </c>
      <c r="U1692" t="n">
        <v>4</v>
      </c>
      <c r="V1692" t="n">
        <v>4</v>
      </c>
      <c r="W1692" t="inlineStr">
        <is>
          <t>2000-10-03</t>
        </is>
      </c>
      <c r="X1692" t="inlineStr">
        <is>
          <t>2000-10-03</t>
        </is>
      </c>
      <c r="Y1692" t="inlineStr">
        <is>
          <t>1996-09-10</t>
        </is>
      </c>
      <c r="Z1692" t="inlineStr">
        <is>
          <t>1996-09-10</t>
        </is>
      </c>
      <c r="AA1692" t="n">
        <v>231</v>
      </c>
      <c r="AB1692" t="n">
        <v>191</v>
      </c>
      <c r="AC1692" t="n">
        <v>418</v>
      </c>
      <c r="AD1692" t="n">
        <v>1</v>
      </c>
      <c r="AE1692" t="n">
        <v>2</v>
      </c>
      <c r="AF1692" t="n">
        <v>5</v>
      </c>
      <c r="AG1692" t="n">
        <v>9</v>
      </c>
      <c r="AH1692" t="n">
        <v>2</v>
      </c>
      <c r="AI1692" t="n">
        <v>3</v>
      </c>
      <c r="AJ1692" t="n">
        <v>1</v>
      </c>
      <c r="AK1692" t="n">
        <v>2</v>
      </c>
      <c r="AL1692" t="n">
        <v>3</v>
      </c>
      <c r="AM1692" t="n">
        <v>4</v>
      </c>
      <c r="AN1692" t="n">
        <v>0</v>
      </c>
      <c r="AO1692" t="n">
        <v>1</v>
      </c>
      <c r="AP1692" t="n">
        <v>0</v>
      </c>
      <c r="AQ1692" t="n">
        <v>0</v>
      </c>
      <c r="AR1692" t="inlineStr">
        <is>
          <t>No</t>
        </is>
      </c>
      <c r="AS1692" t="inlineStr">
        <is>
          <t>Yes</t>
        </is>
      </c>
      <c r="AT1692">
        <f>HYPERLINK("http://catalog.hathitrust.org/Record/003030513","HathiTrust Record")</f>
        <v/>
      </c>
      <c r="AU1692">
        <f>HYPERLINK("https://creighton-primo.hosted.exlibrisgroup.com/primo-explore/search?tab=default_tab&amp;search_scope=EVERYTHING&amp;vid=01CRU&amp;lang=en_US&amp;offset=0&amp;query=any,contains,991001551139702656","Catalog Record")</f>
        <v/>
      </c>
      <c r="AV1692">
        <f>HYPERLINK("http://www.worldcat.org/oclc/32591160","WorldCat Record")</f>
        <v/>
      </c>
      <c r="AW1692" t="inlineStr">
        <is>
          <t>1863485480:eng</t>
        </is>
      </c>
      <c r="AX1692" t="inlineStr">
        <is>
          <t>32591160</t>
        </is>
      </c>
      <c r="AY1692" t="inlineStr">
        <is>
          <t>991001551139702656</t>
        </is>
      </c>
      <c r="AZ1692" t="inlineStr">
        <is>
          <t>991001551139702656</t>
        </is>
      </c>
      <c r="BA1692" t="inlineStr">
        <is>
          <t>2269628830002656</t>
        </is>
      </c>
      <c r="BB1692" t="inlineStr">
        <is>
          <t>BOOK</t>
        </is>
      </c>
      <c r="BD1692" t="inlineStr">
        <is>
          <t>9780815194422</t>
        </is>
      </c>
      <c r="BE1692" t="inlineStr">
        <is>
          <t>30001003441633</t>
        </is>
      </c>
      <c r="BF1692" t="inlineStr">
        <is>
          <t>893552624</t>
        </is>
      </c>
    </row>
    <row r="1693">
      <c r="A1693" t="inlineStr">
        <is>
          <t>No</t>
        </is>
      </c>
      <c r="B1693" t="inlineStr">
        <is>
          <t>CUHSL</t>
        </is>
      </c>
      <c r="C1693" t="inlineStr">
        <is>
          <t>SHELVES</t>
        </is>
      </c>
      <c r="D1693" t="inlineStr">
        <is>
          <t>WY159.5 F1985 2005</t>
        </is>
      </c>
      <c r="E1693" t="inlineStr">
        <is>
          <t>0                      WY 0159500F  1985        2005</t>
        </is>
      </c>
      <c r="F1693" t="inlineStr">
        <is>
          <t>Family health care nursing : theory, practice, and research / [edited] by Shirley May Harmon Hanson, Vivian Gedaly-Duff &amp; Joanna Rowe Kaakinen.</t>
        </is>
      </c>
      <c r="H1693" t="inlineStr">
        <is>
          <t>No</t>
        </is>
      </c>
      <c r="I1693" t="inlineStr">
        <is>
          <t>1</t>
        </is>
      </c>
      <c r="J1693" t="inlineStr">
        <is>
          <t>No</t>
        </is>
      </c>
      <c r="K1693" t="inlineStr">
        <is>
          <t>No</t>
        </is>
      </c>
      <c r="L1693" t="inlineStr">
        <is>
          <t>0</t>
        </is>
      </c>
      <c r="N1693" t="inlineStr">
        <is>
          <t>Philadelphia : F.A. Davis, 2005.</t>
        </is>
      </c>
      <c r="O1693" t="inlineStr">
        <is>
          <t>2005</t>
        </is>
      </c>
      <c r="P1693" t="inlineStr">
        <is>
          <t>3rd ed.</t>
        </is>
      </c>
      <c r="Q1693" t="inlineStr">
        <is>
          <t>eng</t>
        </is>
      </c>
      <c r="R1693" t="inlineStr">
        <is>
          <t>pau</t>
        </is>
      </c>
      <c r="T1693" t="inlineStr">
        <is>
          <t xml:space="preserve">WY </t>
        </is>
      </c>
      <c r="U1693" t="n">
        <v>0</v>
      </c>
      <c r="V1693" t="n">
        <v>0</v>
      </c>
      <c r="W1693" t="inlineStr">
        <is>
          <t>2006-02-17</t>
        </is>
      </c>
      <c r="X1693" t="inlineStr">
        <is>
          <t>2006-02-17</t>
        </is>
      </c>
      <c r="Y1693" t="inlineStr">
        <is>
          <t>2006-02-09</t>
        </is>
      </c>
      <c r="Z1693" t="inlineStr">
        <is>
          <t>2006-02-09</t>
        </is>
      </c>
      <c r="AA1693" t="n">
        <v>337</v>
      </c>
      <c r="AB1693" t="n">
        <v>249</v>
      </c>
      <c r="AC1693" t="n">
        <v>1246</v>
      </c>
      <c r="AD1693" t="n">
        <v>2</v>
      </c>
      <c r="AE1693" t="n">
        <v>25</v>
      </c>
      <c r="AF1693" t="n">
        <v>13</v>
      </c>
      <c r="AG1693" t="n">
        <v>50</v>
      </c>
      <c r="AH1693" t="n">
        <v>8</v>
      </c>
      <c r="AI1693" t="n">
        <v>18</v>
      </c>
      <c r="AJ1693" t="n">
        <v>0</v>
      </c>
      <c r="AK1693" t="n">
        <v>7</v>
      </c>
      <c r="AL1693" t="n">
        <v>6</v>
      </c>
      <c r="AM1693" t="n">
        <v>17</v>
      </c>
      <c r="AN1693" t="n">
        <v>1</v>
      </c>
      <c r="AO1693" t="n">
        <v>15</v>
      </c>
      <c r="AP1693" t="n">
        <v>0</v>
      </c>
      <c r="AQ1693" t="n">
        <v>1</v>
      </c>
      <c r="AR1693" t="inlineStr">
        <is>
          <t>No</t>
        </is>
      </c>
      <c r="AS1693" t="inlineStr">
        <is>
          <t>No</t>
        </is>
      </c>
      <c r="AU1693">
        <f>HYPERLINK("https://creighton-primo.hosted.exlibrisgroup.com/primo-explore/search?tab=default_tab&amp;search_scope=EVERYTHING&amp;vid=01CRU&amp;lang=en_US&amp;offset=0&amp;query=any,contains,991000463769702656","Catalog Record")</f>
        <v/>
      </c>
      <c r="AV1693">
        <f>HYPERLINK("http://www.worldcat.org/oclc/58563152","WorldCat Record")</f>
        <v/>
      </c>
      <c r="AW1693" t="inlineStr">
        <is>
          <t>180646121:eng</t>
        </is>
      </c>
      <c r="AX1693" t="inlineStr">
        <is>
          <t>58563152</t>
        </is>
      </c>
      <c r="AY1693" t="inlineStr">
        <is>
          <t>991000463769702656</t>
        </is>
      </c>
      <c r="AZ1693" t="inlineStr">
        <is>
          <t>991000463769702656</t>
        </is>
      </c>
      <c r="BA1693" t="inlineStr">
        <is>
          <t>2263758900002656</t>
        </is>
      </c>
      <c r="BB1693" t="inlineStr">
        <is>
          <t>BOOK</t>
        </is>
      </c>
      <c r="BD1693" t="inlineStr">
        <is>
          <t>9780803612020</t>
        </is>
      </c>
      <c r="BE1693" t="inlineStr">
        <is>
          <t>30001004912749</t>
        </is>
      </c>
      <c r="BF1693" t="inlineStr">
        <is>
          <t>893136914</t>
        </is>
      </c>
    </row>
    <row r="1694">
      <c r="A1694" t="inlineStr">
        <is>
          <t>No</t>
        </is>
      </c>
      <c r="B1694" t="inlineStr">
        <is>
          <t>CUHSL</t>
        </is>
      </c>
      <c r="C1694" t="inlineStr">
        <is>
          <t>SHELVES</t>
        </is>
      </c>
      <c r="D1694" t="inlineStr">
        <is>
          <t>WY 160 A5125s 1998</t>
        </is>
      </c>
      <c r="E1694" t="inlineStr">
        <is>
          <t>0                      WY 0160000A  5125s       1998</t>
        </is>
      </c>
      <c r="F1694" t="inlineStr">
        <is>
          <t>Statement on the scope and standards for the nurse who specializes in developmental disabilities and/or mentalretardation / Nursing Division of the American Association on Mental Retardation [and] American Nurses Association.</t>
        </is>
      </c>
      <c r="H1694" t="inlineStr">
        <is>
          <t>No</t>
        </is>
      </c>
      <c r="I1694" t="inlineStr">
        <is>
          <t>1</t>
        </is>
      </c>
      <c r="J1694" t="inlineStr">
        <is>
          <t>No</t>
        </is>
      </c>
      <c r="K1694" t="inlineStr">
        <is>
          <t>No</t>
        </is>
      </c>
      <c r="L1694" t="inlineStr">
        <is>
          <t>0</t>
        </is>
      </c>
      <c r="M1694" t="inlineStr">
        <is>
          <t>American Nurses Association.</t>
        </is>
      </c>
      <c r="N1694" t="inlineStr">
        <is>
          <t>Washington, DC : American Nurses Pub., c1998.</t>
        </is>
      </c>
      <c r="O1694" t="inlineStr">
        <is>
          <t>1998</t>
        </is>
      </c>
      <c r="Q1694" t="inlineStr">
        <is>
          <t>eng</t>
        </is>
      </c>
      <c r="R1694" t="inlineStr">
        <is>
          <t>dcu</t>
        </is>
      </c>
      <c r="T1694" t="inlineStr">
        <is>
          <t xml:space="preserve">WY </t>
        </is>
      </c>
      <c r="U1694" t="n">
        <v>0</v>
      </c>
      <c r="V1694" t="n">
        <v>0</v>
      </c>
      <c r="W1694" t="inlineStr">
        <is>
          <t>2002-07-21</t>
        </is>
      </c>
      <c r="X1694" t="inlineStr">
        <is>
          <t>2002-07-21</t>
        </is>
      </c>
      <c r="Y1694" t="inlineStr">
        <is>
          <t>2000-06-15</t>
        </is>
      </c>
      <c r="Z1694" t="inlineStr">
        <is>
          <t>2000-06-15</t>
        </is>
      </c>
      <c r="AA1694" t="n">
        <v>210</v>
      </c>
      <c r="AB1694" t="n">
        <v>205</v>
      </c>
      <c r="AC1694" t="n">
        <v>207</v>
      </c>
      <c r="AD1694" t="n">
        <v>2</v>
      </c>
      <c r="AE1694" t="n">
        <v>2</v>
      </c>
      <c r="AF1694" t="n">
        <v>11</v>
      </c>
      <c r="AG1694" t="n">
        <v>11</v>
      </c>
      <c r="AH1694" t="n">
        <v>2</v>
      </c>
      <c r="AI1694" t="n">
        <v>2</v>
      </c>
      <c r="AJ1694" t="n">
        <v>3</v>
      </c>
      <c r="AK1694" t="n">
        <v>3</v>
      </c>
      <c r="AL1694" t="n">
        <v>8</v>
      </c>
      <c r="AM1694" t="n">
        <v>8</v>
      </c>
      <c r="AN1694" t="n">
        <v>0</v>
      </c>
      <c r="AO1694" t="n">
        <v>0</v>
      </c>
      <c r="AP1694" t="n">
        <v>0</v>
      </c>
      <c r="AQ1694" t="n">
        <v>0</v>
      </c>
      <c r="AR1694" t="inlineStr">
        <is>
          <t>No</t>
        </is>
      </c>
      <c r="AS1694" t="inlineStr">
        <is>
          <t>Yes</t>
        </is>
      </c>
      <c r="AT1694">
        <f>HYPERLINK("http://catalog.hathitrust.org/Record/003321678","HathiTrust Record")</f>
        <v/>
      </c>
      <c r="AU1694">
        <f>HYPERLINK("https://creighton-primo.hosted.exlibrisgroup.com/primo-explore/search?tab=default_tab&amp;search_scope=EVERYTHING&amp;vid=01CRU&amp;lang=en_US&amp;offset=0&amp;query=any,contains,991000269359702656","Catalog Record")</f>
        <v/>
      </c>
      <c r="AV1694">
        <f>HYPERLINK("http://www.worldcat.org/oclc/38758356","WorldCat Record")</f>
        <v/>
      </c>
      <c r="AW1694" t="inlineStr">
        <is>
          <t>41526982:eng</t>
        </is>
      </c>
      <c r="AX1694" t="inlineStr">
        <is>
          <t>38758356</t>
        </is>
      </c>
      <c r="AY1694" t="inlineStr">
        <is>
          <t>991000269359702656</t>
        </is>
      </c>
      <c r="AZ1694" t="inlineStr">
        <is>
          <t>991000269359702656</t>
        </is>
      </c>
      <c r="BA1694" t="inlineStr">
        <is>
          <t>2266534920002656</t>
        </is>
      </c>
      <c r="BB1694" t="inlineStr">
        <is>
          <t>BOOK</t>
        </is>
      </c>
      <c r="BE1694" t="inlineStr">
        <is>
          <t>30001004176824</t>
        </is>
      </c>
      <c r="BF1694" t="inlineStr">
        <is>
          <t>893451922</t>
        </is>
      </c>
    </row>
    <row r="1695">
      <c r="A1695" t="inlineStr">
        <is>
          <t>No</t>
        </is>
      </c>
      <c r="B1695" t="inlineStr">
        <is>
          <t>CUHSL</t>
        </is>
      </c>
      <c r="C1695" t="inlineStr">
        <is>
          <t>SHELVES</t>
        </is>
      </c>
      <c r="D1695" t="inlineStr">
        <is>
          <t>WY 160 A838 1957</t>
        </is>
      </c>
      <c r="E1695" t="inlineStr">
        <is>
          <t>0                      WY 0160000A  838         1957</t>
        </is>
      </c>
      <c r="F1695" t="inlineStr">
        <is>
          <t>Aspects of psychiatric nursing considered at the 1956 Regional Conferences of the National League for Nursing.</t>
        </is>
      </c>
      <c r="H1695" t="inlineStr">
        <is>
          <t>Yes</t>
        </is>
      </c>
      <c r="I1695" t="inlineStr">
        <is>
          <t>1</t>
        </is>
      </c>
      <c r="J1695" t="inlineStr">
        <is>
          <t>Yes</t>
        </is>
      </c>
      <c r="K1695" t="inlineStr">
        <is>
          <t>No</t>
        </is>
      </c>
      <c r="L1695" t="inlineStr">
        <is>
          <t>0</t>
        </is>
      </c>
      <c r="N1695" t="inlineStr">
        <is>
          <t>New York : National League for Nursing, 1957.</t>
        </is>
      </c>
      <c r="O1695" t="inlineStr">
        <is>
          <t>1957</t>
        </is>
      </c>
      <c r="Q1695" t="inlineStr">
        <is>
          <t>eng</t>
        </is>
      </c>
      <c r="R1695" t="inlineStr">
        <is>
          <t>nyu</t>
        </is>
      </c>
      <c r="S1695" t="inlineStr">
        <is>
          <t>League exchange ; no. 26</t>
        </is>
      </c>
      <c r="T1695" t="inlineStr">
        <is>
          <t xml:space="preserve">WY </t>
        </is>
      </c>
      <c r="U1695" t="n">
        <v>2</v>
      </c>
      <c r="V1695" t="n">
        <v>8</v>
      </c>
      <c r="W1695" t="inlineStr">
        <is>
          <t>1990-06-25</t>
        </is>
      </c>
      <c r="X1695" t="inlineStr">
        <is>
          <t>1990-06-25</t>
        </is>
      </c>
      <c r="Y1695" t="inlineStr">
        <is>
          <t>1987-11-12</t>
        </is>
      </c>
      <c r="Z1695" t="inlineStr">
        <is>
          <t>1987-11-12</t>
        </is>
      </c>
      <c r="AA1695" t="n">
        <v>14</v>
      </c>
      <c r="AB1695" t="n">
        <v>13</v>
      </c>
      <c r="AC1695" t="n">
        <v>14</v>
      </c>
      <c r="AD1695" t="n">
        <v>1</v>
      </c>
      <c r="AE1695" t="n">
        <v>1</v>
      </c>
      <c r="AF1695" t="n">
        <v>1</v>
      </c>
      <c r="AG1695" t="n">
        <v>1</v>
      </c>
      <c r="AH1695" t="n">
        <v>0</v>
      </c>
      <c r="AI1695" t="n">
        <v>0</v>
      </c>
      <c r="AJ1695" t="n">
        <v>0</v>
      </c>
      <c r="AK1695" t="n">
        <v>0</v>
      </c>
      <c r="AL1695" t="n">
        <v>1</v>
      </c>
      <c r="AM1695" t="n">
        <v>1</v>
      </c>
      <c r="AN1695" t="n">
        <v>0</v>
      </c>
      <c r="AO1695" t="n">
        <v>0</v>
      </c>
      <c r="AP1695" t="n">
        <v>0</v>
      </c>
      <c r="AQ1695" t="n">
        <v>0</v>
      </c>
      <c r="AR1695" t="inlineStr">
        <is>
          <t>No</t>
        </is>
      </c>
      <c r="AS1695" t="inlineStr">
        <is>
          <t>No</t>
        </is>
      </c>
      <c r="AT1695">
        <f>HYPERLINK("http://catalog.hathitrust.org/Record/002075198","HathiTrust Record")</f>
        <v/>
      </c>
      <c r="AU1695">
        <f>HYPERLINK("https://creighton-primo.hosted.exlibrisgroup.com/primo-explore/search?tab=default_tab&amp;search_scope=EVERYTHING&amp;vid=01CRU&amp;lang=en_US&amp;offset=0&amp;query=any,contains,991001389369702656","Catalog Record")</f>
        <v/>
      </c>
      <c r="AV1695">
        <f>HYPERLINK("http://www.worldcat.org/oclc/19369590","WorldCat Record")</f>
        <v/>
      </c>
      <c r="AW1695" t="inlineStr">
        <is>
          <t>2983193:eng</t>
        </is>
      </c>
      <c r="AX1695" t="inlineStr">
        <is>
          <t>19369590</t>
        </is>
      </c>
      <c r="AY1695" t="inlineStr">
        <is>
          <t>991001389369702656</t>
        </is>
      </c>
      <c r="AZ1695" t="inlineStr">
        <is>
          <t>991001389369702656</t>
        </is>
      </c>
      <c r="BA1695" t="inlineStr">
        <is>
          <t>2272801120002656</t>
        </is>
      </c>
      <c r="BB1695" t="inlineStr">
        <is>
          <t>BOOK</t>
        </is>
      </c>
      <c r="BE1695" t="inlineStr">
        <is>
          <t>30001000464588</t>
        </is>
      </c>
      <c r="BF1695" t="inlineStr">
        <is>
          <t>893161931</t>
        </is>
      </c>
    </row>
    <row r="1696">
      <c r="A1696" t="inlineStr">
        <is>
          <t>No</t>
        </is>
      </c>
      <c r="B1696" t="inlineStr">
        <is>
          <t>CUHSL</t>
        </is>
      </c>
      <c r="C1696" t="inlineStr">
        <is>
          <t>SHELVES</t>
        </is>
      </c>
      <c r="D1696" t="inlineStr">
        <is>
          <t>WY160 A838 1957 SECT. B</t>
        </is>
      </c>
      <c r="E1696" t="inlineStr">
        <is>
          <t>0                      WY 0160000A  838         1957                                        SECT. B</t>
        </is>
      </c>
      <c r="F1696" t="inlineStr">
        <is>
          <t>Aspects of psychiatric nursing considered at the 1956 Regional Conferences of the National League for Nursing.</t>
        </is>
      </c>
      <c r="H1696" t="inlineStr">
        <is>
          <t>Yes</t>
        </is>
      </c>
      <c r="I1696" t="inlineStr">
        <is>
          <t>1</t>
        </is>
      </c>
      <c r="J1696" t="inlineStr">
        <is>
          <t>Yes</t>
        </is>
      </c>
      <c r="K1696" t="inlineStr">
        <is>
          <t>No</t>
        </is>
      </c>
      <c r="L1696" t="inlineStr">
        <is>
          <t>0</t>
        </is>
      </c>
      <c r="N1696" t="inlineStr">
        <is>
          <t>New York : National League for Nursing, 1957.</t>
        </is>
      </c>
      <c r="O1696" t="inlineStr">
        <is>
          <t>1957</t>
        </is>
      </c>
      <c r="Q1696" t="inlineStr">
        <is>
          <t>eng</t>
        </is>
      </c>
      <c r="R1696" t="inlineStr">
        <is>
          <t>nyu</t>
        </is>
      </c>
      <c r="S1696" t="inlineStr">
        <is>
          <t>League exchange ; no. 26</t>
        </is>
      </c>
      <c r="T1696" t="inlineStr">
        <is>
          <t xml:space="preserve">WY </t>
        </is>
      </c>
      <c r="U1696" t="n">
        <v>2</v>
      </c>
      <c r="V1696" t="n">
        <v>8</v>
      </c>
      <c r="W1696" t="inlineStr">
        <is>
          <t>1990-06-25</t>
        </is>
      </c>
      <c r="X1696" t="inlineStr">
        <is>
          <t>1990-06-25</t>
        </is>
      </c>
      <c r="Y1696" t="inlineStr">
        <is>
          <t>1987-11-12</t>
        </is>
      </c>
      <c r="Z1696" t="inlineStr">
        <is>
          <t>1987-11-12</t>
        </is>
      </c>
      <c r="AA1696" t="n">
        <v>14</v>
      </c>
      <c r="AB1696" t="n">
        <v>13</v>
      </c>
      <c r="AC1696" t="n">
        <v>14</v>
      </c>
      <c r="AD1696" t="n">
        <v>1</v>
      </c>
      <c r="AE1696" t="n">
        <v>1</v>
      </c>
      <c r="AF1696" t="n">
        <v>1</v>
      </c>
      <c r="AG1696" t="n">
        <v>1</v>
      </c>
      <c r="AH1696" t="n">
        <v>0</v>
      </c>
      <c r="AI1696" t="n">
        <v>0</v>
      </c>
      <c r="AJ1696" t="n">
        <v>0</v>
      </c>
      <c r="AK1696" t="n">
        <v>0</v>
      </c>
      <c r="AL1696" t="n">
        <v>1</v>
      </c>
      <c r="AM1696" t="n">
        <v>1</v>
      </c>
      <c r="AN1696" t="n">
        <v>0</v>
      </c>
      <c r="AO1696" t="n">
        <v>0</v>
      </c>
      <c r="AP1696" t="n">
        <v>0</v>
      </c>
      <c r="AQ1696" t="n">
        <v>0</v>
      </c>
      <c r="AR1696" t="inlineStr">
        <is>
          <t>No</t>
        </is>
      </c>
      <c r="AS1696" t="inlineStr">
        <is>
          <t>No</t>
        </is>
      </c>
      <c r="AT1696">
        <f>HYPERLINK("http://catalog.hathitrust.org/Record/002075198","HathiTrust Record")</f>
        <v/>
      </c>
      <c r="AU1696">
        <f>HYPERLINK("https://creighton-primo.hosted.exlibrisgroup.com/primo-explore/search?tab=default_tab&amp;search_scope=EVERYTHING&amp;vid=01CRU&amp;lang=en_US&amp;offset=0&amp;query=any,contains,991001389369702656","Catalog Record")</f>
        <v/>
      </c>
      <c r="AV1696">
        <f>HYPERLINK("http://www.worldcat.org/oclc/19369590","WorldCat Record")</f>
        <v/>
      </c>
      <c r="AW1696" t="inlineStr">
        <is>
          <t>2983193:eng</t>
        </is>
      </c>
      <c r="AX1696" t="inlineStr">
        <is>
          <t>19369590</t>
        </is>
      </c>
      <c r="AY1696" t="inlineStr">
        <is>
          <t>991001389369702656</t>
        </is>
      </c>
      <c r="AZ1696" t="inlineStr">
        <is>
          <t>991001389369702656</t>
        </is>
      </c>
      <c r="BA1696" t="inlineStr">
        <is>
          <t>2272801120002656</t>
        </is>
      </c>
      <c r="BB1696" t="inlineStr">
        <is>
          <t>BOOK</t>
        </is>
      </c>
      <c r="BE1696" t="inlineStr">
        <is>
          <t>30001000464596</t>
        </is>
      </c>
      <c r="BF1696" t="inlineStr">
        <is>
          <t>893134513</t>
        </is>
      </c>
    </row>
    <row r="1697">
      <c r="A1697" t="inlineStr">
        <is>
          <t>No</t>
        </is>
      </c>
      <c r="B1697" t="inlineStr">
        <is>
          <t>CUHSL</t>
        </is>
      </c>
      <c r="C1697" t="inlineStr">
        <is>
          <t>SHELVES</t>
        </is>
      </c>
      <c r="D1697" t="inlineStr">
        <is>
          <t>WY160 A838 1957 SECT. C</t>
        </is>
      </c>
      <c r="E1697" t="inlineStr">
        <is>
          <t>0                      WY 0160000A  838         1957                                        SECT. C</t>
        </is>
      </c>
      <c r="F1697" t="inlineStr">
        <is>
          <t>Aspects of psychiatric nursing considered at the 1956 Regional Conferences of the National League for Nursing.</t>
        </is>
      </c>
      <c r="H1697" t="inlineStr">
        <is>
          <t>Yes</t>
        </is>
      </c>
      <c r="I1697" t="inlineStr">
        <is>
          <t>1</t>
        </is>
      </c>
      <c r="J1697" t="inlineStr">
        <is>
          <t>Yes</t>
        </is>
      </c>
      <c r="K1697" t="inlineStr">
        <is>
          <t>No</t>
        </is>
      </c>
      <c r="L1697" t="inlineStr">
        <is>
          <t>0</t>
        </is>
      </c>
      <c r="N1697" t="inlineStr">
        <is>
          <t>New York : National League for Nursing, 1957.</t>
        </is>
      </c>
      <c r="O1697" t="inlineStr">
        <is>
          <t>1957</t>
        </is>
      </c>
      <c r="Q1697" t="inlineStr">
        <is>
          <t>eng</t>
        </is>
      </c>
      <c r="R1697" t="inlineStr">
        <is>
          <t>nyu</t>
        </is>
      </c>
      <c r="S1697" t="inlineStr">
        <is>
          <t>League exchange ; no. 26</t>
        </is>
      </c>
      <c r="T1697" t="inlineStr">
        <is>
          <t xml:space="preserve">WY </t>
        </is>
      </c>
      <c r="U1697" t="n">
        <v>2</v>
      </c>
      <c r="V1697" t="n">
        <v>8</v>
      </c>
      <c r="W1697" t="inlineStr">
        <is>
          <t>1990-06-25</t>
        </is>
      </c>
      <c r="X1697" t="inlineStr">
        <is>
          <t>1990-06-25</t>
        </is>
      </c>
      <c r="Y1697" t="inlineStr">
        <is>
          <t>1987-11-12</t>
        </is>
      </c>
      <c r="Z1697" t="inlineStr">
        <is>
          <t>1987-11-12</t>
        </is>
      </c>
      <c r="AA1697" t="n">
        <v>14</v>
      </c>
      <c r="AB1697" t="n">
        <v>13</v>
      </c>
      <c r="AC1697" t="n">
        <v>14</v>
      </c>
      <c r="AD1697" t="n">
        <v>1</v>
      </c>
      <c r="AE1697" t="n">
        <v>1</v>
      </c>
      <c r="AF1697" t="n">
        <v>1</v>
      </c>
      <c r="AG1697" t="n">
        <v>1</v>
      </c>
      <c r="AH1697" t="n">
        <v>0</v>
      </c>
      <c r="AI1697" t="n">
        <v>0</v>
      </c>
      <c r="AJ1697" t="n">
        <v>0</v>
      </c>
      <c r="AK1697" t="n">
        <v>0</v>
      </c>
      <c r="AL1697" t="n">
        <v>1</v>
      </c>
      <c r="AM1697" t="n">
        <v>1</v>
      </c>
      <c r="AN1697" t="n">
        <v>0</v>
      </c>
      <c r="AO1697" t="n">
        <v>0</v>
      </c>
      <c r="AP1697" t="n">
        <v>0</v>
      </c>
      <c r="AQ1697" t="n">
        <v>0</v>
      </c>
      <c r="AR1697" t="inlineStr">
        <is>
          <t>No</t>
        </is>
      </c>
      <c r="AS1697" t="inlineStr">
        <is>
          <t>No</t>
        </is>
      </c>
      <c r="AT1697">
        <f>HYPERLINK("http://catalog.hathitrust.org/Record/002075198","HathiTrust Record")</f>
        <v/>
      </c>
      <c r="AU1697">
        <f>HYPERLINK("https://creighton-primo.hosted.exlibrisgroup.com/primo-explore/search?tab=default_tab&amp;search_scope=EVERYTHING&amp;vid=01CRU&amp;lang=en_US&amp;offset=0&amp;query=any,contains,991001389369702656","Catalog Record")</f>
        <v/>
      </c>
      <c r="AV1697">
        <f>HYPERLINK("http://www.worldcat.org/oclc/19369590","WorldCat Record")</f>
        <v/>
      </c>
      <c r="AW1697" t="inlineStr">
        <is>
          <t>2983193:eng</t>
        </is>
      </c>
      <c r="AX1697" t="inlineStr">
        <is>
          <t>19369590</t>
        </is>
      </c>
      <c r="AY1697" t="inlineStr">
        <is>
          <t>991001389369702656</t>
        </is>
      </c>
      <c r="AZ1697" t="inlineStr">
        <is>
          <t>991001389369702656</t>
        </is>
      </c>
      <c r="BA1697" t="inlineStr">
        <is>
          <t>2272801120002656</t>
        </is>
      </c>
      <c r="BB1697" t="inlineStr">
        <is>
          <t>BOOK</t>
        </is>
      </c>
      <c r="BE1697" t="inlineStr">
        <is>
          <t>30001000464604</t>
        </is>
      </c>
      <c r="BF1697" t="inlineStr">
        <is>
          <t>893121453</t>
        </is>
      </c>
    </row>
    <row r="1698">
      <c r="A1698" t="inlineStr">
        <is>
          <t>No</t>
        </is>
      </c>
      <c r="B1698" t="inlineStr">
        <is>
          <t>CUHSL</t>
        </is>
      </c>
      <c r="C1698" t="inlineStr">
        <is>
          <t>SHELVES</t>
        </is>
      </c>
      <c r="D1698" t="inlineStr">
        <is>
          <t>WY160 A838 1959 SECT. D</t>
        </is>
      </c>
      <c r="E1698" t="inlineStr">
        <is>
          <t>0                      WY 0160000A  838         1959                                        SECT. D</t>
        </is>
      </c>
      <c r="F1698" t="inlineStr">
        <is>
          <t>Aspects of psychiatric nursing considered at the 1956 Regional Conferences of the National League for Nursing.</t>
        </is>
      </c>
      <c r="H1698" t="inlineStr">
        <is>
          <t>Yes</t>
        </is>
      </c>
      <c r="I1698" t="inlineStr">
        <is>
          <t>1</t>
        </is>
      </c>
      <c r="J1698" t="inlineStr">
        <is>
          <t>Yes</t>
        </is>
      </c>
      <c r="K1698" t="inlineStr">
        <is>
          <t>No</t>
        </is>
      </c>
      <c r="L1698" t="inlineStr">
        <is>
          <t>0</t>
        </is>
      </c>
      <c r="N1698" t="inlineStr">
        <is>
          <t>New York : National League for Nursing, 1957.</t>
        </is>
      </c>
      <c r="O1698" t="inlineStr">
        <is>
          <t>1957</t>
        </is>
      </c>
      <c r="Q1698" t="inlineStr">
        <is>
          <t>eng</t>
        </is>
      </c>
      <c r="R1698" t="inlineStr">
        <is>
          <t>nyu</t>
        </is>
      </c>
      <c r="S1698" t="inlineStr">
        <is>
          <t>League exchange ; no. 26</t>
        </is>
      </c>
      <c r="T1698" t="inlineStr">
        <is>
          <t xml:space="preserve">WY </t>
        </is>
      </c>
      <c r="U1698" t="n">
        <v>2</v>
      </c>
      <c r="V1698" t="n">
        <v>8</v>
      </c>
      <c r="W1698" t="inlineStr">
        <is>
          <t>1990-06-25</t>
        </is>
      </c>
      <c r="X1698" t="inlineStr">
        <is>
          <t>1990-06-25</t>
        </is>
      </c>
      <c r="Y1698" t="inlineStr">
        <is>
          <t>1987-11-12</t>
        </is>
      </c>
      <c r="Z1698" t="inlineStr">
        <is>
          <t>1987-11-12</t>
        </is>
      </c>
      <c r="AA1698" t="n">
        <v>14</v>
      </c>
      <c r="AB1698" t="n">
        <v>13</v>
      </c>
      <c r="AC1698" t="n">
        <v>14</v>
      </c>
      <c r="AD1698" t="n">
        <v>1</v>
      </c>
      <c r="AE1698" t="n">
        <v>1</v>
      </c>
      <c r="AF1698" t="n">
        <v>1</v>
      </c>
      <c r="AG1698" t="n">
        <v>1</v>
      </c>
      <c r="AH1698" t="n">
        <v>0</v>
      </c>
      <c r="AI1698" t="n">
        <v>0</v>
      </c>
      <c r="AJ1698" t="n">
        <v>0</v>
      </c>
      <c r="AK1698" t="n">
        <v>0</v>
      </c>
      <c r="AL1698" t="n">
        <v>1</v>
      </c>
      <c r="AM1698" t="n">
        <v>1</v>
      </c>
      <c r="AN1698" t="n">
        <v>0</v>
      </c>
      <c r="AO1698" t="n">
        <v>0</v>
      </c>
      <c r="AP1698" t="n">
        <v>0</v>
      </c>
      <c r="AQ1698" t="n">
        <v>0</v>
      </c>
      <c r="AR1698" t="inlineStr">
        <is>
          <t>No</t>
        </is>
      </c>
      <c r="AS1698" t="inlineStr">
        <is>
          <t>No</t>
        </is>
      </c>
      <c r="AT1698">
        <f>HYPERLINK("http://catalog.hathitrust.org/Record/002075198","HathiTrust Record")</f>
        <v/>
      </c>
      <c r="AU1698">
        <f>HYPERLINK("https://creighton-primo.hosted.exlibrisgroup.com/primo-explore/search?tab=default_tab&amp;search_scope=EVERYTHING&amp;vid=01CRU&amp;lang=en_US&amp;offset=0&amp;query=any,contains,991001389369702656","Catalog Record")</f>
        <v/>
      </c>
      <c r="AV1698">
        <f>HYPERLINK("http://www.worldcat.org/oclc/19369590","WorldCat Record")</f>
        <v/>
      </c>
      <c r="AW1698" t="inlineStr">
        <is>
          <t>2983193:eng</t>
        </is>
      </c>
      <c r="AX1698" t="inlineStr">
        <is>
          <t>19369590</t>
        </is>
      </c>
      <c r="AY1698" t="inlineStr">
        <is>
          <t>991001389369702656</t>
        </is>
      </c>
      <c r="AZ1698" t="inlineStr">
        <is>
          <t>991001389369702656</t>
        </is>
      </c>
      <c r="BA1698" t="inlineStr">
        <is>
          <t>2272801120002656</t>
        </is>
      </c>
      <c r="BB1698" t="inlineStr">
        <is>
          <t>BOOK</t>
        </is>
      </c>
      <c r="BE1698" t="inlineStr">
        <is>
          <t>30001000464612</t>
        </is>
      </c>
      <c r="BF1698" t="inlineStr">
        <is>
          <t>893161932</t>
        </is>
      </c>
    </row>
    <row r="1699">
      <c r="A1699" t="inlineStr">
        <is>
          <t>No</t>
        </is>
      </c>
      <c r="B1699" t="inlineStr">
        <is>
          <t>CUHSL</t>
        </is>
      </c>
      <c r="C1699" t="inlineStr">
        <is>
          <t>SHELVES</t>
        </is>
      </c>
      <c r="D1699" t="inlineStr">
        <is>
          <t>WY 160 B281m 1994</t>
        </is>
      </c>
      <c r="E1699" t="inlineStr">
        <is>
          <t>0                      WY 0160000B  281m        1994</t>
        </is>
      </c>
      <c r="F1699" t="inlineStr">
        <is>
          <t>Mental health and mental illness / Patricia D. Barry.</t>
        </is>
      </c>
      <c r="H1699" t="inlineStr">
        <is>
          <t>No</t>
        </is>
      </c>
      <c r="I1699" t="inlineStr">
        <is>
          <t>1</t>
        </is>
      </c>
      <c r="J1699" t="inlineStr">
        <is>
          <t>No</t>
        </is>
      </c>
      <c r="K1699" t="inlineStr">
        <is>
          <t>Yes</t>
        </is>
      </c>
      <c r="L1699" t="inlineStr">
        <is>
          <t>0</t>
        </is>
      </c>
      <c r="M1699" t="inlineStr">
        <is>
          <t>Barry, Patricia D.</t>
        </is>
      </c>
      <c r="N1699" t="inlineStr">
        <is>
          <t>Philadelphia, Pa. : J.B. Lippincott Co., c1994.</t>
        </is>
      </c>
      <c r="O1699" t="inlineStr">
        <is>
          <t>1994</t>
        </is>
      </c>
      <c r="P1699" t="inlineStr">
        <is>
          <t>5th ed.</t>
        </is>
      </c>
      <c r="Q1699" t="inlineStr">
        <is>
          <t>eng</t>
        </is>
      </c>
      <c r="R1699" t="inlineStr">
        <is>
          <t>pau</t>
        </is>
      </c>
      <c r="T1699" t="inlineStr">
        <is>
          <t xml:space="preserve">WY </t>
        </is>
      </c>
      <c r="U1699" t="n">
        <v>7</v>
      </c>
      <c r="V1699" t="n">
        <v>7</v>
      </c>
      <c r="W1699" t="inlineStr">
        <is>
          <t>1997-02-08</t>
        </is>
      </c>
      <c r="X1699" t="inlineStr">
        <is>
          <t>1997-02-08</t>
        </is>
      </c>
      <c r="Y1699" t="inlineStr">
        <is>
          <t>1993-12-21</t>
        </is>
      </c>
      <c r="Z1699" t="inlineStr">
        <is>
          <t>1993-12-21</t>
        </is>
      </c>
      <c r="AA1699" t="n">
        <v>331</v>
      </c>
      <c r="AB1699" t="n">
        <v>276</v>
      </c>
      <c r="AC1699" t="n">
        <v>855</v>
      </c>
      <c r="AD1699" t="n">
        <v>1</v>
      </c>
      <c r="AE1699" t="n">
        <v>4</v>
      </c>
      <c r="AF1699" t="n">
        <v>11</v>
      </c>
      <c r="AG1699" t="n">
        <v>31</v>
      </c>
      <c r="AH1699" t="n">
        <v>3</v>
      </c>
      <c r="AI1699" t="n">
        <v>13</v>
      </c>
      <c r="AJ1699" t="n">
        <v>2</v>
      </c>
      <c r="AK1699" t="n">
        <v>5</v>
      </c>
      <c r="AL1699" t="n">
        <v>6</v>
      </c>
      <c r="AM1699" t="n">
        <v>13</v>
      </c>
      <c r="AN1699" t="n">
        <v>0</v>
      </c>
      <c r="AO1699" t="n">
        <v>2</v>
      </c>
      <c r="AP1699" t="n">
        <v>3</v>
      </c>
      <c r="AQ1699" t="n">
        <v>3</v>
      </c>
      <c r="AR1699" t="inlineStr">
        <is>
          <t>No</t>
        </is>
      </c>
      <c r="AS1699" t="inlineStr">
        <is>
          <t>Yes</t>
        </is>
      </c>
      <c r="AT1699">
        <f>HYPERLINK("http://catalog.hathitrust.org/Record/002753240","HathiTrust Record")</f>
        <v/>
      </c>
      <c r="AU1699">
        <f>HYPERLINK("https://creighton-primo.hosted.exlibrisgroup.com/primo-explore/search?tab=default_tab&amp;search_scope=EVERYTHING&amp;vid=01CRU&amp;lang=en_US&amp;offset=0&amp;query=any,contains,991000667689702656","Catalog Record")</f>
        <v/>
      </c>
      <c r="AV1699">
        <f>HYPERLINK("http://www.worldcat.org/oclc/28017208","WorldCat Record")</f>
        <v/>
      </c>
      <c r="AW1699" t="inlineStr">
        <is>
          <t>3922733:eng</t>
        </is>
      </c>
      <c r="AX1699" t="inlineStr">
        <is>
          <t>28017208</t>
        </is>
      </c>
      <c r="AY1699" t="inlineStr">
        <is>
          <t>991000667689702656</t>
        </is>
      </c>
      <c r="AZ1699" t="inlineStr">
        <is>
          <t>991000667689702656</t>
        </is>
      </c>
      <c r="BA1699" t="inlineStr">
        <is>
          <t>2255705260002656</t>
        </is>
      </c>
      <c r="BB1699" t="inlineStr">
        <is>
          <t>BOOK</t>
        </is>
      </c>
      <c r="BD1699" t="inlineStr">
        <is>
          <t>9780397550135</t>
        </is>
      </c>
      <c r="BE1699" t="inlineStr">
        <is>
          <t>30001002695171</t>
        </is>
      </c>
      <c r="BF1699" t="inlineStr">
        <is>
          <t>893283388</t>
        </is>
      </c>
    </row>
    <row r="1700">
      <c r="A1700" t="inlineStr">
        <is>
          <t>No</t>
        </is>
      </c>
      <c r="B1700" t="inlineStr">
        <is>
          <t>CUHSL</t>
        </is>
      </c>
      <c r="C1700" t="inlineStr">
        <is>
          <t>SHELVES</t>
        </is>
      </c>
      <c r="D1700" t="inlineStr">
        <is>
          <t>WY 160 B281m 1998</t>
        </is>
      </c>
      <c r="E1700" t="inlineStr">
        <is>
          <t>0                      WY 0160000B  281m        1998</t>
        </is>
      </c>
      <c r="F1700" t="inlineStr">
        <is>
          <t>Mental health &amp; mental illness / Patricia D. Barry.</t>
        </is>
      </c>
      <c r="H1700" t="inlineStr">
        <is>
          <t>No</t>
        </is>
      </c>
      <c r="I1700" t="inlineStr">
        <is>
          <t>1</t>
        </is>
      </c>
      <c r="J1700" t="inlineStr">
        <is>
          <t>No</t>
        </is>
      </c>
      <c r="K1700" t="inlineStr">
        <is>
          <t>Yes</t>
        </is>
      </c>
      <c r="L1700" t="inlineStr">
        <is>
          <t>0</t>
        </is>
      </c>
      <c r="M1700" t="inlineStr">
        <is>
          <t>Barry, Patricia D.</t>
        </is>
      </c>
      <c r="N1700" t="inlineStr">
        <is>
          <t>Philadelphia : Lippincott-Raven, c1998.</t>
        </is>
      </c>
      <c r="O1700" t="inlineStr">
        <is>
          <t>1998</t>
        </is>
      </c>
      <c r="P1700" t="inlineStr">
        <is>
          <t>6th ed.</t>
        </is>
      </c>
      <c r="Q1700" t="inlineStr">
        <is>
          <t>eng</t>
        </is>
      </c>
      <c r="R1700" t="inlineStr">
        <is>
          <t>pau</t>
        </is>
      </c>
      <c r="T1700" t="inlineStr">
        <is>
          <t xml:space="preserve">WY </t>
        </is>
      </c>
      <c r="U1700" t="n">
        <v>7</v>
      </c>
      <c r="V1700" t="n">
        <v>7</v>
      </c>
      <c r="W1700" t="inlineStr">
        <is>
          <t>2000-07-14</t>
        </is>
      </c>
      <c r="X1700" t="inlineStr">
        <is>
          <t>2000-07-14</t>
        </is>
      </c>
      <c r="Y1700" t="inlineStr">
        <is>
          <t>1997-11-25</t>
        </is>
      </c>
      <c r="Z1700" t="inlineStr">
        <is>
          <t>1997-11-25</t>
        </is>
      </c>
      <c r="AA1700" t="n">
        <v>353</v>
      </c>
      <c r="AB1700" t="n">
        <v>292</v>
      </c>
      <c r="AC1700" t="n">
        <v>855</v>
      </c>
      <c r="AD1700" t="n">
        <v>2</v>
      </c>
      <c r="AE1700" t="n">
        <v>4</v>
      </c>
      <c r="AF1700" t="n">
        <v>10</v>
      </c>
      <c r="AG1700" t="n">
        <v>31</v>
      </c>
      <c r="AH1700" t="n">
        <v>3</v>
      </c>
      <c r="AI1700" t="n">
        <v>13</v>
      </c>
      <c r="AJ1700" t="n">
        <v>2</v>
      </c>
      <c r="AK1700" t="n">
        <v>5</v>
      </c>
      <c r="AL1700" t="n">
        <v>5</v>
      </c>
      <c r="AM1700" t="n">
        <v>13</v>
      </c>
      <c r="AN1700" t="n">
        <v>1</v>
      </c>
      <c r="AO1700" t="n">
        <v>2</v>
      </c>
      <c r="AP1700" t="n">
        <v>0</v>
      </c>
      <c r="AQ1700" t="n">
        <v>3</v>
      </c>
      <c r="AR1700" t="inlineStr">
        <is>
          <t>No</t>
        </is>
      </c>
      <c r="AS1700" t="inlineStr">
        <is>
          <t>Yes</t>
        </is>
      </c>
      <c r="AT1700">
        <f>HYPERLINK("http://catalog.hathitrust.org/Record/003950643","HathiTrust Record")</f>
        <v/>
      </c>
      <c r="AU1700">
        <f>HYPERLINK("https://creighton-primo.hosted.exlibrisgroup.com/primo-explore/search?tab=default_tab&amp;search_scope=EVERYTHING&amp;vid=01CRU&amp;lang=en_US&amp;offset=0&amp;query=any,contains,991001277179702656","Catalog Record")</f>
        <v/>
      </c>
      <c r="AV1700">
        <f>HYPERLINK("http://www.worldcat.org/oclc/36768434","WorldCat Record")</f>
        <v/>
      </c>
      <c r="AW1700" t="inlineStr">
        <is>
          <t>3922733:eng</t>
        </is>
      </c>
      <c r="AX1700" t="inlineStr">
        <is>
          <t>36768434</t>
        </is>
      </c>
      <c r="AY1700" t="inlineStr">
        <is>
          <t>991001277179702656</t>
        </is>
      </c>
      <c r="AZ1700" t="inlineStr">
        <is>
          <t>991001277179702656</t>
        </is>
      </c>
      <c r="BA1700" t="inlineStr">
        <is>
          <t>2261683830002656</t>
        </is>
      </c>
      <c r="BB1700" t="inlineStr">
        <is>
          <t>BOOK</t>
        </is>
      </c>
      <c r="BD1700" t="inlineStr">
        <is>
          <t>9780397554737</t>
        </is>
      </c>
      <c r="BE1700" t="inlineStr">
        <is>
          <t>30001003700020</t>
        </is>
      </c>
      <c r="BF1700" t="inlineStr">
        <is>
          <t>893816262</t>
        </is>
      </c>
    </row>
    <row r="1701">
      <c r="A1701" t="inlineStr">
        <is>
          <t>No</t>
        </is>
      </c>
      <c r="B1701" t="inlineStr">
        <is>
          <t>CUHSL</t>
        </is>
      </c>
      <c r="C1701" t="inlineStr">
        <is>
          <t>SHELVES</t>
        </is>
      </c>
      <c r="D1701" t="inlineStr">
        <is>
          <t>WY160 B281m 2002</t>
        </is>
      </c>
      <c r="E1701" t="inlineStr">
        <is>
          <t>0                      WY 0160000B  281m        2002</t>
        </is>
      </c>
      <c r="F1701" t="inlineStr">
        <is>
          <t>Mental health &amp; mental illness / Patricia D. Barry ; consultant and contributor, Suzette Farmer.</t>
        </is>
      </c>
      <c r="H1701" t="inlineStr">
        <is>
          <t>No</t>
        </is>
      </c>
      <c r="I1701" t="inlineStr">
        <is>
          <t>1</t>
        </is>
      </c>
      <c r="J1701" t="inlineStr">
        <is>
          <t>No</t>
        </is>
      </c>
      <c r="K1701" t="inlineStr">
        <is>
          <t>Yes</t>
        </is>
      </c>
      <c r="L1701" t="inlineStr">
        <is>
          <t>0</t>
        </is>
      </c>
      <c r="M1701" t="inlineStr">
        <is>
          <t>Barry, Patricia D.</t>
        </is>
      </c>
      <c r="N1701" t="inlineStr">
        <is>
          <t>Philadelphia : Lippincott, c2002</t>
        </is>
      </c>
      <c r="O1701" t="inlineStr">
        <is>
          <t>2002</t>
        </is>
      </c>
      <c r="P1701" t="inlineStr">
        <is>
          <t>7th ed.</t>
        </is>
      </c>
      <c r="Q1701" t="inlineStr">
        <is>
          <t>eng</t>
        </is>
      </c>
      <c r="R1701" t="inlineStr">
        <is>
          <t>pau</t>
        </is>
      </c>
      <c r="T1701" t="inlineStr">
        <is>
          <t xml:space="preserve">WY </t>
        </is>
      </c>
      <c r="U1701" t="n">
        <v>3</v>
      </c>
      <c r="V1701" t="n">
        <v>3</v>
      </c>
      <c r="W1701" t="inlineStr">
        <is>
          <t>2004-02-03</t>
        </is>
      </c>
      <c r="X1701" t="inlineStr">
        <is>
          <t>2004-02-03</t>
        </is>
      </c>
      <c r="Y1701" t="inlineStr">
        <is>
          <t>2002-01-11</t>
        </is>
      </c>
      <c r="Z1701" t="inlineStr">
        <is>
          <t>2002-01-11</t>
        </is>
      </c>
      <c r="AA1701" t="n">
        <v>536</v>
      </c>
      <c r="AB1701" t="n">
        <v>424</v>
      </c>
      <c r="AC1701" t="n">
        <v>855</v>
      </c>
      <c r="AD1701" t="n">
        <v>2</v>
      </c>
      <c r="AE1701" t="n">
        <v>4</v>
      </c>
      <c r="AF1701" t="n">
        <v>15</v>
      </c>
      <c r="AG1701" t="n">
        <v>31</v>
      </c>
      <c r="AH1701" t="n">
        <v>6</v>
      </c>
      <c r="AI1701" t="n">
        <v>13</v>
      </c>
      <c r="AJ1701" t="n">
        <v>3</v>
      </c>
      <c r="AK1701" t="n">
        <v>5</v>
      </c>
      <c r="AL1701" t="n">
        <v>6</v>
      </c>
      <c r="AM1701" t="n">
        <v>13</v>
      </c>
      <c r="AN1701" t="n">
        <v>1</v>
      </c>
      <c r="AO1701" t="n">
        <v>2</v>
      </c>
      <c r="AP1701" t="n">
        <v>0</v>
      </c>
      <c r="AQ1701" t="n">
        <v>3</v>
      </c>
      <c r="AR1701" t="inlineStr">
        <is>
          <t>No</t>
        </is>
      </c>
      <c r="AS1701" t="inlineStr">
        <is>
          <t>No</t>
        </is>
      </c>
      <c r="AU1701">
        <f>HYPERLINK("https://creighton-primo.hosted.exlibrisgroup.com/primo-explore/search?tab=default_tab&amp;search_scope=EVERYTHING&amp;vid=01CRU&amp;lang=en_US&amp;offset=0&amp;query=any,contains,991000302379702656","Catalog Record")</f>
        <v/>
      </c>
      <c r="AV1701">
        <f>HYPERLINK("http://www.worldcat.org/oclc/47177768","WorldCat Record")</f>
        <v/>
      </c>
      <c r="AW1701" t="inlineStr">
        <is>
          <t>3922733:eng</t>
        </is>
      </c>
      <c r="AX1701" t="inlineStr">
        <is>
          <t>47177768</t>
        </is>
      </c>
      <c r="AY1701" t="inlineStr">
        <is>
          <t>991000302379702656</t>
        </is>
      </c>
      <c r="AZ1701" t="inlineStr">
        <is>
          <t>991000302379702656</t>
        </is>
      </c>
      <c r="BA1701" t="inlineStr">
        <is>
          <t>2265016750002656</t>
        </is>
      </c>
      <c r="BB1701" t="inlineStr">
        <is>
          <t>BOOK</t>
        </is>
      </c>
      <c r="BD1701" t="inlineStr">
        <is>
          <t>9780781731386</t>
        </is>
      </c>
      <c r="BE1701" t="inlineStr">
        <is>
          <t>30001004236305</t>
        </is>
      </c>
      <c r="BF1701" t="inlineStr">
        <is>
          <t>893370325</t>
        </is>
      </c>
    </row>
    <row r="1702">
      <c r="A1702" t="inlineStr">
        <is>
          <t>No</t>
        </is>
      </c>
      <c r="B1702" t="inlineStr">
        <is>
          <t>CUHSL</t>
        </is>
      </c>
      <c r="C1702" t="inlineStr">
        <is>
          <t>SHELVES</t>
        </is>
      </c>
      <c r="D1702" t="inlineStr">
        <is>
          <t>WY 160 B949s 1963</t>
        </is>
      </c>
      <c r="E1702" t="inlineStr">
        <is>
          <t>0                      WY 0160000B  949s        1963</t>
        </is>
      </c>
      <c r="F1702" t="inlineStr">
        <is>
          <t>Some clinical approaches to psychiatric nursing / Edited by Shirley F. Burd, Margaret A. Marshall.</t>
        </is>
      </c>
      <c r="H1702" t="inlineStr">
        <is>
          <t>No</t>
        </is>
      </c>
      <c r="I1702" t="inlineStr">
        <is>
          <t>1</t>
        </is>
      </c>
      <c r="J1702" t="inlineStr">
        <is>
          <t>No</t>
        </is>
      </c>
      <c r="K1702" t="inlineStr">
        <is>
          <t>No</t>
        </is>
      </c>
      <c r="L1702" t="inlineStr">
        <is>
          <t>0</t>
        </is>
      </c>
      <c r="M1702" t="inlineStr">
        <is>
          <t>Burd, Shirley F., editor.</t>
        </is>
      </c>
      <c r="N1702" t="inlineStr">
        <is>
          <t>New York : Macmillan, 1963.</t>
        </is>
      </c>
      <c r="O1702" t="inlineStr">
        <is>
          <t>1963</t>
        </is>
      </c>
      <c r="Q1702" t="inlineStr">
        <is>
          <t>eng</t>
        </is>
      </c>
      <c r="R1702" t="inlineStr">
        <is>
          <t>nyu</t>
        </is>
      </c>
      <c r="T1702" t="inlineStr">
        <is>
          <t xml:space="preserve">WY </t>
        </is>
      </c>
      <c r="U1702" t="n">
        <v>1</v>
      </c>
      <c r="V1702" t="n">
        <v>1</v>
      </c>
      <c r="W1702" t="inlineStr">
        <is>
          <t>1993-05-03</t>
        </is>
      </c>
      <c r="X1702" t="inlineStr">
        <is>
          <t>1993-05-03</t>
        </is>
      </c>
      <c r="Y1702" t="inlineStr">
        <is>
          <t>1988-01-08</t>
        </is>
      </c>
      <c r="Z1702" t="inlineStr">
        <is>
          <t>1988-01-08</t>
        </is>
      </c>
      <c r="AA1702" t="n">
        <v>188</v>
      </c>
      <c r="AB1702" t="n">
        <v>161</v>
      </c>
      <c r="AC1702" t="n">
        <v>167</v>
      </c>
      <c r="AD1702" t="n">
        <v>3</v>
      </c>
      <c r="AE1702" t="n">
        <v>3</v>
      </c>
      <c r="AF1702" t="n">
        <v>6</v>
      </c>
      <c r="AG1702" t="n">
        <v>6</v>
      </c>
      <c r="AH1702" t="n">
        <v>0</v>
      </c>
      <c r="AI1702" t="n">
        <v>0</v>
      </c>
      <c r="AJ1702" t="n">
        <v>1</v>
      </c>
      <c r="AK1702" t="n">
        <v>1</v>
      </c>
      <c r="AL1702" t="n">
        <v>5</v>
      </c>
      <c r="AM1702" t="n">
        <v>5</v>
      </c>
      <c r="AN1702" t="n">
        <v>1</v>
      </c>
      <c r="AO1702" t="n">
        <v>1</v>
      </c>
      <c r="AP1702" t="n">
        <v>0</v>
      </c>
      <c r="AQ1702" t="n">
        <v>0</v>
      </c>
      <c r="AR1702" t="inlineStr">
        <is>
          <t>No</t>
        </is>
      </c>
      <c r="AS1702" t="inlineStr">
        <is>
          <t>Yes</t>
        </is>
      </c>
      <c r="AT1702">
        <f>HYPERLINK("http://catalog.hathitrust.org/Record/001563662","HathiTrust Record")</f>
        <v/>
      </c>
      <c r="AU1702">
        <f>HYPERLINK("https://creighton-primo.hosted.exlibrisgroup.com/primo-explore/search?tab=default_tab&amp;search_scope=EVERYTHING&amp;vid=01CRU&amp;lang=en_US&amp;offset=0&amp;query=any,contains,991000925209702656","Catalog Record")</f>
        <v/>
      </c>
      <c r="AV1702">
        <f>HYPERLINK("http://www.worldcat.org/oclc/735313","WorldCat Record")</f>
        <v/>
      </c>
      <c r="AW1702" t="inlineStr">
        <is>
          <t>1776211:eng</t>
        </is>
      </c>
      <c r="AX1702" t="inlineStr">
        <is>
          <t>735313</t>
        </is>
      </c>
      <c r="AY1702" t="inlineStr">
        <is>
          <t>991000925209702656</t>
        </is>
      </c>
      <c r="AZ1702" t="inlineStr">
        <is>
          <t>991000925209702656</t>
        </is>
      </c>
      <c r="BA1702" t="inlineStr">
        <is>
          <t>2258829600002656</t>
        </is>
      </c>
      <c r="BB1702" t="inlineStr">
        <is>
          <t>BOOK</t>
        </is>
      </c>
      <c r="BE1702" t="inlineStr">
        <is>
          <t>30001000182826</t>
        </is>
      </c>
      <c r="BF1702" t="inlineStr">
        <is>
          <t>893465017</t>
        </is>
      </c>
    </row>
    <row r="1703">
      <c r="A1703" t="inlineStr">
        <is>
          <t>No</t>
        </is>
      </c>
      <c r="B1703" t="inlineStr">
        <is>
          <t>CUHSL</t>
        </is>
      </c>
      <c r="C1703" t="inlineStr">
        <is>
          <t>SHELVES</t>
        </is>
      </c>
      <c r="D1703" t="inlineStr">
        <is>
          <t>WY 160 B955p 1990</t>
        </is>
      </c>
      <c r="E1703" t="inlineStr">
        <is>
          <t>0                      WY 0160000B  955p        1990</t>
        </is>
      </c>
      <c r="F1703" t="inlineStr">
        <is>
          <t>Psychiatric nursing in the hospital and the community / Ann Wolbert Burgess.</t>
        </is>
      </c>
      <c r="H1703" t="inlineStr">
        <is>
          <t>No</t>
        </is>
      </c>
      <c r="I1703" t="inlineStr">
        <is>
          <t>1</t>
        </is>
      </c>
      <c r="J1703" t="inlineStr">
        <is>
          <t>No</t>
        </is>
      </c>
      <c r="K1703" t="inlineStr">
        <is>
          <t>No</t>
        </is>
      </c>
      <c r="L1703" t="inlineStr">
        <is>
          <t>0</t>
        </is>
      </c>
      <c r="M1703" t="inlineStr">
        <is>
          <t>Burgess, Ann Wolbert.</t>
        </is>
      </c>
      <c r="N1703" t="inlineStr">
        <is>
          <t>Norwalk, Conn. : Appleton &amp; Lange, c1990.</t>
        </is>
      </c>
      <c r="O1703" t="inlineStr">
        <is>
          <t>1990</t>
        </is>
      </c>
      <c r="P1703" t="inlineStr">
        <is>
          <t>5th ed.</t>
        </is>
      </c>
      <c r="Q1703" t="inlineStr">
        <is>
          <t>eng</t>
        </is>
      </c>
      <c r="R1703" t="inlineStr">
        <is>
          <t>ctu</t>
        </is>
      </c>
      <c r="T1703" t="inlineStr">
        <is>
          <t xml:space="preserve">WY </t>
        </is>
      </c>
      <c r="U1703" t="n">
        <v>2</v>
      </c>
      <c r="V1703" t="n">
        <v>2</v>
      </c>
      <c r="W1703" t="inlineStr">
        <is>
          <t>1990-01-23</t>
        </is>
      </c>
      <c r="X1703" t="inlineStr">
        <is>
          <t>1990-01-23</t>
        </is>
      </c>
      <c r="Y1703" t="inlineStr">
        <is>
          <t>1990-01-23</t>
        </is>
      </c>
      <c r="Z1703" t="inlineStr">
        <is>
          <t>1990-01-23</t>
        </is>
      </c>
      <c r="AA1703" t="n">
        <v>301</v>
      </c>
      <c r="AB1703" t="n">
        <v>250</v>
      </c>
      <c r="AC1703" t="n">
        <v>565</v>
      </c>
      <c r="AD1703" t="n">
        <v>2</v>
      </c>
      <c r="AE1703" t="n">
        <v>5</v>
      </c>
      <c r="AF1703" t="n">
        <v>11</v>
      </c>
      <c r="AG1703" t="n">
        <v>23</v>
      </c>
      <c r="AH1703" t="n">
        <v>5</v>
      </c>
      <c r="AI1703" t="n">
        <v>10</v>
      </c>
      <c r="AJ1703" t="n">
        <v>3</v>
      </c>
      <c r="AK1703" t="n">
        <v>5</v>
      </c>
      <c r="AL1703" t="n">
        <v>7</v>
      </c>
      <c r="AM1703" t="n">
        <v>10</v>
      </c>
      <c r="AN1703" t="n">
        <v>0</v>
      </c>
      <c r="AO1703" t="n">
        <v>3</v>
      </c>
      <c r="AP1703" t="n">
        <v>0</v>
      </c>
      <c r="AQ1703" t="n">
        <v>0</v>
      </c>
      <c r="AR1703" t="inlineStr">
        <is>
          <t>No</t>
        </is>
      </c>
      <c r="AS1703" t="inlineStr">
        <is>
          <t>Yes</t>
        </is>
      </c>
      <c r="AT1703">
        <f>HYPERLINK("http://catalog.hathitrust.org/Record/001821462","HathiTrust Record")</f>
        <v/>
      </c>
      <c r="AU1703">
        <f>HYPERLINK("https://creighton-primo.hosted.exlibrisgroup.com/primo-explore/search?tab=default_tab&amp;search_scope=EVERYTHING&amp;vid=01CRU&amp;lang=en_US&amp;offset=0&amp;query=any,contains,991001386989702656","Catalog Record")</f>
        <v/>
      </c>
      <c r="AV1703">
        <f>HYPERLINK("http://www.worldcat.org/oclc/20735647","WorldCat Record")</f>
        <v/>
      </c>
      <c r="AW1703" t="inlineStr">
        <is>
          <t>1552971:eng</t>
        </is>
      </c>
      <c r="AX1703" t="inlineStr">
        <is>
          <t>20735647</t>
        </is>
      </c>
      <c r="AY1703" t="inlineStr">
        <is>
          <t>991001386989702656</t>
        </is>
      </c>
      <c r="AZ1703" t="inlineStr">
        <is>
          <t>991001386989702656</t>
        </is>
      </c>
      <c r="BA1703" t="inlineStr">
        <is>
          <t>2271029290002656</t>
        </is>
      </c>
      <c r="BB1703" t="inlineStr">
        <is>
          <t>BOOK</t>
        </is>
      </c>
      <c r="BD1703" t="inlineStr">
        <is>
          <t>9780838580127</t>
        </is>
      </c>
      <c r="BE1703" t="inlineStr">
        <is>
          <t>30001001799982</t>
        </is>
      </c>
      <c r="BF1703" t="inlineStr">
        <is>
          <t>893741084</t>
        </is>
      </c>
    </row>
    <row r="1704">
      <c r="A1704" t="inlineStr">
        <is>
          <t>No</t>
        </is>
      </c>
      <c r="B1704" t="inlineStr">
        <is>
          <t>CUHSL</t>
        </is>
      </c>
      <c r="C1704" t="inlineStr">
        <is>
          <t>SHELVES</t>
        </is>
      </c>
      <c r="D1704" t="inlineStr">
        <is>
          <t>WY 160 B986b 1985</t>
        </is>
      </c>
      <c r="E1704" t="inlineStr">
        <is>
          <t>0                      WY 0160000B  986b        1985</t>
        </is>
      </c>
      <c r="F1704" t="inlineStr">
        <is>
          <t>Behaviour and rehabilitation : behavioural treatment for long-stay patients / by Richard J. Butler and Gerald Rosenthall.</t>
        </is>
      </c>
      <c r="H1704" t="inlineStr">
        <is>
          <t>No</t>
        </is>
      </c>
      <c r="I1704" t="inlineStr">
        <is>
          <t>1</t>
        </is>
      </c>
      <c r="J1704" t="inlineStr">
        <is>
          <t>No</t>
        </is>
      </c>
      <c r="K1704" t="inlineStr">
        <is>
          <t>No</t>
        </is>
      </c>
      <c r="L1704" t="inlineStr">
        <is>
          <t>0</t>
        </is>
      </c>
      <c r="M1704" t="inlineStr">
        <is>
          <t>Butler, Richard J.</t>
        </is>
      </c>
      <c r="N1704" t="inlineStr">
        <is>
          <t>Bristol : Wright, c1985.</t>
        </is>
      </c>
      <c r="O1704" t="inlineStr">
        <is>
          <t>1985</t>
        </is>
      </c>
      <c r="P1704" t="inlineStr">
        <is>
          <t>2nd ed.</t>
        </is>
      </c>
      <c r="Q1704" t="inlineStr">
        <is>
          <t>eng</t>
        </is>
      </c>
      <c r="R1704" t="inlineStr">
        <is>
          <t>enk</t>
        </is>
      </c>
      <c r="T1704" t="inlineStr">
        <is>
          <t xml:space="preserve">WY </t>
        </is>
      </c>
      <c r="U1704" t="n">
        <v>5</v>
      </c>
      <c r="V1704" t="n">
        <v>5</v>
      </c>
      <c r="W1704" t="inlineStr">
        <is>
          <t>1991-04-23</t>
        </is>
      </c>
      <c r="X1704" t="inlineStr">
        <is>
          <t>1991-04-23</t>
        </is>
      </c>
      <c r="Y1704" t="inlineStr">
        <is>
          <t>1987-12-28</t>
        </is>
      </c>
      <c r="Z1704" t="inlineStr">
        <is>
          <t>1987-12-28</t>
        </is>
      </c>
      <c r="AA1704" t="n">
        <v>129</v>
      </c>
      <c r="AB1704" t="n">
        <v>78</v>
      </c>
      <c r="AC1704" t="n">
        <v>125</v>
      </c>
      <c r="AD1704" t="n">
        <v>1</v>
      </c>
      <c r="AE1704" t="n">
        <v>2</v>
      </c>
      <c r="AF1704" t="n">
        <v>2</v>
      </c>
      <c r="AG1704" t="n">
        <v>4</v>
      </c>
      <c r="AH1704" t="n">
        <v>1</v>
      </c>
      <c r="AI1704" t="n">
        <v>1</v>
      </c>
      <c r="AJ1704" t="n">
        <v>0</v>
      </c>
      <c r="AK1704" t="n">
        <v>0</v>
      </c>
      <c r="AL1704" t="n">
        <v>2</v>
      </c>
      <c r="AM1704" t="n">
        <v>3</v>
      </c>
      <c r="AN1704" t="n">
        <v>0</v>
      </c>
      <c r="AO1704" t="n">
        <v>1</v>
      </c>
      <c r="AP1704" t="n">
        <v>0</v>
      </c>
      <c r="AQ1704" t="n">
        <v>0</v>
      </c>
      <c r="AR1704" t="inlineStr">
        <is>
          <t>No</t>
        </is>
      </c>
      <c r="AS1704" t="inlineStr">
        <is>
          <t>Yes</t>
        </is>
      </c>
      <c r="AT1704">
        <f>HYPERLINK("http://catalog.hathitrust.org/Record/000661545","HathiTrust Record")</f>
        <v/>
      </c>
      <c r="AU1704">
        <f>HYPERLINK("https://creighton-primo.hosted.exlibrisgroup.com/primo-explore/search?tab=default_tab&amp;search_scope=EVERYTHING&amp;vid=01CRU&amp;lang=en_US&amp;offset=0&amp;query=any,contains,991000925249702656","Catalog Record")</f>
        <v/>
      </c>
      <c r="AV1704">
        <f>HYPERLINK("http://www.worldcat.org/oclc/13455225","WorldCat Record")</f>
        <v/>
      </c>
      <c r="AW1704" t="inlineStr">
        <is>
          <t>836633947:eng</t>
        </is>
      </c>
      <c r="AX1704" t="inlineStr">
        <is>
          <t>13455225</t>
        </is>
      </c>
      <c r="AY1704" t="inlineStr">
        <is>
          <t>991000925249702656</t>
        </is>
      </c>
      <c r="AZ1704" t="inlineStr">
        <is>
          <t>991000925249702656</t>
        </is>
      </c>
      <c r="BA1704" t="inlineStr">
        <is>
          <t>2263768990002656</t>
        </is>
      </c>
      <c r="BB1704" t="inlineStr">
        <is>
          <t>BOOK</t>
        </is>
      </c>
      <c r="BD1704" t="inlineStr">
        <is>
          <t>9780723608240</t>
        </is>
      </c>
      <c r="BE1704" t="inlineStr">
        <is>
          <t>30001000182891</t>
        </is>
      </c>
      <c r="BF1704" t="inlineStr">
        <is>
          <t>893287124</t>
        </is>
      </c>
    </row>
    <row r="1705">
      <c r="A1705" t="inlineStr">
        <is>
          <t>No</t>
        </is>
      </c>
      <c r="B1705" t="inlineStr">
        <is>
          <t>CUHSL</t>
        </is>
      </c>
      <c r="C1705" t="inlineStr">
        <is>
          <t>SHELVES</t>
        </is>
      </c>
      <c r="D1705" t="inlineStr">
        <is>
          <t>WY 160 C271 1988</t>
        </is>
      </c>
      <c r="E1705" t="inlineStr">
        <is>
          <t>0                      WY 0160000C  271         1988</t>
        </is>
      </c>
      <c r="F1705" t="inlineStr">
        <is>
          <t>The care of clients with addictions : dimensions of nursing practice / American Nurses' Association, Drug and Alcohol Nursing Association, National Nurses Society on Addictions.</t>
        </is>
      </c>
      <c r="H1705" t="inlineStr">
        <is>
          <t>No</t>
        </is>
      </c>
      <c r="I1705" t="inlineStr">
        <is>
          <t>1</t>
        </is>
      </c>
      <c r="J1705" t="inlineStr">
        <is>
          <t>No</t>
        </is>
      </c>
      <c r="K1705" t="inlineStr">
        <is>
          <t>No</t>
        </is>
      </c>
      <c r="L1705" t="inlineStr">
        <is>
          <t>0</t>
        </is>
      </c>
      <c r="N1705" t="inlineStr">
        <is>
          <t>Kansas City, MO : The Association, c1988.</t>
        </is>
      </c>
      <c r="O1705" t="inlineStr">
        <is>
          <t>1988</t>
        </is>
      </c>
      <c r="Q1705" t="inlineStr">
        <is>
          <t>eng</t>
        </is>
      </c>
      <c r="R1705" t="inlineStr">
        <is>
          <t>mou</t>
        </is>
      </c>
      <c r="S1705" t="inlineStr">
        <is>
          <t>PMH-9 3M</t>
        </is>
      </c>
      <c r="T1705" t="inlineStr">
        <is>
          <t xml:space="preserve">WY </t>
        </is>
      </c>
      <c r="U1705" t="n">
        <v>1</v>
      </c>
      <c r="V1705" t="n">
        <v>1</v>
      </c>
      <c r="W1705" t="inlineStr">
        <is>
          <t>1991-09-07</t>
        </is>
      </c>
      <c r="X1705" t="inlineStr">
        <is>
          <t>1991-09-07</t>
        </is>
      </c>
      <c r="Y1705" t="inlineStr">
        <is>
          <t>1988-04-16</t>
        </is>
      </c>
      <c r="Z1705" t="inlineStr">
        <is>
          <t>1988-04-16</t>
        </is>
      </c>
      <c r="AA1705" t="n">
        <v>21</v>
      </c>
      <c r="AB1705" t="n">
        <v>21</v>
      </c>
      <c r="AC1705" t="n">
        <v>133</v>
      </c>
      <c r="AD1705" t="n">
        <v>1</v>
      </c>
      <c r="AE1705" t="n">
        <v>2</v>
      </c>
      <c r="AF1705" t="n">
        <v>0</v>
      </c>
      <c r="AG1705" t="n">
        <v>7</v>
      </c>
      <c r="AH1705" t="n">
        <v>0</v>
      </c>
      <c r="AI1705" t="n">
        <v>3</v>
      </c>
      <c r="AJ1705" t="n">
        <v>0</v>
      </c>
      <c r="AK1705" t="n">
        <v>1</v>
      </c>
      <c r="AL1705" t="n">
        <v>0</v>
      </c>
      <c r="AM1705" t="n">
        <v>5</v>
      </c>
      <c r="AN1705" t="n">
        <v>0</v>
      </c>
      <c r="AO1705" t="n">
        <v>0</v>
      </c>
      <c r="AP1705" t="n">
        <v>0</v>
      </c>
      <c r="AQ1705" t="n">
        <v>0</v>
      </c>
      <c r="AR1705" t="inlineStr">
        <is>
          <t>No</t>
        </is>
      </c>
      <c r="AS1705" t="inlineStr">
        <is>
          <t>No</t>
        </is>
      </c>
      <c r="AU1705">
        <f>HYPERLINK("https://creighton-primo.hosted.exlibrisgroup.com/primo-explore/search?tab=default_tab&amp;search_scope=EVERYTHING&amp;vid=01CRU&amp;lang=en_US&amp;offset=0&amp;query=any,contains,991001179339702656","Catalog Record")</f>
        <v/>
      </c>
      <c r="AV1705">
        <f>HYPERLINK("http://www.worldcat.org/oclc/17665232","WorldCat Record")</f>
        <v/>
      </c>
      <c r="AW1705" t="inlineStr">
        <is>
          <t>927549285:eng</t>
        </is>
      </c>
      <c r="AX1705" t="inlineStr">
        <is>
          <t>17665232</t>
        </is>
      </c>
      <c r="AY1705" t="inlineStr">
        <is>
          <t>991001179339702656</t>
        </is>
      </c>
      <c r="AZ1705" t="inlineStr">
        <is>
          <t>991001179339702656</t>
        </is>
      </c>
      <c r="BA1705" t="inlineStr">
        <is>
          <t>2265450890002656</t>
        </is>
      </c>
      <c r="BB1705" t="inlineStr">
        <is>
          <t>BOOK</t>
        </is>
      </c>
      <c r="BE1705" t="inlineStr">
        <is>
          <t>30001000976656</t>
        </is>
      </c>
      <c r="BF1705" t="inlineStr">
        <is>
          <t>893632787</t>
        </is>
      </c>
    </row>
    <row r="1706">
      <c r="A1706" t="inlineStr">
        <is>
          <t>No</t>
        </is>
      </c>
      <c r="B1706" t="inlineStr">
        <is>
          <t>CUHSL</t>
        </is>
      </c>
      <c r="C1706" t="inlineStr">
        <is>
          <t>SHELVES</t>
        </is>
      </c>
      <c r="D1706" t="inlineStr">
        <is>
          <t>WY 160 C6397 1985</t>
        </is>
      </c>
      <c r="E1706" t="inlineStr">
        <is>
          <t>0                      WY 0160000C  6397        1985</t>
        </is>
      </c>
      <c r="F1706" t="inlineStr">
        <is>
          <t>The Clinical specialist in psychiatric mental health nursing : theory, research, and practice / edited by Deane L. Critchley, Judith T. Maurin.</t>
        </is>
      </c>
      <c r="H1706" t="inlineStr">
        <is>
          <t>No</t>
        </is>
      </c>
      <c r="I1706" t="inlineStr">
        <is>
          <t>1</t>
        </is>
      </c>
      <c r="J1706" t="inlineStr">
        <is>
          <t>No</t>
        </is>
      </c>
      <c r="K1706" t="inlineStr">
        <is>
          <t>No</t>
        </is>
      </c>
      <c r="L1706" t="inlineStr">
        <is>
          <t>0</t>
        </is>
      </c>
      <c r="N1706" t="inlineStr">
        <is>
          <t>New York : Wiley, c1985.</t>
        </is>
      </c>
      <c r="O1706" t="inlineStr">
        <is>
          <t>1985</t>
        </is>
      </c>
      <c r="Q1706" t="inlineStr">
        <is>
          <t>eng</t>
        </is>
      </c>
      <c r="R1706" t="inlineStr">
        <is>
          <t>xxu</t>
        </is>
      </c>
      <c r="S1706" t="inlineStr">
        <is>
          <t>A Wiley medical publication</t>
        </is>
      </c>
      <c r="T1706" t="inlineStr">
        <is>
          <t xml:space="preserve">WY </t>
        </is>
      </c>
      <c r="U1706" t="n">
        <v>5</v>
      </c>
      <c r="V1706" t="n">
        <v>5</v>
      </c>
      <c r="W1706" t="inlineStr">
        <is>
          <t>1989-04-01</t>
        </is>
      </c>
      <c r="X1706" t="inlineStr">
        <is>
          <t>1989-04-01</t>
        </is>
      </c>
      <c r="Y1706" t="inlineStr">
        <is>
          <t>1987-12-28</t>
        </is>
      </c>
      <c r="Z1706" t="inlineStr">
        <is>
          <t>1987-12-28</t>
        </is>
      </c>
      <c r="AA1706" t="n">
        <v>219</v>
      </c>
      <c r="AB1706" t="n">
        <v>182</v>
      </c>
      <c r="AC1706" t="n">
        <v>184</v>
      </c>
      <c r="AD1706" t="n">
        <v>1</v>
      </c>
      <c r="AE1706" t="n">
        <v>1</v>
      </c>
      <c r="AF1706" t="n">
        <v>6</v>
      </c>
      <c r="AG1706" t="n">
        <v>6</v>
      </c>
      <c r="AH1706" t="n">
        <v>3</v>
      </c>
      <c r="AI1706" t="n">
        <v>3</v>
      </c>
      <c r="AJ1706" t="n">
        <v>0</v>
      </c>
      <c r="AK1706" t="n">
        <v>0</v>
      </c>
      <c r="AL1706" t="n">
        <v>4</v>
      </c>
      <c r="AM1706" t="n">
        <v>4</v>
      </c>
      <c r="AN1706" t="n">
        <v>0</v>
      </c>
      <c r="AO1706" t="n">
        <v>0</v>
      </c>
      <c r="AP1706" t="n">
        <v>0</v>
      </c>
      <c r="AQ1706" t="n">
        <v>0</v>
      </c>
      <c r="AR1706" t="inlineStr">
        <is>
          <t>No</t>
        </is>
      </c>
      <c r="AS1706" t="inlineStr">
        <is>
          <t>Yes</t>
        </is>
      </c>
      <c r="AT1706">
        <f>HYPERLINK("http://catalog.hathitrust.org/Record/000331828","HathiTrust Record")</f>
        <v/>
      </c>
      <c r="AU1706">
        <f>HYPERLINK("https://creighton-primo.hosted.exlibrisgroup.com/primo-explore/search?tab=default_tab&amp;search_scope=EVERYTHING&amp;vid=01CRU&amp;lang=en_US&amp;offset=0&amp;query=any,contains,991000925369702656","Catalog Record")</f>
        <v/>
      </c>
      <c r="AV1706">
        <f>HYPERLINK("http://www.worldcat.org/oclc/11114633","WorldCat Record")</f>
        <v/>
      </c>
      <c r="AW1706" t="inlineStr">
        <is>
          <t>836676433:eng</t>
        </is>
      </c>
      <c r="AX1706" t="inlineStr">
        <is>
          <t>11114633</t>
        </is>
      </c>
      <c r="AY1706" t="inlineStr">
        <is>
          <t>991000925369702656</t>
        </is>
      </c>
      <c r="AZ1706" t="inlineStr">
        <is>
          <t>991000925369702656</t>
        </is>
      </c>
      <c r="BA1706" t="inlineStr">
        <is>
          <t>2261582300002656</t>
        </is>
      </c>
      <c r="BB1706" t="inlineStr">
        <is>
          <t>BOOK</t>
        </is>
      </c>
      <c r="BD1706" t="inlineStr">
        <is>
          <t>9780471875062</t>
        </is>
      </c>
      <c r="BE1706" t="inlineStr">
        <is>
          <t>30001000182958</t>
        </is>
      </c>
      <c r="BF1706" t="inlineStr">
        <is>
          <t>893358014</t>
        </is>
      </c>
    </row>
    <row r="1707">
      <c r="A1707" t="inlineStr">
        <is>
          <t>No</t>
        </is>
      </c>
      <c r="B1707" t="inlineStr">
        <is>
          <t>CUHSL</t>
        </is>
      </c>
      <c r="C1707" t="inlineStr">
        <is>
          <t>SHELVES</t>
        </is>
      </c>
      <c r="D1707" t="inlineStr">
        <is>
          <t>WY 160 C737 1992</t>
        </is>
      </c>
      <c r="E1707" t="inlineStr">
        <is>
          <t>0                      WY 0160000C  737         1992</t>
        </is>
      </c>
      <c r="F1707" t="inlineStr">
        <is>
          <t>Comprehensive psychiatric nursing / Judith Haber ... [et al.].</t>
        </is>
      </c>
      <c r="H1707" t="inlineStr">
        <is>
          <t>No</t>
        </is>
      </c>
      <c r="I1707" t="inlineStr">
        <is>
          <t>1</t>
        </is>
      </c>
      <c r="J1707" t="inlineStr">
        <is>
          <t>No</t>
        </is>
      </c>
      <c r="K1707" t="inlineStr">
        <is>
          <t>Yes</t>
        </is>
      </c>
      <c r="L1707" t="inlineStr">
        <is>
          <t>0</t>
        </is>
      </c>
      <c r="N1707" t="inlineStr">
        <is>
          <t>St. Louis : Mosby-Year Book, c1992.</t>
        </is>
      </c>
      <c r="O1707" t="inlineStr">
        <is>
          <t>1992</t>
        </is>
      </c>
      <c r="P1707" t="inlineStr">
        <is>
          <t>4th ed.</t>
        </is>
      </c>
      <c r="Q1707" t="inlineStr">
        <is>
          <t>eng</t>
        </is>
      </c>
      <c r="R1707" t="inlineStr">
        <is>
          <t>mou</t>
        </is>
      </c>
      <c r="T1707" t="inlineStr">
        <is>
          <t xml:space="preserve">WY </t>
        </is>
      </c>
      <c r="U1707" t="n">
        <v>10</v>
      </c>
      <c r="V1707" t="n">
        <v>10</v>
      </c>
      <c r="W1707" t="inlineStr">
        <is>
          <t>1997-04-03</t>
        </is>
      </c>
      <c r="X1707" t="inlineStr">
        <is>
          <t>1997-04-03</t>
        </is>
      </c>
      <c r="Y1707" t="inlineStr">
        <is>
          <t>1992-02-18</t>
        </is>
      </c>
      <c r="Z1707" t="inlineStr">
        <is>
          <t>1992-02-18</t>
        </is>
      </c>
      <c r="AA1707" t="n">
        <v>340</v>
      </c>
      <c r="AB1707" t="n">
        <v>267</v>
      </c>
      <c r="AC1707" t="n">
        <v>759</v>
      </c>
      <c r="AD1707" t="n">
        <v>1</v>
      </c>
      <c r="AE1707" t="n">
        <v>5</v>
      </c>
      <c r="AF1707" t="n">
        <v>5</v>
      </c>
      <c r="AG1707" t="n">
        <v>23</v>
      </c>
      <c r="AH1707" t="n">
        <v>2</v>
      </c>
      <c r="AI1707" t="n">
        <v>10</v>
      </c>
      <c r="AJ1707" t="n">
        <v>1</v>
      </c>
      <c r="AK1707" t="n">
        <v>4</v>
      </c>
      <c r="AL1707" t="n">
        <v>4</v>
      </c>
      <c r="AM1707" t="n">
        <v>10</v>
      </c>
      <c r="AN1707" t="n">
        <v>0</v>
      </c>
      <c r="AO1707" t="n">
        <v>3</v>
      </c>
      <c r="AP1707" t="n">
        <v>0</v>
      </c>
      <c r="AQ1707" t="n">
        <v>0</v>
      </c>
      <c r="AR1707" t="inlineStr">
        <is>
          <t>No</t>
        </is>
      </c>
      <c r="AS1707" t="inlineStr">
        <is>
          <t>Yes</t>
        </is>
      </c>
      <c r="AT1707">
        <f>HYPERLINK("http://catalog.hathitrust.org/Record/002507516","HathiTrust Record")</f>
        <v/>
      </c>
      <c r="AU1707">
        <f>HYPERLINK("https://creighton-primo.hosted.exlibrisgroup.com/primo-explore/search?tab=default_tab&amp;search_scope=EVERYTHING&amp;vid=01CRU&amp;lang=en_US&amp;offset=0&amp;query=any,contains,991001033369702656","Catalog Record")</f>
        <v/>
      </c>
      <c r="AV1707">
        <f>HYPERLINK("http://www.worldcat.org/oclc/26586508","WorldCat Record")</f>
        <v/>
      </c>
      <c r="AW1707" t="inlineStr">
        <is>
          <t>1808516331:eng</t>
        </is>
      </c>
      <c r="AX1707" t="inlineStr">
        <is>
          <t>26586508</t>
        </is>
      </c>
      <c r="AY1707" t="inlineStr">
        <is>
          <t>991001033369702656</t>
        </is>
      </c>
      <c r="AZ1707" t="inlineStr">
        <is>
          <t>991001033369702656</t>
        </is>
      </c>
      <c r="BA1707" t="inlineStr">
        <is>
          <t>2259404190002656</t>
        </is>
      </c>
      <c r="BB1707" t="inlineStr">
        <is>
          <t>BOOK</t>
        </is>
      </c>
      <c r="BD1707" t="inlineStr">
        <is>
          <t>9780801660405</t>
        </is>
      </c>
      <c r="BE1707" t="inlineStr">
        <is>
          <t>30001002244251</t>
        </is>
      </c>
      <c r="BF1707" t="inlineStr">
        <is>
          <t>893632677</t>
        </is>
      </c>
    </row>
    <row r="1708">
      <c r="A1708" t="inlineStr">
        <is>
          <t>No</t>
        </is>
      </c>
      <c r="B1708" t="inlineStr">
        <is>
          <t>CUHSL</t>
        </is>
      </c>
      <c r="C1708" t="inlineStr">
        <is>
          <t>SHELVES</t>
        </is>
      </c>
      <c r="D1708" t="inlineStr">
        <is>
          <t>WY 160 C737 1997</t>
        </is>
      </c>
      <c r="E1708" t="inlineStr">
        <is>
          <t>0                      WY 0160000C  737         1997</t>
        </is>
      </c>
      <c r="F1708" t="inlineStr">
        <is>
          <t>Comprehensive psychiatric nursing / Judith Haber ... [et al.].</t>
        </is>
      </c>
      <c r="H1708" t="inlineStr">
        <is>
          <t>No</t>
        </is>
      </c>
      <c r="I1708" t="inlineStr">
        <is>
          <t>1</t>
        </is>
      </c>
      <c r="J1708" t="inlineStr">
        <is>
          <t>No</t>
        </is>
      </c>
      <c r="K1708" t="inlineStr">
        <is>
          <t>Yes</t>
        </is>
      </c>
      <c r="L1708" t="inlineStr">
        <is>
          <t>0</t>
        </is>
      </c>
      <c r="N1708" t="inlineStr">
        <is>
          <t>St. Louis : Mosby, c1997.</t>
        </is>
      </c>
      <c r="O1708" t="inlineStr">
        <is>
          <t>1997</t>
        </is>
      </c>
      <c r="P1708" t="inlineStr">
        <is>
          <t>5th ed.</t>
        </is>
      </c>
      <c r="Q1708" t="inlineStr">
        <is>
          <t>eng</t>
        </is>
      </c>
      <c r="R1708" t="inlineStr">
        <is>
          <t>mou</t>
        </is>
      </c>
      <c r="T1708" t="inlineStr">
        <is>
          <t xml:space="preserve">WY </t>
        </is>
      </c>
      <c r="U1708" t="n">
        <v>54</v>
      </c>
      <c r="V1708" t="n">
        <v>54</v>
      </c>
      <c r="W1708" t="inlineStr">
        <is>
          <t>2005-11-19</t>
        </is>
      </c>
      <c r="X1708" t="inlineStr">
        <is>
          <t>2005-11-19</t>
        </is>
      </c>
      <c r="Y1708" t="inlineStr">
        <is>
          <t>1997-05-02</t>
        </is>
      </c>
      <c r="Z1708" t="inlineStr">
        <is>
          <t>1997-05-02</t>
        </is>
      </c>
      <c r="AA1708" t="n">
        <v>408</v>
      </c>
      <c r="AB1708" t="n">
        <v>328</v>
      </c>
      <c r="AC1708" t="n">
        <v>759</v>
      </c>
      <c r="AD1708" t="n">
        <v>2</v>
      </c>
      <c r="AE1708" t="n">
        <v>5</v>
      </c>
      <c r="AF1708" t="n">
        <v>13</v>
      </c>
      <c r="AG1708" t="n">
        <v>23</v>
      </c>
      <c r="AH1708" t="n">
        <v>6</v>
      </c>
      <c r="AI1708" t="n">
        <v>10</v>
      </c>
      <c r="AJ1708" t="n">
        <v>1</v>
      </c>
      <c r="AK1708" t="n">
        <v>4</v>
      </c>
      <c r="AL1708" t="n">
        <v>6</v>
      </c>
      <c r="AM1708" t="n">
        <v>10</v>
      </c>
      <c r="AN1708" t="n">
        <v>1</v>
      </c>
      <c r="AO1708" t="n">
        <v>3</v>
      </c>
      <c r="AP1708" t="n">
        <v>0</v>
      </c>
      <c r="AQ1708" t="n">
        <v>0</v>
      </c>
      <c r="AR1708" t="inlineStr">
        <is>
          <t>No</t>
        </is>
      </c>
      <c r="AS1708" t="inlineStr">
        <is>
          <t>Yes</t>
        </is>
      </c>
      <c r="AT1708">
        <f>HYPERLINK("http://catalog.hathitrust.org/Record/003122926","HathiTrust Record")</f>
        <v/>
      </c>
      <c r="AU1708">
        <f>HYPERLINK("https://creighton-primo.hosted.exlibrisgroup.com/primo-explore/search?tab=default_tab&amp;search_scope=EVERYTHING&amp;vid=01CRU&amp;lang=en_US&amp;offset=0&amp;query=any,contains,991001781539702656","Catalog Record")</f>
        <v/>
      </c>
      <c r="AV1708">
        <f>HYPERLINK("http://www.worldcat.org/oclc/35741683","WorldCat Record")</f>
        <v/>
      </c>
      <c r="AW1708" t="inlineStr">
        <is>
          <t>1808516331:eng</t>
        </is>
      </c>
      <c r="AX1708" t="inlineStr">
        <is>
          <t>35741683</t>
        </is>
      </c>
      <c r="AY1708" t="inlineStr">
        <is>
          <t>991001781539702656</t>
        </is>
      </c>
      <c r="AZ1708" t="inlineStr">
        <is>
          <t>991001781539702656</t>
        </is>
      </c>
      <c r="BA1708" t="inlineStr">
        <is>
          <t>2260643650002656</t>
        </is>
      </c>
      <c r="BB1708" t="inlineStr">
        <is>
          <t>BOOK</t>
        </is>
      </c>
      <c r="BD1708" t="inlineStr">
        <is>
          <t>9780815141792</t>
        </is>
      </c>
      <c r="BE1708" t="inlineStr">
        <is>
          <t>30001003588664</t>
        </is>
      </c>
      <c r="BF1708" t="inlineStr">
        <is>
          <t>893541873</t>
        </is>
      </c>
    </row>
    <row r="1709">
      <c r="A1709" t="inlineStr">
        <is>
          <t>No</t>
        </is>
      </c>
      <c r="B1709" t="inlineStr">
        <is>
          <t>CUHSL</t>
        </is>
      </c>
      <c r="C1709" t="inlineStr">
        <is>
          <t>SHELVES</t>
        </is>
      </c>
      <c r="D1709" t="inlineStr">
        <is>
          <t>WY 160 C7834 1979</t>
        </is>
      </c>
      <c r="E1709" t="inlineStr">
        <is>
          <t>0                      WY 0160000C  7834        1979</t>
        </is>
      </c>
      <c r="F1709" t="inlineStr">
        <is>
          <t>Coping with neurologic problems proficiently.</t>
        </is>
      </c>
      <c r="H1709" t="inlineStr">
        <is>
          <t>No</t>
        </is>
      </c>
      <c r="I1709" t="inlineStr">
        <is>
          <t>1</t>
        </is>
      </c>
      <c r="J1709" t="inlineStr">
        <is>
          <t>No</t>
        </is>
      </c>
      <c r="K1709" t="inlineStr">
        <is>
          <t>No</t>
        </is>
      </c>
      <c r="L1709" t="inlineStr">
        <is>
          <t>0</t>
        </is>
      </c>
      <c r="N1709" t="inlineStr">
        <is>
          <t>Horsham, Pa. : Intermed Communications, c1979.</t>
        </is>
      </c>
      <c r="O1709" t="inlineStr">
        <is>
          <t>1979</t>
        </is>
      </c>
      <c r="Q1709" t="inlineStr">
        <is>
          <t>eng</t>
        </is>
      </c>
      <c r="R1709" t="inlineStr">
        <is>
          <t>pau</t>
        </is>
      </c>
      <c r="S1709" t="inlineStr">
        <is>
          <t>Nursing skillbook</t>
        </is>
      </c>
      <c r="T1709" t="inlineStr">
        <is>
          <t xml:space="preserve">WY </t>
        </is>
      </c>
      <c r="U1709" t="n">
        <v>5</v>
      </c>
      <c r="V1709" t="n">
        <v>5</v>
      </c>
      <c r="W1709" t="inlineStr">
        <is>
          <t>1993-02-26</t>
        </is>
      </c>
      <c r="X1709" t="inlineStr">
        <is>
          <t>1993-02-26</t>
        </is>
      </c>
      <c r="Y1709" t="inlineStr">
        <is>
          <t>1987-12-28</t>
        </is>
      </c>
      <c r="Z1709" t="inlineStr">
        <is>
          <t>1987-12-28</t>
        </is>
      </c>
      <c r="AA1709" t="n">
        <v>212</v>
      </c>
      <c r="AB1709" t="n">
        <v>188</v>
      </c>
      <c r="AC1709" t="n">
        <v>270</v>
      </c>
      <c r="AD1709" t="n">
        <v>1</v>
      </c>
      <c r="AE1709" t="n">
        <v>2</v>
      </c>
      <c r="AF1709" t="n">
        <v>3</v>
      </c>
      <c r="AG1709" t="n">
        <v>4</v>
      </c>
      <c r="AH1709" t="n">
        <v>1</v>
      </c>
      <c r="AI1709" t="n">
        <v>1</v>
      </c>
      <c r="AJ1709" t="n">
        <v>1</v>
      </c>
      <c r="AK1709" t="n">
        <v>1</v>
      </c>
      <c r="AL1709" t="n">
        <v>2</v>
      </c>
      <c r="AM1709" t="n">
        <v>3</v>
      </c>
      <c r="AN1709" t="n">
        <v>0</v>
      </c>
      <c r="AO1709" t="n">
        <v>0</v>
      </c>
      <c r="AP1709" t="n">
        <v>0</v>
      </c>
      <c r="AQ1709" t="n">
        <v>0</v>
      </c>
      <c r="AR1709" t="inlineStr">
        <is>
          <t>No</t>
        </is>
      </c>
      <c r="AS1709" t="inlineStr">
        <is>
          <t>No</t>
        </is>
      </c>
      <c r="AU1709">
        <f>HYPERLINK("https://creighton-primo.hosted.exlibrisgroup.com/primo-explore/search?tab=default_tab&amp;search_scope=EVERYTHING&amp;vid=01CRU&amp;lang=en_US&amp;offset=0&amp;query=any,contains,991000925459702656","Catalog Record")</f>
        <v/>
      </c>
      <c r="AV1709">
        <f>HYPERLINK("http://www.worldcat.org/oclc/4515220","WorldCat Record")</f>
        <v/>
      </c>
      <c r="AW1709" t="inlineStr">
        <is>
          <t>3414933:eng</t>
        </is>
      </c>
      <c r="AX1709" t="inlineStr">
        <is>
          <t>4515220</t>
        </is>
      </c>
      <c r="AY1709" t="inlineStr">
        <is>
          <t>991000925459702656</t>
        </is>
      </c>
      <c r="AZ1709" t="inlineStr">
        <is>
          <t>991000925459702656</t>
        </is>
      </c>
      <c r="BA1709" t="inlineStr">
        <is>
          <t>2263074700002656</t>
        </is>
      </c>
      <c r="BB1709" t="inlineStr">
        <is>
          <t>BOOK</t>
        </is>
      </c>
      <c r="BD1709" t="inlineStr">
        <is>
          <t>9780916730123</t>
        </is>
      </c>
      <c r="BE1709" t="inlineStr">
        <is>
          <t>30001000183014</t>
        </is>
      </c>
      <c r="BF1709" t="inlineStr">
        <is>
          <t>893278490</t>
        </is>
      </c>
    </row>
    <row r="1710">
      <c r="A1710" t="inlineStr">
        <is>
          <t>No</t>
        </is>
      </c>
      <c r="B1710" t="inlineStr">
        <is>
          <t>CUHSL</t>
        </is>
      </c>
      <c r="C1710" t="inlineStr">
        <is>
          <t>SHELVES</t>
        </is>
      </c>
      <c r="D1710" t="inlineStr">
        <is>
          <t>WY160 C797 2005</t>
        </is>
      </c>
      <c r="E1710" t="inlineStr">
        <is>
          <t>0                      WY 0160000C  797         2005</t>
        </is>
      </c>
      <c r="F1710" t="inlineStr">
        <is>
          <t>Core curriculum for specializing in intellectual and developmental disability : a resource for nurses and other health care professionals / edited by Wendy M. Nehring.</t>
        </is>
      </c>
      <c r="H1710" t="inlineStr">
        <is>
          <t>No</t>
        </is>
      </c>
      <c r="I1710" t="inlineStr">
        <is>
          <t>1</t>
        </is>
      </c>
      <c r="J1710" t="inlineStr">
        <is>
          <t>No</t>
        </is>
      </c>
      <c r="K1710" t="inlineStr">
        <is>
          <t>No</t>
        </is>
      </c>
      <c r="L1710" t="inlineStr">
        <is>
          <t>0</t>
        </is>
      </c>
      <c r="N1710" t="inlineStr">
        <is>
          <t>Sudbury, Mass. : Jones and Bartlett Publishers, c2005.</t>
        </is>
      </c>
      <c r="O1710" t="inlineStr">
        <is>
          <t>2005</t>
        </is>
      </c>
      <c r="Q1710" t="inlineStr">
        <is>
          <t>eng</t>
        </is>
      </c>
      <c r="R1710" t="inlineStr">
        <is>
          <t>mau</t>
        </is>
      </c>
      <c r="T1710" t="inlineStr">
        <is>
          <t xml:space="preserve">WY </t>
        </is>
      </c>
      <c r="U1710" t="n">
        <v>0</v>
      </c>
      <c r="V1710" t="n">
        <v>0</v>
      </c>
      <c r="W1710" t="inlineStr">
        <is>
          <t>2008-10-30</t>
        </is>
      </c>
      <c r="X1710" t="inlineStr">
        <is>
          <t>2008-10-30</t>
        </is>
      </c>
      <c r="Y1710" t="inlineStr">
        <is>
          <t>2005-10-28</t>
        </is>
      </c>
      <c r="Z1710" t="inlineStr">
        <is>
          <t>2005-10-28</t>
        </is>
      </c>
      <c r="AA1710" t="n">
        <v>172</v>
      </c>
      <c r="AB1710" t="n">
        <v>125</v>
      </c>
      <c r="AC1710" t="n">
        <v>127</v>
      </c>
      <c r="AD1710" t="n">
        <v>1</v>
      </c>
      <c r="AE1710" t="n">
        <v>1</v>
      </c>
      <c r="AF1710" t="n">
        <v>6</v>
      </c>
      <c r="AG1710" t="n">
        <v>6</v>
      </c>
      <c r="AH1710" t="n">
        <v>2</v>
      </c>
      <c r="AI1710" t="n">
        <v>2</v>
      </c>
      <c r="AJ1710" t="n">
        <v>2</v>
      </c>
      <c r="AK1710" t="n">
        <v>2</v>
      </c>
      <c r="AL1710" t="n">
        <v>3</v>
      </c>
      <c r="AM1710" t="n">
        <v>3</v>
      </c>
      <c r="AN1710" t="n">
        <v>0</v>
      </c>
      <c r="AO1710" t="n">
        <v>0</v>
      </c>
      <c r="AP1710" t="n">
        <v>0</v>
      </c>
      <c r="AQ1710" t="n">
        <v>0</v>
      </c>
      <c r="AR1710" t="inlineStr">
        <is>
          <t>No</t>
        </is>
      </c>
      <c r="AS1710" t="inlineStr">
        <is>
          <t>Yes</t>
        </is>
      </c>
      <c r="AT1710">
        <f>HYPERLINK("http://catalog.hathitrust.org/Record/004961560","HathiTrust Record")</f>
        <v/>
      </c>
      <c r="AU1710">
        <f>HYPERLINK("https://creighton-primo.hosted.exlibrisgroup.com/primo-explore/search?tab=default_tab&amp;search_scope=EVERYTHING&amp;vid=01CRU&amp;lang=en_US&amp;offset=0&amp;query=any,contains,991000446539702656","Catalog Record")</f>
        <v/>
      </c>
      <c r="AV1710">
        <f>HYPERLINK("http://www.worldcat.org/oclc/56566972","WorldCat Record")</f>
        <v/>
      </c>
      <c r="AW1710" t="inlineStr">
        <is>
          <t>796446911:eng</t>
        </is>
      </c>
      <c r="AX1710" t="inlineStr">
        <is>
          <t>56566972</t>
        </is>
      </c>
      <c r="AY1710" t="inlineStr">
        <is>
          <t>991000446539702656</t>
        </is>
      </c>
      <c r="AZ1710" t="inlineStr">
        <is>
          <t>991000446539702656</t>
        </is>
      </c>
      <c r="BA1710" t="inlineStr">
        <is>
          <t>2267408860002656</t>
        </is>
      </c>
      <c r="BB1710" t="inlineStr">
        <is>
          <t>BOOK</t>
        </is>
      </c>
      <c r="BD1710" t="inlineStr">
        <is>
          <t>9780763747657</t>
        </is>
      </c>
      <c r="BE1710" t="inlineStr">
        <is>
          <t>30001004913812</t>
        </is>
      </c>
      <c r="BF1710" t="inlineStr">
        <is>
          <t>893109682</t>
        </is>
      </c>
    </row>
    <row r="1711">
      <c r="A1711" t="inlineStr">
        <is>
          <t>No</t>
        </is>
      </c>
      <c r="B1711" t="inlineStr">
        <is>
          <t>CUHSL</t>
        </is>
      </c>
      <c r="C1711" t="inlineStr">
        <is>
          <t>SHELVES</t>
        </is>
      </c>
      <c r="D1711" t="inlineStr">
        <is>
          <t>WY 160 C811pa 1983</t>
        </is>
      </c>
      <c r="E1711" t="inlineStr">
        <is>
          <t>0                      WY 0160000C  811pa       1983</t>
        </is>
      </c>
      <c r="F1711" t="inlineStr">
        <is>
          <t>Psychiatric nursing described / Desmond Cormack.</t>
        </is>
      </c>
      <c r="H1711" t="inlineStr">
        <is>
          <t>No</t>
        </is>
      </c>
      <c r="I1711" t="inlineStr">
        <is>
          <t>1</t>
        </is>
      </c>
      <c r="J1711" t="inlineStr">
        <is>
          <t>No</t>
        </is>
      </c>
      <c r="K1711" t="inlineStr">
        <is>
          <t>No</t>
        </is>
      </c>
      <c r="L1711" t="inlineStr">
        <is>
          <t>0</t>
        </is>
      </c>
      <c r="M1711" t="inlineStr">
        <is>
          <t>Cormack, Desmond.</t>
        </is>
      </c>
      <c r="N1711" t="inlineStr">
        <is>
          <t>Edinburgh ; New York : Churchill Livingstone, c1983.</t>
        </is>
      </c>
      <c r="O1711" t="inlineStr">
        <is>
          <t>1983</t>
        </is>
      </c>
      <c r="Q1711" t="inlineStr">
        <is>
          <t>eng</t>
        </is>
      </c>
      <c r="R1711" t="inlineStr">
        <is>
          <t>stk</t>
        </is>
      </c>
      <c r="S1711" t="inlineStr">
        <is>
          <t>Studies in nursing series</t>
        </is>
      </c>
      <c r="T1711" t="inlineStr">
        <is>
          <t xml:space="preserve">WY </t>
        </is>
      </c>
      <c r="U1711" t="n">
        <v>4</v>
      </c>
      <c r="V1711" t="n">
        <v>4</v>
      </c>
      <c r="W1711" t="inlineStr">
        <is>
          <t>1990-01-28</t>
        </is>
      </c>
      <c r="X1711" t="inlineStr">
        <is>
          <t>1990-01-28</t>
        </is>
      </c>
      <c r="Y1711" t="inlineStr">
        <is>
          <t>1987-12-28</t>
        </is>
      </c>
      <c r="Z1711" t="inlineStr">
        <is>
          <t>1987-12-28</t>
        </is>
      </c>
      <c r="AA1711" t="n">
        <v>13</v>
      </c>
      <c r="AB1711" t="n">
        <v>12</v>
      </c>
      <c r="AC1711" t="n">
        <v>61</v>
      </c>
      <c r="AD1711" t="n">
        <v>1</v>
      </c>
      <c r="AE1711" t="n">
        <v>1</v>
      </c>
      <c r="AF1711" t="n">
        <v>0</v>
      </c>
      <c r="AG1711" t="n">
        <v>0</v>
      </c>
      <c r="AH1711" t="n">
        <v>0</v>
      </c>
      <c r="AI1711" t="n">
        <v>0</v>
      </c>
      <c r="AJ1711" t="n">
        <v>0</v>
      </c>
      <c r="AK1711" t="n">
        <v>0</v>
      </c>
      <c r="AL1711" t="n">
        <v>0</v>
      </c>
      <c r="AM1711" t="n">
        <v>0</v>
      </c>
      <c r="AN1711" t="n">
        <v>0</v>
      </c>
      <c r="AO1711" t="n">
        <v>0</v>
      </c>
      <c r="AP1711" t="n">
        <v>0</v>
      </c>
      <c r="AQ1711" t="n">
        <v>0</v>
      </c>
      <c r="AR1711" t="inlineStr">
        <is>
          <t>No</t>
        </is>
      </c>
      <c r="AS1711" t="inlineStr">
        <is>
          <t>No</t>
        </is>
      </c>
      <c r="AU1711">
        <f>HYPERLINK("https://creighton-primo.hosted.exlibrisgroup.com/primo-explore/search?tab=default_tab&amp;search_scope=EVERYTHING&amp;vid=01CRU&amp;lang=en_US&amp;offset=0&amp;query=any,contains,991000925519702656","Catalog Record")</f>
        <v/>
      </c>
      <c r="AV1711">
        <f>HYPERLINK("http://www.worldcat.org/oclc/8453819","WorldCat Record")</f>
        <v/>
      </c>
      <c r="AW1711" t="inlineStr">
        <is>
          <t>31481393:eng</t>
        </is>
      </c>
      <c r="AX1711" t="inlineStr">
        <is>
          <t>8453819</t>
        </is>
      </c>
      <c r="AY1711" t="inlineStr">
        <is>
          <t>991000925519702656</t>
        </is>
      </c>
      <c r="AZ1711" t="inlineStr">
        <is>
          <t>991000925519702656</t>
        </is>
      </c>
      <c r="BA1711" t="inlineStr">
        <is>
          <t>2271625020002656</t>
        </is>
      </c>
      <c r="BB1711" t="inlineStr">
        <is>
          <t>BOOK</t>
        </is>
      </c>
      <c r="BD1711" t="inlineStr">
        <is>
          <t>9780443027222</t>
        </is>
      </c>
      <c r="BE1711" t="inlineStr">
        <is>
          <t>30001000183022</t>
        </is>
      </c>
      <c r="BF1711" t="inlineStr">
        <is>
          <t>893557416</t>
        </is>
      </c>
    </row>
    <row r="1712">
      <c r="A1712" t="inlineStr">
        <is>
          <t>No</t>
        </is>
      </c>
      <c r="B1712" t="inlineStr">
        <is>
          <t>CUHSL</t>
        </is>
      </c>
      <c r="C1712" t="inlineStr">
        <is>
          <t>SHELVES</t>
        </is>
      </c>
      <c r="D1712" t="inlineStr">
        <is>
          <t>WY 160 C899p 1985</t>
        </is>
      </c>
      <c r="E1712" t="inlineStr">
        <is>
          <t>0                      WY 0160000C  899p        1985</t>
        </is>
      </c>
      <c r="F1712" t="inlineStr">
        <is>
          <t>Psychiatric and mental health nursing / Annie Laurie Crawford, Virginia Curry Kilander.</t>
        </is>
      </c>
      <c r="H1712" t="inlineStr">
        <is>
          <t>No</t>
        </is>
      </c>
      <c r="I1712" t="inlineStr">
        <is>
          <t>1</t>
        </is>
      </c>
      <c r="J1712" t="inlineStr">
        <is>
          <t>No</t>
        </is>
      </c>
      <c r="K1712" t="inlineStr">
        <is>
          <t>No</t>
        </is>
      </c>
      <c r="L1712" t="inlineStr">
        <is>
          <t>0</t>
        </is>
      </c>
      <c r="M1712" t="inlineStr">
        <is>
          <t>Crawford, Annie Laurie.</t>
        </is>
      </c>
      <c r="N1712" t="inlineStr">
        <is>
          <t>Philadelphia : Davis, c1985.</t>
        </is>
      </c>
      <c r="O1712" t="inlineStr">
        <is>
          <t>1985</t>
        </is>
      </c>
      <c r="P1712" t="inlineStr">
        <is>
          <t>Ed. 6.</t>
        </is>
      </c>
      <c r="Q1712" t="inlineStr">
        <is>
          <t>eng</t>
        </is>
      </c>
      <c r="R1712" t="inlineStr">
        <is>
          <t>xxu</t>
        </is>
      </c>
      <c r="T1712" t="inlineStr">
        <is>
          <t xml:space="preserve">WY </t>
        </is>
      </c>
      <c r="U1712" t="n">
        <v>5</v>
      </c>
      <c r="V1712" t="n">
        <v>5</v>
      </c>
      <c r="W1712" t="inlineStr">
        <is>
          <t>1990-06-16</t>
        </is>
      </c>
      <c r="X1712" t="inlineStr">
        <is>
          <t>1990-06-16</t>
        </is>
      </c>
      <c r="Y1712" t="inlineStr">
        <is>
          <t>1987-12-28</t>
        </is>
      </c>
      <c r="Z1712" t="inlineStr">
        <is>
          <t>1987-12-28</t>
        </is>
      </c>
      <c r="AA1712" t="n">
        <v>142</v>
      </c>
      <c r="AB1712" t="n">
        <v>115</v>
      </c>
      <c r="AC1712" t="n">
        <v>122</v>
      </c>
      <c r="AD1712" t="n">
        <v>2</v>
      </c>
      <c r="AE1712" t="n">
        <v>2</v>
      </c>
      <c r="AF1712" t="n">
        <v>2</v>
      </c>
      <c r="AG1712" t="n">
        <v>2</v>
      </c>
      <c r="AH1712" t="n">
        <v>1</v>
      </c>
      <c r="AI1712" t="n">
        <v>1</v>
      </c>
      <c r="AJ1712" t="n">
        <v>0</v>
      </c>
      <c r="AK1712" t="n">
        <v>0</v>
      </c>
      <c r="AL1712" t="n">
        <v>1</v>
      </c>
      <c r="AM1712" t="n">
        <v>1</v>
      </c>
      <c r="AN1712" t="n">
        <v>0</v>
      </c>
      <c r="AO1712" t="n">
        <v>0</v>
      </c>
      <c r="AP1712" t="n">
        <v>0</v>
      </c>
      <c r="AQ1712" t="n">
        <v>0</v>
      </c>
      <c r="AR1712" t="inlineStr">
        <is>
          <t>No</t>
        </is>
      </c>
      <c r="AS1712" t="inlineStr">
        <is>
          <t>Yes</t>
        </is>
      </c>
      <c r="AT1712">
        <f>HYPERLINK("http://catalog.hathitrust.org/Record/000342196","HathiTrust Record")</f>
        <v/>
      </c>
      <c r="AU1712">
        <f>HYPERLINK("https://creighton-primo.hosted.exlibrisgroup.com/primo-explore/search?tab=default_tab&amp;search_scope=EVERYTHING&amp;vid=01CRU&amp;lang=en_US&amp;offset=0&amp;query=any,contains,991000925599702656","Catalog Record")</f>
        <v/>
      </c>
      <c r="AV1712">
        <f>HYPERLINK("http://www.worldcat.org/oclc/10799792","WorldCat Record")</f>
        <v/>
      </c>
      <c r="AW1712" t="inlineStr">
        <is>
          <t>3893642584:eng</t>
        </is>
      </c>
      <c r="AX1712" t="inlineStr">
        <is>
          <t>10799792</t>
        </is>
      </c>
      <c r="AY1712" t="inlineStr">
        <is>
          <t>991000925599702656</t>
        </is>
      </c>
      <c r="AZ1712" t="inlineStr">
        <is>
          <t>991000925599702656</t>
        </is>
      </c>
      <c r="BA1712" t="inlineStr">
        <is>
          <t>2255153320002656</t>
        </is>
      </c>
      <c r="BB1712" t="inlineStr">
        <is>
          <t>BOOK</t>
        </is>
      </c>
      <c r="BD1712" t="inlineStr">
        <is>
          <t>9780803621138</t>
        </is>
      </c>
      <c r="BE1712" t="inlineStr">
        <is>
          <t>30001000183048</t>
        </is>
      </c>
      <c r="BF1712" t="inlineStr">
        <is>
          <t>893736051</t>
        </is>
      </c>
    </row>
    <row r="1713">
      <c r="A1713" t="inlineStr">
        <is>
          <t>No</t>
        </is>
      </c>
      <c r="B1713" t="inlineStr">
        <is>
          <t>CUHSL</t>
        </is>
      </c>
      <c r="C1713" t="inlineStr">
        <is>
          <t>SHELVES</t>
        </is>
      </c>
      <c r="D1713" t="inlineStr">
        <is>
          <t>WY 160 CU7995 v.1 1976</t>
        </is>
      </c>
      <c r="E1713" t="inlineStr">
        <is>
          <t>0                      WY 0160000CU 7995                                                    v.1 1976</t>
        </is>
      </c>
      <c r="F1713" t="inlineStr">
        <is>
          <t>Current perspectives in psychiatric nursing : issues and trends : volume one / edited by Carol Ren Kneisl, Holly Skodol Wilson.</t>
        </is>
      </c>
      <c r="G1713" t="inlineStr">
        <is>
          <t>V.1 1976</t>
        </is>
      </c>
      <c r="H1713" t="inlineStr">
        <is>
          <t>No</t>
        </is>
      </c>
      <c r="I1713" t="inlineStr">
        <is>
          <t>1</t>
        </is>
      </c>
      <c r="J1713" t="inlineStr">
        <is>
          <t>No</t>
        </is>
      </c>
      <c r="K1713" t="inlineStr">
        <is>
          <t>No</t>
        </is>
      </c>
      <c r="L1713" t="inlineStr">
        <is>
          <t>0</t>
        </is>
      </c>
      <c r="N1713" t="inlineStr">
        <is>
          <t>Saint Louis : Mosby, 1976.</t>
        </is>
      </c>
      <c r="O1713" t="inlineStr">
        <is>
          <t>1976</t>
        </is>
      </c>
      <c r="Q1713" t="inlineStr">
        <is>
          <t>eng</t>
        </is>
      </c>
      <c r="R1713" t="inlineStr">
        <is>
          <t>mou</t>
        </is>
      </c>
      <c r="S1713" t="inlineStr">
        <is>
          <t>Mosby's current practice and perspectives in nursing series</t>
        </is>
      </c>
      <c r="T1713" t="inlineStr">
        <is>
          <t xml:space="preserve">WY </t>
        </is>
      </c>
      <c r="U1713" t="n">
        <v>2</v>
      </c>
      <c r="V1713" t="n">
        <v>2</v>
      </c>
      <c r="W1713" t="inlineStr">
        <is>
          <t>1988-03-25</t>
        </is>
      </c>
      <c r="X1713" t="inlineStr">
        <is>
          <t>1988-03-25</t>
        </is>
      </c>
      <c r="Y1713" t="inlineStr">
        <is>
          <t>1987-12-28</t>
        </is>
      </c>
      <c r="Z1713" t="inlineStr">
        <is>
          <t>1987-12-28</t>
        </is>
      </c>
      <c r="AA1713" t="n">
        <v>179</v>
      </c>
      <c r="AB1713" t="n">
        <v>146</v>
      </c>
      <c r="AC1713" t="n">
        <v>155</v>
      </c>
      <c r="AD1713" t="n">
        <v>1</v>
      </c>
      <c r="AE1713" t="n">
        <v>2</v>
      </c>
      <c r="AF1713" t="n">
        <v>5</v>
      </c>
      <c r="AG1713" t="n">
        <v>6</v>
      </c>
      <c r="AH1713" t="n">
        <v>1</v>
      </c>
      <c r="AI1713" t="n">
        <v>1</v>
      </c>
      <c r="AJ1713" t="n">
        <v>1</v>
      </c>
      <c r="AK1713" t="n">
        <v>1</v>
      </c>
      <c r="AL1713" t="n">
        <v>3</v>
      </c>
      <c r="AM1713" t="n">
        <v>3</v>
      </c>
      <c r="AN1713" t="n">
        <v>0</v>
      </c>
      <c r="AO1713" t="n">
        <v>1</v>
      </c>
      <c r="AP1713" t="n">
        <v>0</v>
      </c>
      <c r="AQ1713" t="n">
        <v>0</v>
      </c>
      <c r="AR1713" t="inlineStr">
        <is>
          <t>No</t>
        </is>
      </c>
      <c r="AS1713" t="inlineStr">
        <is>
          <t>No</t>
        </is>
      </c>
      <c r="AU1713">
        <f>HYPERLINK("https://creighton-primo.hosted.exlibrisgroup.com/primo-explore/search?tab=default_tab&amp;search_scope=EVERYTHING&amp;vid=01CRU&amp;lang=en_US&amp;offset=0&amp;query=any,contains,991000925639702656","Catalog Record")</f>
        <v/>
      </c>
      <c r="AV1713">
        <f>HYPERLINK("http://www.worldcat.org/oclc/2068534","WorldCat Record")</f>
        <v/>
      </c>
      <c r="AW1713" t="inlineStr">
        <is>
          <t>423398977:eng</t>
        </is>
      </c>
      <c r="AX1713" t="inlineStr">
        <is>
          <t>2068534</t>
        </is>
      </c>
      <c r="AY1713" t="inlineStr">
        <is>
          <t>991000925639702656</t>
        </is>
      </c>
      <c r="AZ1713" t="inlineStr">
        <is>
          <t>991000925639702656</t>
        </is>
      </c>
      <c r="BA1713" t="inlineStr">
        <is>
          <t>2262119100002656</t>
        </is>
      </c>
      <c r="BB1713" t="inlineStr">
        <is>
          <t>BOOK</t>
        </is>
      </c>
      <c r="BD1713" t="inlineStr">
        <is>
          <t>9780801627149</t>
        </is>
      </c>
      <c r="BE1713" t="inlineStr">
        <is>
          <t>30001000183055</t>
        </is>
      </c>
      <c r="BF1713" t="inlineStr">
        <is>
          <t>893358015</t>
        </is>
      </c>
    </row>
    <row r="1714">
      <c r="A1714" t="inlineStr">
        <is>
          <t>No</t>
        </is>
      </c>
      <c r="B1714" t="inlineStr">
        <is>
          <t>CUHSL</t>
        </is>
      </c>
      <c r="C1714" t="inlineStr">
        <is>
          <t>SHELVES</t>
        </is>
      </c>
      <c r="D1714" t="inlineStr">
        <is>
          <t>WY 160 D529n 1983</t>
        </is>
      </c>
      <c r="E1714" t="inlineStr">
        <is>
          <t>0                      WY 0160000D  529n        1983</t>
        </is>
      </c>
      <c r="F1714" t="inlineStr">
        <is>
          <t>Out of uniform and into trouble...again : The nurse's role in community mental health centers and other places / Carol D. DeYoung, Margene Tower, Jody Glittenberg</t>
        </is>
      </c>
      <c r="H1714" t="inlineStr">
        <is>
          <t>No</t>
        </is>
      </c>
      <c r="I1714" t="inlineStr">
        <is>
          <t>1</t>
        </is>
      </c>
      <c r="J1714" t="inlineStr">
        <is>
          <t>No</t>
        </is>
      </c>
      <c r="K1714" t="inlineStr">
        <is>
          <t>No</t>
        </is>
      </c>
      <c r="L1714" t="inlineStr">
        <is>
          <t>0</t>
        </is>
      </c>
      <c r="M1714" t="inlineStr">
        <is>
          <t>DeYoung, Carol D.</t>
        </is>
      </c>
      <c r="N1714" t="inlineStr">
        <is>
          <t>Thorofare, N.J. : SLACK, c1983.</t>
        </is>
      </c>
      <c r="O1714" t="inlineStr">
        <is>
          <t>1983</t>
        </is>
      </c>
      <c r="P1714" t="inlineStr">
        <is>
          <t>2nd ed.</t>
        </is>
      </c>
      <c r="Q1714" t="inlineStr">
        <is>
          <t>eng</t>
        </is>
      </c>
      <c r="R1714" t="inlineStr">
        <is>
          <t>nju</t>
        </is>
      </c>
      <c r="T1714" t="inlineStr">
        <is>
          <t xml:space="preserve">WY </t>
        </is>
      </c>
      <c r="U1714" t="n">
        <v>4</v>
      </c>
      <c r="V1714" t="n">
        <v>4</v>
      </c>
      <c r="W1714" t="inlineStr">
        <is>
          <t>1989-12-10</t>
        </is>
      </c>
      <c r="X1714" t="inlineStr">
        <is>
          <t>1989-12-10</t>
        </is>
      </c>
      <c r="Y1714" t="inlineStr">
        <is>
          <t>1987-12-28</t>
        </is>
      </c>
      <c r="Z1714" t="inlineStr">
        <is>
          <t>1987-12-28</t>
        </is>
      </c>
      <c r="AA1714" t="n">
        <v>138</v>
      </c>
      <c r="AB1714" t="n">
        <v>126</v>
      </c>
      <c r="AC1714" t="n">
        <v>130</v>
      </c>
      <c r="AD1714" t="n">
        <v>1</v>
      </c>
      <c r="AE1714" t="n">
        <v>1</v>
      </c>
      <c r="AF1714" t="n">
        <v>3</v>
      </c>
      <c r="AG1714" t="n">
        <v>3</v>
      </c>
      <c r="AH1714" t="n">
        <v>1</v>
      </c>
      <c r="AI1714" t="n">
        <v>1</v>
      </c>
      <c r="AJ1714" t="n">
        <v>1</v>
      </c>
      <c r="AK1714" t="n">
        <v>1</v>
      </c>
      <c r="AL1714" t="n">
        <v>2</v>
      </c>
      <c r="AM1714" t="n">
        <v>2</v>
      </c>
      <c r="AN1714" t="n">
        <v>0</v>
      </c>
      <c r="AO1714" t="n">
        <v>0</v>
      </c>
      <c r="AP1714" t="n">
        <v>0</v>
      </c>
      <c r="AQ1714" t="n">
        <v>0</v>
      </c>
      <c r="AR1714" t="inlineStr">
        <is>
          <t>No</t>
        </is>
      </c>
      <c r="AS1714" t="inlineStr">
        <is>
          <t>Yes</t>
        </is>
      </c>
      <c r="AT1714">
        <f>HYPERLINK("http://catalog.hathitrust.org/Record/006248818","HathiTrust Record")</f>
        <v/>
      </c>
      <c r="AU1714">
        <f>HYPERLINK("https://creighton-primo.hosted.exlibrisgroup.com/primo-explore/search?tab=default_tab&amp;search_scope=EVERYTHING&amp;vid=01CRU&amp;lang=en_US&amp;offset=0&amp;query=any,contains,991000925729702656","Catalog Record")</f>
        <v/>
      </c>
      <c r="AV1714">
        <f>HYPERLINK("http://www.worldcat.org/oclc/11317530","WorldCat Record")</f>
        <v/>
      </c>
      <c r="AW1714" t="inlineStr">
        <is>
          <t>3885216:eng</t>
        </is>
      </c>
      <c r="AX1714" t="inlineStr">
        <is>
          <t>11317530</t>
        </is>
      </c>
      <c r="AY1714" t="inlineStr">
        <is>
          <t>991000925729702656</t>
        </is>
      </c>
      <c r="AZ1714" t="inlineStr">
        <is>
          <t>991000925729702656</t>
        </is>
      </c>
      <c r="BA1714" t="inlineStr">
        <is>
          <t>2270028510002656</t>
        </is>
      </c>
      <c r="BB1714" t="inlineStr">
        <is>
          <t>BOOK</t>
        </is>
      </c>
      <c r="BD1714" t="inlineStr">
        <is>
          <t>9780913590980</t>
        </is>
      </c>
      <c r="BE1714" t="inlineStr">
        <is>
          <t>30001000183097</t>
        </is>
      </c>
      <c r="BF1714" t="inlineStr">
        <is>
          <t>893455287</t>
        </is>
      </c>
    </row>
    <row r="1715">
      <c r="A1715" t="inlineStr">
        <is>
          <t>No</t>
        </is>
      </c>
      <c r="B1715" t="inlineStr">
        <is>
          <t>CUHSL</t>
        </is>
      </c>
      <c r="C1715" t="inlineStr">
        <is>
          <t>SHELVES</t>
        </is>
      </c>
      <c r="D1715" t="inlineStr">
        <is>
          <t>WY 160 E78 1987</t>
        </is>
      </c>
      <c r="E1715" t="inlineStr">
        <is>
          <t>0                      WY 0160000E  78          1987</t>
        </is>
      </c>
      <c r="F1715" t="inlineStr">
        <is>
          <t>Essentials of mental health nursing / editors, J. Sue Cook, Karen Lee Fontaine.</t>
        </is>
      </c>
      <c r="H1715" t="inlineStr">
        <is>
          <t>No</t>
        </is>
      </c>
      <c r="I1715" t="inlineStr">
        <is>
          <t>1</t>
        </is>
      </c>
      <c r="J1715" t="inlineStr">
        <is>
          <t>No</t>
        </is>
      </c>
      <c r="K1715" t="inlineStr">
        <is>
          <t>No</t>
        </is>
      </c>
      <c r="L1715" t="inlineStr">
        <is>
          <t>0</t>
        </is>
      </c>
      <c r="N1715" t="inlineStr">
        <is>
          <t>Reading, Mass. : Addison-Wesley Pub. Co., c1987.</t>
        </is>
      </c>
      <c r="O1715" t="inlineStr">
        <is>
          <t>1987</t>
        </is>
      </c>
      <c r="Q1715" t="inlineStr">
        <is>
          <t>eng</t>
        </is>
      </c>
      <c r="R1715" t="inlineStr">
        <is>
          <t>xxu</t>
        </is>
      </c>
      <c r="T1715" t="inlineStr">
        <is>
          <t xml:space="preserve">WY </t>
        </is>
      </c>
      <c r="U1715" t="n">
        <v>10</v>
      </c>
      <c r="V1715" t="n">
        <v>10</v>
      </c>
      <c r="W1715" t="inlineStr">
        <is>
          <t>1990-11-28</t>
        </is>
      </c>
      <c r="X1715" t="inlineStr">
        <is>
          <t>1990-11-28</t>
        </is>
      </c>
      <c r="Y1715" t="inlineStr">
        <is>
          <t>1987-12-28</t>
        </is>
      </c>
      <c r="Z1715" t="inlineStr">
        <is>
          <t>1987-12-28</t>
        </is>
      </c>
      <c r="AA1715" t="n">
        <v>161</v>
      </c>
      <c r="AB1715" t="n">
        <v>120</v>
      </c>
      <c r="AC1715" t="n">
        <v>266</v>
      </c>
      <c r="AD1715" t="n">
        <v>1</v>
      </c>
      <c r="AE1715" t="n">
        <v>1</v>
      </c>
      <c r="AF1715" t="n">
        <v>4</v>
      </c>
      <c r="AG1715" t="n">
        <v>8</v>
      </c>
      <c r="AH1715" t="n">
        <v>1</v>
      </c>
      <c r="AI1715" t="n">
        <v>3</v>
      </c>
      <c r="AJ1715" t="n">
        <v>1</v>
      </c>
      <c r="AK1715" t="n">
        <v>3</v>
      </c>
      <c r="AL1715" t="n">
        <v>4</v>
      </c>
      <c r="AM1715" t="n">
        <v>4</v>
      </c>
      <c r="AN1715" t="n">
        <v>0</v>
      </c>
      <c r="AO1715" t="n">
        <v>0</v>
      </c>
      <c r="AP1715" t="n">
        <v>0</v>
      </c>
      <c r="AQ1715" t="n">
        <v>0</v>
      </c>
      <c r="AR1715" t="inlineStr">
        <is>
          <t>No</t>
        </is>
      </c>
      <c r="AS1715" t="inlineStr">
        <is>
          <t>Yes</t>
        </is>
      </c>
      <c r="AT1715">
        <f>HYPERLINK("http://catalog.hathitrust.org/Record/000811337","HathiTrust Record")</f>
        <v/>
      </c>
      <c r="AU1715">
        <f>HYPERLINK("https://creighton-primo.hosted.exlibrisgroup.com/primo-explore/search?tab=default_tab&amp;search_scope=EVERYTHING&amp;vid=01CRU&amp;lang=en_US&amp;offset=0&amp;query=any,contains,991000762689702656","Catalog Record")</f>
        <v/>
      </c>
      <c r="AV1715">
        <f>HYPERLINK("http://www.worldcat.org/oclc/14904238","WorldCat Record")</f>
        <v/>
      </c>
      <c r="AW1715" t="inlineStr">
        <is>
          <t>2242239391:eng</t>
        </is>
      </c>
      <c r="AX1715" t="inlineStr">
        <is>
          <t>14904238</t>
        </is>
      </c>
      <c r="AY1715" t="inlineStr">
        <is>
          <t>991000762689702656</t>
        </is>
      </c>
      <c r="AZ1715" t="inlineStr">
        <is>
          <t>991000762689702656</t>
        </is>
      </c>
      <c r="BA1715" t="inlineStr">
        <is>
          <t>2254840070002656</t>
        </is>
      </c>
      <c r="BB1715" t="inlineStr">
        <is>
          <t>BOOK</t>
        </is>
      </c>
      <c r="BD1715" t="inlineStr">
        <is>
          <t>9780201092707</t>
        </is>
      </c>
      <c r="BE1715" t="inlineStr">
        <is>
          <t>30001000056483</t>
        </is>
      </c>
      <c r="BF1715" t="inlineStr">
        <is>
          <t>893459800</t>
        </is>
      </c>
    </row>
    <row r="1716">
      <c r="A1716" t="inlineStr">
        <is>
          <t>No</t>
        </is>
      </c>
      <c r="B1716" t="inlineStr">
        <is>
          <t>CUHSL</t>
        </is>
      </c>
      <c r="C1716" t="inlineStr">
        <is>
          <t>SHELVES</t>
        </is>
      </c>
      <c r="D1716" t="inlineStr">
        <is>
          <t>WY 160 E79n 1980</t>
        </is>
      </c>
      <c r="E1716" t="inlineStr">
        <is>
          <t>0                      WY 0160000E  79n         1980</t>
        </is>
      </c>
      <c r="F1716" t="inlineStr">
        <is>
          <t>Nursing diagnosis of the alcoholic person / Nada J. Estes, Kathleen Smith-Dijulio, M. Edith Heinemann.</t>
        </is>
      </c>
      <c r="H1716" t="inlineStr">
        <is>
          <t>No</t>
        </is>
      </c>
      <c r="I1716" t="inlineStr">
        <is>
          <t>1</t>
        </is>
      </c>
      <c r="J1716" t="inlineStr">
        <is>
          <t>No</t>
        </is>
      </c>
      <c r="K1716" t="inlineStr">
        <is>
          <t>No</t>
        </is>
      </c>
      <c r="L1716" t="inlineStr">
        <is>
          <t>0</t>
        </is>
      </c>
      <c r="M1716" t="inlineStr">
        <is>
          <t>Estes, Nada J., 1930-</t>
        </is>
      </c>
      <c r="N1716" t="inlineStr">
        <is>
          <t>St. Louis : Mosby, 1980.</t>
        </is>
      </c>
      <c r="O1716" t="inlineStr">
        <is>
          <t>1980</t>
        </is>
      </c>
      <c r="Q1716" t="inlineStr">
        <is>
          <t>eng</t>
        </is>
      </c>
      <c r="R1716" t="inlineStr">
        <is>
          <t xml:space="preserve">xx </t>
        </is>
      </c>
      <c r="T1716" t="inlineStr">
        <is>
          <t xml:space="preserve">WY </t>
        </is>
      </c>
      <c r="U1716" t="n">
        <v>2</v>
      </c>
      <c r="V1716" t="n">
        <v>2</v>
      </c>
      <c r="W1716" t="inlineStr">
        <is>
          <t>1991-09-05</t>
        </is>
      </c>
      <c r="X1716" t="inlineStr">
        <is>
          <t>1991-09-05</t>
        </is>
      </c>
      <c r="Y1716" t="inlineStr">
        <is>
          <t>1987-10-25</t>
        </is>
      </c>
      <c r="Z1716" t="inlineStr">
        <is>
          <t>1987-10-25</t>
        </is>
      </c>
      <c r="AA1716" t="n">
        <v>281</v>
      </c>
      <c r="AB1716" t="n">
        <v>238</v>
      </c>
      <c r="AC1716" t="n">
        <v>243</v>
      </c>
      <c r="AD1716" t="n">
        <v>2</v>
      </c>
      <c r="AE1716" t="n">
        <v>2</v>
      </c>
      <c r="AF1716" t="n">
        <v>11</v>
      </c>
      <c r="AG1716" t="n">
        <v>11</v>
      </c>
      <c r="AH1716" t="n">
        <v>6</v>
      </c>
      <c r="AI1716" t="n">
        <v>6</v>
      </c>
      <c r="AJ1716" t="n">
        <v>2</v>
      </c>
      <c r="AK1716" t="n">
        <v>2</v>
      </c>
      <c r="AL1716" t="n">
        <v>7</v>
      </c>
      <c r="AM1716" t="n">
        <v>7</v>
      </c>
      <c r="AN1716" t="n">
        <v>1</v>
      </c>
      <c r="AO1716" t="n">
        <v>1</v>
      </c>
      <c r="AP1716" t="n">
        <v>0</v>
      </c>
      <c r="AQ1716" t="n">
        <v>0</v>
      </c>
      <c r="AR1716" t="inlineStr">
        <is>
          <t>No</t>
        </is>
      </c>
      <c r="AS1716" t="inlineStr">
        <is>
          <t>No</t>
        </is>
      </c>
      <c r="AU1716">
        <f>HYPERLINK("https://creighton-primo.hosted.exlibrisgroup.com/primo-explore/search?tab=default_tab&amp;search_scope=EVERYTHING&amp;vid=01CRU&amp;lang=en_US&amp;offset=0&amp;query=any,contains,991000731579702656","Catalog Record")</f>
        <v/>
      </c>
      <c r="AV1716">
        <f>HYPERLINK("http://www.worldcat.org/oclc/6042962","WorldCat Record")</f>
        <v/>
      </c>
      <c r="AW1716" t="inlineStr">
        <is>
          <t>21028624:eng</t>
        </is>
      </c>
      <c r="AX1716" t="inlineStr">
        <is>
          <t>6042962</t>
        </is>
      </c>
      <c r="AY1716" t="inlineStr">
        <is>
          <t>991000731579702656</t>
        </is>
      </c>
      <c r="AZ1716" t="inlineStr">
        <is>
          <t>991000731579702656</t>
        </is>
      </c>
      <c r="BA1716" t="inlineStr">
        <is>
          <t>2268417620002656</t>
        </is>
      </c>
      <c r="BB1716" t="inlineStr">
        <is>
          <t>BOOK</t>
        </is>
      </c>
      <c r="BD1716" t="inlineStr">
        <is>
          <t>9780801615580</t>
        </is>
      </c>
      <c r="BE1716" t="inlineStr">
        <is>
          <t>30001000040370</t>
        </is>
      </c>
      <c r="BF1716" t="inlineStr">
        <is>
          <t>893731007</t>
        </is>
      </c>
    </row>
    <row r="1717">
      <c r="A1717" t="inlineStr">
        <is>
          <t>No</t>
        </is>
      </c>
      <c r="B1717" t="inlineStr">
        <is>
          <t>CUHSL</t>
        </is>
      </c>
      <c r="C1717" t="inlineStr">
        <is>
          <t>SHELVES</t>
        </is>
      </c>
      <c r="D1717" t="inlineStr">
        <is>
          <t>WY 160 E92n 1985</t>
        </is>
      </c>
      <c r="E1717" t="inlineStr">
        <is>
          <t>0                      WY 0160000E  92n         1985</t>
        </is>
      </c>
      <c r="F1717" t="inlineStr">
        <is>
          <t>Nursing administration of psychiatric-mental health care / Christina L.S. Evans, Sharon K. Lewis.</t>
        </is>
      </c>
      <c r="H1717" t="inlineStr">
        <is>
          <t>No</t>
        </is>
      </c>
      <c r="I1717" t="inlineStr">
        <is>
          <t>1</t>
        </is>
      </c>
      <c r="J1717" t="inlineStr">
        <is>
          <t>No</t>
        </is>
      </c>
      <c r="K1717" t="inlineStr">
        <is>
          <t>No</t>
        </is>
      </c>
      <c r="L1717" t="inlineStr">
        <is>
          <t>0</t>
        </is>
      </c>
      <c r="M1717" t="inlineStr">
        <is>
          <t>Sieloff, Christina L.</t>
        </is>
      </c>
      <c r="N1717" t="inlineStr">
        <is>
          <t>Rockville, Md. : Aspen Systems Corp., c1985.</t>
        </is>
      </c>
      <c r="O1717" t="inlineStr">
        <is>
          <t>1985</t>
        </is>
      </c>
      <c r="Q1717" t="inlineStr">
        <is>
          <t>eng</t>
        </is>
      </c>
      <c r="R1717" t="inlineStr">
        <is>
          <t>xxu</t>
        </is>
      </c>
      <c r="T1717" t="inlineStr">
        <is>
          <t xml:space="preserve">WY </t>
        </is>
      </c>
      <c r="U1717" t="n">
        <v>2</v>
      </c>
      <c r="V1717" t="n">
        <v>2</v>
      </c>
      <c r="W1717" t="inlineStr">
        <is>
          <t>1989-04-01</t>
        </is>
      </c>
      <c r="X1717" t="inlineStr">
        <is>
          <t>1989-04-01</t>
        </is>
      </c>
      <c r="Y1717" t="inlineStr">
        <is>
          <t>1988-04-25</t>
        </is>
      </c>
      <c r="Z1717" t="inlineStr">
        <is>
          <t>1988-04-25</t>
        </is>
      </c>
      <c r="AA1717" t="n">
        <v>186</v>
      </c>
      <c r="AB1717" t="n">
        <v>172</v>
      </c>
      <c r="AC1717" t="n">
        <v>179</v>
      </c>
      <c r="AD1717" t="n">
        <v>1</v>
      </c>
      <c r="AE1717" t="n">
        <v>1</v>
      </c>
      <c r="AF1717" t="n">
        <v>7</v>
      </c>
      <c r="AG1717" t="n">
        <v>7</v>
      </c>
      <c r="AH1717" t="n">
        <v>2</v>
      </c>
      <c r="AI1717" t="n">
        <v>2</v>
      </c>
      <c r="AJ1717" t="n">
        <v>2</v>
      </c>
      <c r="AK1717" t="n">
        <v>2</v>
      </c>
      <c r="AL1717" t="n">
        <v>4</v>
      </c>
      <c r="AM1717" t="n">
        <v>4</v>
      </c>
      <c r="AN1717" t="n">
        <v>0</v>
      </c>
      <c r="AO1717" t="n">
        <v>0</v>
      </c>
      <c r="AP1717" t="n">
        <v>0</v>
      </c>
      <c r="AQ1717" t="n">
        <v>0</v>
      </c>
      <c r="AR1717" t="inlineStr">
        <is>
          <t>No</t>
        </is>
      </c>
      <c r="AS1717" t="inlineStr">
        <is>
          <t>Yes</t>
        </is>
      </c>
      <c r="AT1717">
        <f>HYPERLINK("http://catalog.hathitrust.org/Record/000571248","HathiTrust Record")</f>
        <v/>
      </c>
      <c r="AU1717">
        <f>HYPERLINK("https://creighton-primo.hosted.exlibrisgroup.com/primo-explore/search?tab=default_tab&amp;search_scope=EVERYTHING&amp;vid=01CRU&amp;lang=en_US&amp;offset=0&amp;query=any,contains,991000925879702656","Catalog Record")</f>
        <v/>
      </c>
      <c r="AV1717">
        <f>HYPERLINK("http://www.worldcat.org/oclc/11841187","WorldCat Record")</f>
        <v/>
      </c>
      <c r="AW1717" t="inlineStr">
        <is>
          <t>4704606:eng</t>
        </is>
      </c>
      <c r="AX1717" t="inlineStr">
        <is>
          <t>11841187</t>
        </is>
      </c>
      <c r="AY1717" t="inlineStr">
        <is>
          <t>991000925879702656</t>
        </is>
      </c>
      <c r="AZ1717" t="inlineStr">
        <is>
          <t>991000925879702656</t>
        </is>
      </c>
      <c r="BA1717" t="inlineStr">
        <is>
          <t>2255071510002656</t>
        </is>
      </c>
      <c r="BB1717" t="inlineStr">
        <is>
          <t>BOOK</t>
        </is>
      </c>
      <c r="BD1717" t="inlineStr">
        <is>
          <t>9780871890993</t>
        </is>
      </c>
      <c r="BE1717" t="inlineStr">
        <is>
          <t>30001000183147</t>
        </is>
      </c>
      <c r="BF1717" t="inlineStr">
        <is>
          <t>893273497</t>
        </is>
      </c>
    </row>
    <row r="1718">
      <c r="A1718" t="inlineStr">
        <is>
          <t>No</t>
        </is>
      </c>
      <c r="B1718" t="inlineStr">
        <is>
          <t>CUHSL</t>
        </is>
      </c>
      <c r="C1718" t="inlineStr">
        <is>
          <t>SHELVES</t>
        </is>
      </c>
      <c r="D1718" t="inlineStr">
        <is>
          <t>WY 160 F198 1982</t>
        </is>
      </c>
      <c r="E1718" t="inlineStr">
        <is>
          <t>0                      WY 0160000F  198         1982</t>
        </is>
      </c>
      <c r="F1718" t="inlineStr">
        <is>
          <t>Family therapy : a nursing perspective / Imelda W. Clements, Diane M. Buchanan.</t>
        </is>
      </c>
      <c r="H1718" t="inlineStr">
        <is>
          <t>No</t>
        </is>
      </c>
      <c r="I1718" t="inlineStr">
        <is>
          <t>1</t>
        </is>
      </c>
      <c r="J1718" t="inlineStr">
        <is>
          <t>No</t>
        </is>
      </c>
      <c r="K1718" t="inlineStr">
        <is>
          <t>No</t>
        </is>
      </c>
      <c r="L1718" t="inlineStr">
        <is>
          <t>0</t>
        </is>
      </c>
      <c r="N1718" t="inlineStr">
        <is>
          <t>New York : Wiley, c1982.</t>
        </is>
      </c>
      <c r="O1718" t="inlineStr">
        <is>
          <t>1982</t>
        </is>
      </c>
      <c r="Q1718" t="inlineStr">
        <is>
          <t>eng</t>
        </is>
      </c>
      <c r="R1718" t="inlineStr">
        <is>
          <t>xxu</t>
        </is>
      </c>
      <c r="S1718" t="inlineStr">
        <is>
          <t>A Wiley medical publication</t>
        </is>
      </c>
      <c r="T1718" t="inlineStr">
        <is>
          <t xml:space="preserve">WY </t>
        </is>
      </c>
      <c r="U1718" t="n">
        <v>3</v>
      </c>
      <c r="V1718" t="n">
        <v>3</v>
      </c>
      <c r="W1718" t="inlineStr">
        <is>
          <t>1993-02-16</t>
        </is>
      </c>
      <c r="X1718" t="inlineStr">
        <is>
          <t>1993-02-16</t>
        </is>
      </c>
      <c r="Y1718" t="inlineStr">
        <is>
          <t>1987-12-28</t>
        </is>
      </c>
      <c r="Z1718" t="inlineStr">
        <is>
          <t>1987-12-28</t>
        </is>
      </c>
      <c r="AA1718" t="n">
        <v>261</v>
      </c>
      <c r="AB1718" t="n">
        <v>211</v>
      </c>
      <c r="AC1718" t="n">
        <v>218</v>
      </c>
      <c r="AD1718" t="n">
        <v>3</v>
      </c>
      <c r="AE1718" t="n">
        <v>3</v>
      </c>
      <c r="AF1718" t="n">
        <v>10</v>
      </c>
      <c r="AG1718" t="n">
        <v>10</v>
      </c>
      <c r="AH1718" t="n">
        <v>3</v>
      </c>
      <c r="AI1718" t="n">
        <v>3</v>
      </c>
      <c r="AJ1718" t="n">
        <v>3</v>
      </c>
      <c r="AK1718" t="n">
        <v>3</v>
      </c>
      <c r="AL1718" t="n">
        <v>5</v>
      </c>
      <c r="AM1718" t="n">
        <v>5</v>
      </c>
      <c r="AN1718" t="n">
        <v>2</v>
      </c>
      <c r="AO1718" t="n">
        <v>2</v>
      </c>
      <c r="AP1718" t="n">
        <v>0</v>
      </c>
      <c r="AQ1718" t="n">
        <v>0</v>
      </c>
      <c r="AR1718" t="inlineStr">
        <is>
          <t>No</t>
        </is>
      </c>
      <c r="AS1718" t="inlineStr">
        <is>
          <t>Yes</t>
        </is>
      </c>
      <c r="AT1718">
        <f>HYPERLINK("http://catalog.hathitrust.org/Record/000313548","HathiTrust Record")</f>
        <v/>
      </c>
      <c r="AU1718">
        <f>HYPERLINK("https://creighton-primo.hosted.exlibrisgroup.com/primo-explore/search?tab=default_tab&amp;search_scope=EVERYTHING&amp;vid=01CRU&amp;lang=en_US&amp;offset=0&amp;query=any,contains,991000925989702656","Catalog Record")</f>
        <v/>
      </c>
      <c r="AV1718">
        <f>HYPERLINK("http://www.worldcat.org/oclc/7740738","WorldCat Record")</f>
        <v/>
      </c>
      <c r="AW1718" t="inlineStr">
        <is>
          <t>905482288:eng</t>
        </is>
      </c>
      <c r="AX1718" t="inlineStr">
        <is>
          <t>7740738</t>
        </is>
      </c>
      <c r="AY1718" t="inlineStr">
        <is>
          <t>991000925989702656</t>
        </is>
      </c>
      <c r="AZ1718" t="inlineStr">
        <is>
          <t>991000925989702656</t>
        </is>
      </c>
      <c r="BA1718" t="inlineStr">
        <is>
          <t>2272744950002656</t>
        </is>
      </c>
      <c r="BB1718" t="inlineStr">
        <is>
          <t>BOOK</t>
        </is>
      </c>
      <c r="BD1718" t="inlineStr">
        <is>
          <t>9780471081463</t>
        </is>
      </c>
      <c r="BE1718" t="inlineStr">
        <is>
          <t>30001000183188</t>
        </is>
      </c>
      <c r="BF1718" t="inlineStr">
        <is>
          <t>893648704</t>
        </is>
      </c>
    </row>
    <row r="1719">
      <c r="A1719" t="inlineStr">
        <is>
          <t>No</t>
        </is>
      </c>
      <c r="B1719" t="inlineStr">
        <is>
          <t>CUHSL</t>
        </is>
      </c>
      <c r="C1719" t="inlineStr">
        <is>
          <t>SHELVES</t>
        </is>
      </c>
      <c r="D1719" t="inlineStr">
        <is>
          <t>WY 160 F585c 1985</t>
        </is>
      </c>
      <c r="E1719" t="inlineStr">
        <is>
          <t>0                      WY 0160000F  585c        1985</t>
        </is>
      </c>
      <c r="F1719" t="inlineStr">
        <is>
          <t>Community mental health nursing : theories and methods / Jacquelyn Haak Flaskerud, Gwen Marram van Servellen.</t>
        </is>
      </c>
      <c r="H1719" t="inlineStr">
        <is>
          <t>No</t>
        </is>
      </c>
      <c r="I1719" t="inlineStr">
        <is>
          <t>1</t>
        </is>
      </c>
      <c r="J1719" t="inlineStr">
        <is>
          <t>No</t>
        </is>
      </c>
      <c r="K1719" t="inlineStr">
        <is>
          <t>No</t>
        </is>
      </c>
      <c r="L1719" t="inlineStr">
        <is>
          <t>0</t>
        </is>
      </c>
      <c r="M1719" t="inlineStr">
        <is>
          <t>Flaskerud, Jacquelyn Haak.</t>
        </is>
      </c>
      <c r="N1719" t="inlineStr">
        <is>
          <t>Norwalk, Conn. : Appleton-Century-Crofts, c1985.</t>
        </is>
      </c>
      <c r="O1719" t="inlineStr">
        <is>
          <t>1985</t>
        </is>
      </c>
      <c r="Q1719" t="inlineStr">
        <is>
          <t>eng</t>
        </is>
      </c>
      <c r="R1719" t="inlineStr">
        <is>
          <t>xxu</t>
        </is>
      </c>
      <c r="T1719" t="inlineStr">
        <is>
          <t xml:space="preserve">WY </t>
        </is>
      </c>
      <c r="U1719" t="n">
        <v>4</v>
      </c>
      <c r="V1719" t="n">
        <v>4</v>
      </c>
      <c r="W1719" t="inlineStr">
        <is>
          <t>1989-04-01</t>
        </is>
      </c>
      <c r="X1719" t="inlineStr">
        <is>
          <t>1989-04-01</t>
        </is>
      </c>
      <c r="Y1719" t="inlineStr">
        <is>
          <t>1987-12-28</t>
        </is>
      </c>
      <c r="Z1719" t="inlineStr">
        <is>
          <t>1987-12-28</t>
        </is>
      </c>
      <c r="AA1719" t="n">
        <v>176</v>
      </c>
      <c r="AB1719" t="n">
        <v>139</v>
      </c>
      <c r="AC1719" t="n">
        <v>141</v>
      </c>
      <c r="AD1719" t="n">
        <v>1</v>
      </c>
      <c r="AE1719" t="n">
        <v>1</v>
      </c>
      <c r="AF1719" t="n">
        <v>6</v>
      </c>
      <c r="AG1719" t="n">
        <v>6</v>
      </c>
      <c r="AH1719" t="n">
        <v>1</v>
      </c>
      <c r="AI1719" t="n">
        <v>1</v>
      </c>
      <c r="AJ1719" t="n">
        <v>2</v>
      </c>
      <c r="AK1719" t="n">
        <v>2</v>
      </c>
      <c r="AL1719" t="n">
        <v>5</v>
      </c>
      <c r="AM1719" t="n">
        <v>5</v>
      </c>
      <c r="AN1719" t="n">
        <v>0</v>
      </c>
      <c r="AO1719" t="n">
        <v>0</v>
      </c>
      <c r="AP1719" t="n">
        <v>0</v>
      </c>
      <c r="AQ1719" t="n">
        <v>0</v>
      </c>
      <c r="AR1719" t="inlineStr">
        <is>
          <t>No</t>
        </is>
      </c>
      <c r="AS1719" t="inlineStr">
        <is>
          <t>Yes</t>
        </is>
      </c>
      <c r="AT1719">
        <f>HYPERLINK("http://catalog.hathitrust.org/Record/000395547","HathiTrust Record")</f>
        <v/>
      </c>
      <c r="AU1719">
        <f>HYPERLINK("https://creighton-primo.hosted.exlibrisgroup.com/primo-explore/search?tab=default_tab&amp;search_scope=EVERYTHING&amp;vid=01CRU&amp;lang=en_US&amp;offset=0&amp;query=any,contains,991000926029702656","Catalog Record")</f>
        <v/>
      </c>
      <c r="AV1719">
        <f>HYPERLINK("http://www.worldcat.org/oclc/10996143","WorldCat Record")</f>
        <v/>
      </c>
      <c r="AW1719" t="inlineStr">
        <is>
          <t>836672486:eng</t>
        </is>
      </c>
      <c r="AX1719" t="inlineStr">
        <is>
          <t>10996143</t>
        </is>
      </c>
      <c r="AY1719" t="inlineStr">
        <is>
          <t>991000926029702656</t>
        </is>
      </c>
      <c r="AZ1719" t="inlineStr">
        <is>
          <t>991000926029702656</t>
        </is>
      </c>
      <c r="BA1719" t="inlineStr">
        <is>
          <t>2271404460002656</t>
        </is>
      </c>
      <c r="BB1719" t="inlineStr">
        <is>
          <t>BOOK</t>
        </is>
      </c>
      <c r="BD1719" t="inlineStr">
        <is>
          <t>9780838511794</t>
        </is>
      </c>
      <c r="BE1719" t="inlineStr">
        <is>
          <t>30001000183196</t>
        </is>
      </c>
      <c r="BF1719" t="inlineStr">
        <is>
          <t>893167961</t>
        </is>
      </c>
    </row>
    <row r="1720">
      <c r="A1720" t="inlineStr">
        <is>
          <t>No</t>
        </is>
      </c>
      <c r="B1720" t="inlineStr">
        <is>
          <t>CUHSL</t>
        </is>
      </c>
      <c r="C1720" t="inlineStr">
        <is>
          <t>SHELVES</t>
        </is>
      </c>
      <c r="D1720" t="inlineStr">
        <is>
          <t>WY 160 F663r 1983</t>
        </is>
      </c>
      <c r="E1720" t="inlineStr">
        <is>
          <t>0                      WY 0160000F  663r        1983</t>
        </is>
      </c>
      <c r="F1720" t="inlineStr">
        <is>
          <t>Rape--nursing care of victims / Theresa S. Foley, Marilyn R. Davies.</t>
        </is>
      </c>
      <c r="H1720" t="inlineStr">
        <is>
          <t>No</t>
        </is>
      </c>
      <c r="I1720" t="inlineStr">
        <is>
          <t>1</t>
        </is>
      </c>
      <c r="J1720" t="inlineStr">
        <is>
          <t>No</t>
        </is>
      </c>
      <c r="K1720" t="inlineStr">
        <is>
          <t>No</t>
        </is>
      </c>
      <c r="L1720" t="inlineStr">
        <is>
          <t>0</t>
        </is>
      </c>
      <c r="M1720" t="inlineStr">
        <is>
          <t>Foley, Theresa S.</t>
        </is>
      </c>
      <c r="N1720" t="inlineStr">
        <is>
          <t>St. Louis : Mosby, c1983.</t>
        </is>
      </c>
      <c r="O1720" t="inlineStr">
        <is>
          <t>1983</t>
        </is>
      </c>
      <c r="Q1720" t="inlineStr">
        <is>
          <t>eng</t>
        </is>
      </c>
      <c r="R1720" t="inlineStr">
        <is>
          <t>xxu</t>
        </is>
      </c>
      <c r="T1720" t="inlineStr">
        <is>
          <t xml:space="preserve">WY </t>
        </is>
      </c>
      <c r="U1720" t="n">
        <v>2</v>
      </c>
      <c r="V1720" t="n">
        <v>2</v>
      </c>
      <c r="W1720" t="inlineStr">
        <is>
          <t>1988-10-19</t>
        </is>
      </c>
      <c r="X1720" t="inlineStr">
        <is>
          <t>1988-10-19</t>
        </is>
      </c>
      <c r="Y1720" t="inlineStr">
        <is>
          <t>1987-12-01</t>
        </is>
      </c>
      <c r="Z1720" t="inlineStr">
        <is>
          <t>1987-12-01</t>
        </is>
      </c>
      <c r="AA1720" t="n">
        <v>328</v>
      </c>
      <c r="AB1720" t="n">
        <v>266</v>
      </c>
      <c r="AC1720" t="n">
        <v>273</v>
      </c>
      <c r="AD1720" t="n">
        <v>3</v>
      </c>
      <c r="AE1720" t="n">
        <v>3</v>
      </c>
      <c r="AF1720" t="n">
        <v>11</v>
      </c>
      <c r="AG1720" t="n">
        <v>11</v>
      </c>
      <c r="AH1720" t="n">
        <v>6</v>
      </c>
      <c r="AI1720" t="n">
        <v>6</v>
      </c>
      <c r="AJ1720" t="n">
        <v>2</v>
      </c>
      <c r="AK1720" t="n">
        <v>2</v>
      </c>
      <c r="AL1720" t="n">
        <v>5</v>
      </c>
      <c r="AM1720" t="n">
        <v>5</v>
      </c>
      <c r="AN1720" t="n">
        <v>2</v>
      </c>
      <c r="AO1720" t="n">
        <v>2</v>
      </c>
      <c r="AP1720" t="n">
        <v>0</v>
      </c>
      <c r="AQ1720" t="n">
        <v>0</v>
      </c>
      <c r="AR1720" t="inlineStr">
        <is>
          <t>No</t>
        </is>
      </c>
      <c r="AS1720" t="inlineStr">
        <is>
          <t>Yes</t>
        </is>
      </c>
      <c r="AT1720">
        <f>HYPERLINK("http://catalog.hathitrust.org/Record/000310495","HathiTrust Record")</f>
        <v/>
      </c>
      <c r="AU1720">
        <f>HYPERLINK("https://creighton-primo.hosted.exlibrisgroup.com/primo-explore/search?tab=default_tab&amp;search_scope=EVERYTHING&amp;vid=01CRU&amp;lang=en_US&amp;offset=0&amp;query=any,contains,991000926069702656","Catalog Record")</f>
        <v/>
      </c>
      <c r="AV1720">
        <f>HYPERLINK("http://www.worldcat.org/oclc/8826209","WorldCat Record")</f>
        <v/>
      </c>
      <c r="AW1720" t="inlineStr">
        <is>
          <t>42921477:eng</t>
        </is>
      </c>
      <c r="AX1720" t="inlineStr">
        <is>
          <t>8826209</t>
        </is>
      </c>
      <c r="AY1720" t="inlineStr">
        <is>
          <t>991000926069702656</t>
        </is>
      </c>
      <c r="AZ1720" t="inlineStr">
        <is>
          <t>991000926069702656</t>
        </is>
      </c>
      <c r="BA1720" t="inlineStr">
        <is>
          <t>2267271470002656</t>
        </is>
      </c>
      <c r="BB1720" t="inlineStr">
        <is>
          <t>BOOK</t>
        </is>
      </c>
      <c r="BD1720" t="inlineStr">
        <is>
          <t>9780801616204</t>
        </is>
      </c>
      <c r="BE1720" t="inlineStr">
        <is>
          <t>30001000183212</t>
        </is>
      </c>
      <c r="BF1720" t="inlineStr">
        <is>
          <t>893287125</t>
        </is>
      </c>
    </row>
    <row r="1721">
      <c r="A1721" t="inlineStr">
        <is>
          <t>No</t>
        </is>
      </c>
      <c r="B1721" t="inlineStr">
        <is>
          <t>CUHSL</t>
        </is>
      </c>
      <c r="C1721" t="inlineStr">
        <is>
          <t>SHELVES</t>
        </is>
      </c>
      <c r="D1721" t="inlineStr">
        <is>
          <t>WY 160 F678m 2003</t>
        </is>
      </c>
      <c r="E1721" t="inlineStr">
        <is>
          <t>0                      WY 0160000F  678m        2003</t>
        </is>
      </c>
      <c r="F1721" t="inlineStr">
        <is>
          <t>Mental health nursing / Karen Lee Fontaine.</t>
        </is>
      </c>
      <c r="H1721" t="inlineStr">
        <is>
          <t>No</t>
        </is>
      </c>
      <c r="I1721" t="inlineStr">
        <is>
          <t>1</t>
        </is>
      </c>
      <c r="J1721" t="inlineStr">
        <is>
          <t>No</t>
        </is>
      </c>
      <c r="K1721" t="inlineStr">
        <is>
          <t>Yes</t>
        </is>
      </c>
      <c r="L1721" t="inlineStr">
        <is>
          <t>0</t>
        </is>
      </c>
      <c r="M1721" t="inlineStr">
        <is>
          <t>Fontaine, Karen Lee, 1943-</t>
        </is>
      </c>
      <c r="N1721" t="inlineStr">
        <is>
          <t>Upper Saddle River, NJ : Prentice Hall, c2003.</t>
        </is>
      </c>
      <c r="O1721" t="inlineStr">
        <is>
          <t>2003</t>
        </is>
      </c>
      <c r="P1721" t="inlineStr">
        <is>
          <t>5th ed.</t>
        </is>
      </c>
      <c r="Q1721" t="inlineStr">
        <is>
          <t>eng</t>
        </is>
      </c>
      <c r="R1721" t="inlineStr">
        <is>
          <t>nju</t>
        </is>
      </c>
      <c r="T1721" t="inlineStr">
        <is>
          <t xml:space="preserve">WY </t>
        </is>
      </c>
      <c r="U1721" t="n">
        <v>1</v>
      </c>
      <c r="V1721" t="n">
        <v>1</v>
      </c>
      <c r="W1721" t="inlineStr">
        <is>
          <t>2006-09-03</t>
        </is>
      </c>
      <c r="X1721" t="inlineStr">
        <is>
          <t>2006-09-03</t>
        </is>
      </c>
      <c r="Y1721" t="inlineStr">
        <is>
          <t>2006-08-25</t>
        </is>
      </c>
      <c r="Z1721" t="inlineStr">
        <is>
          <t>2006-08-25</t>
        </is>
      </c>
      <c r="AA1721" t="n">
        <v>236</v>
      </c>
      <c r="AB1721" t="n">
        <v>141</v>
      </c>
      <c r="AC1721" t="n">
        <v>322</v>
      </c>
      <c r="AD1721" t="n">
        <v>1</v>
      </c>
      <c r="AE1721" t="n">
        <v>1</v>
      </c>
      <c r="AF1721" t="n">
        <v>3</v>
      </c>
      <c r="AG1721" t="n">
        <v>9</v>
      </c>
      <c r="AH1721" t="n">
        <v>1</v>
      </c>
      <c r="AI1721" t="n">
        <v>3</v>
      </c>
      <c r="AJ1721" t="n">
        <v>1</v>
      </c>
      <c r="AK1721" t="n">
        <v>2</v>
      </c>
      <c r="AL1721" t="n">
        <v>2</v>
      </c>
      <c r="AM1721" t="n">
        <v>7</v>
      </c>
      <c r="AN1721" t="n">
        <v>0</v>
      </c>
      <c r="AO1721" t="n">
        <v>0</v>
      </c>
      <c r="AP1721" t="n">
        <v>0</v>
      </c>
      <c r="AQ1721" t="n">
        <v>0</v>
      </c>
      <c r="AR1721" t="inlineStr">
        <is>
          <t>No</t>
        </is>
      </c>
      <c r="AS1721" t="inlineStr">
        <is>
          <t>Yes</t>
        </is>
      </c>
      <c r="AT1721">
        <f>HYPERLINK("http://catalog.hathitrust.org/Record/004279865","HathiTrust Record")</f>
        <v/>
      </c>
      <c r="AU1721">
        <f>HYPERLINK("https://creighton-primo.hosted.exlibrisgroup.com/primo-explore/search?tab=default_tab&amp;search_scope=EVERYTHING&amp;vid=01CRU&amp;lang=en_US&amp;offset=0&amp;query=any,contains,991000531529702656","Catalog Record")</f>
        <v/>
      </c>
      <c r="AV1721">
        <f>HYPERLINK("http://www.worldcat.org/oclc/49276257","WorldCat Record")</f>
        <v/>
      </c>
      <c r="AW1721" t="inlineStr">
        <is>
          <t>3901160091:eng</t>
        </is>
      </c>
      <c r="AX1721" t="inlineStr">
        <is>
          <t>49276257</t>
        </is>
      </c>
      <c r="AY1721" t="inlineStr">
        <is>
          <t>991000531529702656</t>
        </is>
      </c>
      <c r="AZ1721" t="inlineStr">
        <is>
          <t>991000531529702656</t>
        </is>
      </c>
      <c r="BA1721" t="inlineStr">
        <is>
          <t>2255234620002656</t>
        </is>
      </c>
      <c r="BB1721" t="inlineStr">
        <is>
          <t>BOOK</t>
        </is>
      </c>
      <c r="BD1721" t="inlineStr">
        <is>
          <t>9780130979926</t>
        </is>
      </c>
      <c r="BE1721" t="inlineStr">
        <is>
          <t>30001005120110</t>
        </is>
      </c>
      <c r="BF1721" t="inlineStr">
        <is>
          <t>893729584</t>
        </is>
      </c>
    </row>
    <row r="1722">
      <c r="A1722" t="inlineStr">
        <is>
          <t>No</t>
        </is>
      </c>
      <c r="B1722" t="inlineStr">
        <is>
          <t>CUHSL</t>
        </is>
      </c>
      <c r="C1722" t="inlineStr">
        <is>
          <t>SHELVES</t>
        </is>
      </c>
      <c r="D1722" t="inlineStr">
        <is>
          <t>WY 160 G675g 1961</t>
        </is>
      </c>
      <c r="E1722" t="inlineStr">
        <is>
          <t>0                      WY 0160000G  675g        1961</t>
        </is>
      </c>
      <c r="F1722" t="inlineStr">
        <is>
          <t>A guide for the evaluation of psychiatric nursing services / by John V. Gorton.</t>
        </is>
      </c>
      <c r="H1722" t="inlineStr">
        <is>
          <t>No</t>
        </is>
      </c>
      <c r="I1722" t="inlineStr">
        <is>
          <t>1</t>
        </is>
      </c>
      <c r="J1722" t="inlineStr">
        <is>
          <t>No</t>
        </is>
      </c>
      <c r="K1722" t="inlineStr">
        <is>
          <t>No</t>
        </is>
      </c>
      <c r="L1722" t="inlineStr">
        <is>
          <t>0</t>
        </is>
      </c>
      <c r="M1722" t="inlineStr">
        <is>
          <t>Gorton, John V.</t>
        </is>
      </c>
      <c r="N1722" t="inlineStr">
        <is>
          <t>New York : National League for Nursing, 1961.</t>
        </is>
      </c>
      <c r="O1722" t="inlineStr">
        <is>
          <t>1961</t>
        </is>
      </c>
      <c r="Q1722" t="inlineStr">
        <is>
          <t>eng</t>
        </is>
      </c>
      <c r="R1722" t="inlineStr">
        <is>
          <t>nyu</t>
        </is>
      </c>
      <c r="S1722" t="inlineStr">
        <is>
          <t>NLN pub. no. 33-881</t>
        </is>
      </c>
      <c r="T1722" t="inlineStr">
        <is>
          <t xml:space="preserve">WY </t>
        </is>
      </c>
      <c r="U1722" t="n">
        <v>1</v>
      </c>
      <c r="V1722" t="n">
        <v>1</v>
      </c>
      <c r="W1722" t="inlineStr">
        <is>
          <t>1990-06-25</t>
        </is>
      </c>
      <c r="X1722" t="inlineStr">
        <is>
          <t>1990-06-25</t>
        </is>
      </c>
      <c r="Y1722" t="inlineStr">
        <is>
          <t>1987-11-12</t>
        </is>
      </c>
      <c r="Z1722" t="inlineStr">
        <is>
          <t>1987-11-12</t>
        </is>
      </c>
      <c r="AA1722" t="n">
        <v>35</v>
      </c>
      <c r="AB1722" t="n">
        <v>33</v>
      </c>
      <c r="AC1722" t="n">
        <v>40</v>
      </c>
      <c r="AD1722" t="n">
        <v>1</v>
      </c>
      <c r="AE1722" t="n">
        <v>1</v>
      </c>
      <c r="AF1722" t="n">
        <v>1</v>
      </c>
      <c r="AG1722" t="n">
        <v>1</v>
      </c>
      <c r="AH1722" t="n">
        <v>0</v>
      </c>
      <c r="AI1722" t="n">
        <v>0</v>
      </c>
      <c r="AJ1722" t="n">
        <v>1</v>
      </c>
      <c r="AK1722" t="n">
        <v>1</v>
      </c>
      <c r="AL1722" t="n">
        <v>1</v>
      </c>
      <c r="AM1722" t="n">
        <v>1</v>
      </c>
      <c r="AN1722" t="n">
        <v>0</v>
      </c>
      <c r="AO1722" t="n">
        <v>0</v>
      </c>
      <c r="AP1722" t="n">
        <v>0</v>
      </c>
      <c r="AQ1722" t="n">
        <v>0</v>
      </c>
      <c r="AR1722" t="inlineStr">
        <is>
          <t>Yes</t>
        </is>
      </c>
      <c r="AS1722" t="inlineStr">
        <is>
          <t>No</t>
        </is>
      </c>
      <c r="AT1722">
        <f>HYPERLINK("http://catalog.hathitrust.org/Record/002066385","HathiTrust Record")</f>
        <v/>
      </c>
      <c r="AU1722">
        <f>HYPERLINK("https://creighton-primo.hosted.exlibrisgroup.com/primo-explore/search?tab=default_tab&amp;search_scope=EVERYTHING&amp;vid=01CRU&amp;lang=en_US&amp;offset=0&amp;query=any,contains,991001389469702656","Catalog Record")</f>
        <v/>
      </c>
      <c r="AV1722">
        <f>HYPERLINK("http://www.worldcat.org/oclc/14619589","WorldCat Record")</f>
        <v/>
      </c>
      <c r="AW1722" t="inlineStr">
        <is>
          <t>8498626:eng</t>
        </is>
      </c>
      <c r="AX1722" t="inlineStr">
        <is>
          <t>14619589</t>
        </is>
      </c>
      <c r="AY1722" t="inlineStr">
        <is>
          <t>991001389469702656</t>
        </is>
      </c>
      <c r="AZ1722" t="inlineStr">
        <is>
          <t>991001389469702656</t>
        </is>
      </c>
      <c r="BA1722" t="inlineStr">
        <is>
          <t>2269867890002656</t>
        </is>
      </c>
      <c r="BB1722" t="inlineStr">
        <is>
          <t>BOOK</t>
        </is>
      </c>
      <c r="BE1722" t="inlineStr">
        <is>
          <t>30001000464638</t>
        </is>
      </c>
      <c r="BF1722" t="inlineStr">
        <is>
          <t>893369344</t>
        </is>
      </c>
    </row>
    <row r="1723">
      <c r="A1723" t="inlineStr">
        <is>
          <t>No</t>
        </is>
      </c>
      <c r="B1723" t="inlineStr">
        <is>
          <t>CUHSL</t>
        </is>
      </c>
      <c r="C1723" t="inlineStr">
        <is>
          <t>SHELVES</t>
        </is>
      </c>
      <c r="D1723" t="inlineStr">
        <is>
          <t>WY 160 G943 1991</t>
        </is>
      </c>
      <c r="E1723" t="inlineStr">
        <is>
          <t>0                      WY 0160000G  943         1991</t>
        </is>
      </c>
      <c r="F1723" t="inlineStr">
        <is>
          <t>A Guide to neurological and neurosurgical nursing / edited by Mariah Snyder.</t>
        </is>
      </c>
      <c r="H1723" t="inlineStr">
        <is>
          <t>No</t>
        </is>
      </c>
      <c r="I1723" t="inlineStr">
        <is>
          <t>1</t>
        </is>
      </c>
      <c r="J1723" t="inlineStr">
        <is>
          <t>No</t>
        </is>
      </c>
      <c r="K1723" t="inlineStr">
        <is>
          <t>No</t>
        </is>
      </c>
      <c r="L1723" t="inlineStr">
        <is>
          <t>0</t>
        </is>
      </c>
      <c r="N1723" t="inlineStr">
        <is>
          <t>Albany, N.Y. : Delmar Publishers, c1991.</t>
        </is>
      </c>
      <c r="O1723" t="inlineStr">
        <is>
          <t>1991</t>
        </is>
      </c>
      <c r="P1723" t="inlineStr">
        <is>
          <t>2nd ed.</t>
        </is>
      </c>
      <c r="Q1723" t="inlineStr">
        <is>
          <t>eng</t>
        </is>
      </c>
      <c r="R1723" t="inlineStr">
        <is>
          <t>nyu</t>
        </is>
      </c>
      <c r="T1723" t="inlineStr">
        <is>
          <t xml:space="preserve">WY </t>
        </is>
      </c>
      <c r="U1723" t="n">
        <v>6</v>
      </c>
      <c r="V1723" t="n">
        <v>6</v>
      </c>
      <c r="W1723" t="inlineStr">
        <is>
          <t>1999-08-10</t>
        </is>
      </c>
      <c r="X1723" t="inlineStr">
        <is>
          <t>1999-08-10</t>
        </is>
      </c>
      <c r="Y1723" t="inlineStr">
        <is>
          <t>1991-06-13</t>
        </is>
      </c>
      <c r="Z1723" t="inlineStr">
        <is>
          <t>1991-06-13</t>
        </is>
      </c>
      <c r="AA1723" t="n">
        <v>189</v>
      </c>
      <c r="AB1723" t="n">
        <v>153</v>
      </c>
      <c r="AC1723" t="n">
        <v>340</v>
      </c>
      <c r="AD1723" t="n">
        <v>1</v>
      </c>
      <c r="AE1723" t="n">
        <v>3</v>
      </c>
      <c r="AF1723" t="n">
        <v>6</v>
      </c>
      <c r="AG1723" t="n">
        <v>12</v>
      </c>
      <c r="AH1723" t="n">
        <v>3</v>
      </c>
      <c r="AI1723" t="n">
        <v>6</v>
      </c>
      <c r="AJ1723" t="n">
        <v>1</v>
      </c>
      <c r="AK1723" t="n">
        <v>2</v>
      </c>
      <c r="AL1723" t="n">
        <v>5</v>
      </c>
      <c r="AM1723" t="n">
        <v>6</v>
      </c>
      <c r="AN1723" t="n">
        <v>0</v>
      </c>
      <c r="AO1723" t="n">
        <v>2</v>
      </c>
      <c r="AP1723" t="n">
        <v>0</v>
      </c>
      <c r="AQ1723" t="n">
        <v>0</v>
      </c>
      <c r="AR1723" t="inlineStr">
        <is>
          <t>No</t>
        </is>
      </c>
      <c r="AS1723" t="inlineStr">
        <is>
          <t>Yes</t>
        </is>
      </c>
      <c r="AT1723">
        <f>HYPERLINK("http://catalog.hathitrust.org/Record/007477926","HathiTrust Record")</f>
        <v/>
      </c>
      <c r="AU1723">
        <f>HYPERLINK("https://creighton-primo.hosted.exlibrisgroup.com/primo-explore/search?tab=default_tab&amp;search_scope=EVERYTHING&amp;vid=01CRU&amp;lang=en_US&amp;offset=0&amp;query=any,contains,991000939299702656","Catalog Record")</f>
        <v/>
      </c>
      <c r="AV1723">
        <f>HYPERLINK("http://www.worldcat.org/oclc/21973303","WorldCat Record")</f>
        <v/>
      </c>
      <c r="AW1723" t="inlineStr">
        <is>
          <t>54531036:eng</t>
        </is>
      </c>
      <c r="AX1723" t="inlineStr">
        <is>
          <t>21973303</t>
        </is>
      </c>
      <c r="AY1723" t="inlineStr">
        <is>
          <t>991000939299702656</t>
        </is>
      </c>
      <c r="AZ1723" t="inlineStr">
        <is>
          <t>991000939299702656</t>
        </is>
      </c>
      <c r="BA1723" t="inlineStr">
        <is>
          <t>2268781060002656</t>
        </is>
      </c>
      <c r="BB1723" t="inlineStr">
        <is>
          <t>BOOK</t>
        </is>
      </c>
      <c r="BD1723" t="inlineStr">
        <is>
          <t>9780827343818</t>
        </is>
      </c>
      <c r="BE1723" t="inlineStr">
        <is>
          <t>30001002192153</t>
        </is>
      </c>
      <c r="BF1723" t="inlineStr">
        <is>
          <t>893284156</t>
        </is>
      </c>
    </row>
    <row r="1724">
      <c r="A1724" t="inlineStr">
        <is>
          <t>No</t>
        </is>
      </c>
      <c r="B1724" t="inlineStr">
        <is>
          <t>CUHSL</t>
        </is>
      </c>
      <c r="C1724" t="inlineStr">
        <is>
          <t>SHELVES</t>
        </is>
      </c>
      <c r="D1724" t="inlineStr">
        <is>
          <t>WY 160 H233r 1992</t>
        </is>
      </c>
      <c r="E1724" t="inlineStr">
        <is>
          <t>0                      WY 0160000H  233r        1992</t>
        </is>
      </c>
      <c r="F1724" t="inlineStr">
        <is>
          <t>Rehabilitation nursing for the neurological patient / Marcia Hanak.</t>
        </is>
      </c>
      <c r="H1724" t="inlineStr">
        <is>
          <t>No</t>
        </is>
      </c>
      <c r="I1724" t="inlineStr">
        <is>
          <t>1</t>
        </is>
      </c>
      <c r="J1724" t="inlineStr">
        <is>
          <t>No</t>
        </is>
      </c>
      <c r="K1724" t="inlineStr">
        <is>
          <t>No</t>
        </is>
      </c>
      <c r="L1724" t="inlineStr">
        <is>
          <t>0</t>
        </is>
      </c>
      <c r="M1724" t="inlineStr">
        <is>
          <t>Hanak, Marcia.</t>
        </is>
      </c>
      <c r="N1724" t="inlineStr">
        <is>
          <t>New York : Springer Pub. Co., c1992.</t>
        </is>
      </c>
      <c r="O1724" t="inlineStr">
        <is>
          <t>1992</t>
        </is>
      </c>
      <c r="Q1724" t="inlineStr">
        <is>
          <t>eng</t>
        </is>
      </c>
      <c r="R1724" t="inlineStr">
        <is>
          <t>nyu</t>
        </is>
      </c>
      <c r="T1724" t="inlineStr">
        <is>
          <t xml:space="preserve">WY </t>
        </is>
      </c>
      <c r="U1724" t="n">
        <v>4</v>
      </c>
      <c r="V1724" t="n">
        <v>4</v>
      </c>
      <c r="W1724" t="inlineStr">
        <is>
          <t>1999-08-10</t>
        </is>
      </c>
      <c r="X1724" t="inlineStr">
        <is>
          <t>1999-08-10</t>
        </is>
      </c>
      <c r="Y1724" t="inlineStr">
        <is>
          <t>1993-06-14</t>
        </is>
      </c>
      <c r="Z1724" t="inlineStr">
        <is>
          <t>1993-06-14</t>
        </is>
      </c>
      <c r="AA1724" t="n">
        <v>323</v>
      </c>
      <c r="AB1724" t="n">
        <v>293</v>
      </c>
      <c r="AC1724" t="n">
        <v>295</v>
      </c>
      <c r="AD1724" t="n">
        <v>1</v>
      </c>
      <c r="AE1724" t="n">
        <v>1</v>
      </c>
      <c r="AF1724" t="n">
        <v>11</v>
      </c>
      <c r="AG1724" t="n">
        <v>11</v>
      </c>
      <c r="AH1724" t="n">
        <v>3</v>
      </c>
      <c r="AI1724" t="n">
        <v>3</v>
      </c>
      <c r="AJ1724" t="n">
        <v>3</v>
      </c>
      <c r="AK1724" t="n">
        <v>3</v>
      </c>
      <c r="AL1724" t="n">
        <v>7</v>
      </c>
      <c r="AM1724" t="n">
        <v>7</v>
      </c>
      <c r="AN1724" t="n">
        <v>0</v>
      </c>
      <c r="AO1724" t="n">
        <v>0</v>
      </c>
      <c r="AP1724" t="n">
        <v>0</v>
      </c>
      <c r="AQ1724" t="n">
        <v>0</v>
      </c>
      <c r="AR1724" t="inlineStr">
        <is>
          <t>No</t>
        </is>
      </c>
      <c r="AS1724" t="inlineStr">
        <is>
          <t>Yes</t>
        </is>
      </c>
      <c r="AT1724">
        <f>HYPERLINK("http://catalog.hathitrust.org/Record/002604042","HathiTrust Record")</f>
        <v/>
      </c>
      <c r="AU1724">
        <f>HYPERLINK("https://creighton-primo.hosted.exlibrisgroup.com/primo-explore/search?tab=default_tab&amp;search_scope=EVERYTHING&amp;vid=01CRU&amp;lang=en_US&amp;offset=0&amp;query=any,contains,991001479249702656","Catalog Record")</f>
        <v/>
      </c>
      <c r="AV1724">
        <f>HYPERLINK("http://www.worldcat.org/oclc/24319816","WorldCat Record")</f>
        <v/>
      </c>
      <c r="AW1724" t="inlineStr">
        <is>
          <t>967910:eng</t>
        </is>
      </c>
      <c r="AX1724" t="inlineStr">
        <is>
          <t>24319816</t>
        </is>
      </c>
      <c r="AY1724" t="inlineStr">
        <is>
          <t>991001479249702656</t>
        </is>
      </c>
      <c r="AZ1724" t="inlineStr">
        <is>
          <t>991001479249702656</t>
        </is>
      </c>
      <c r="BA1724" t="inlineStr">
        <is>
          <t>2272064630002656</t>
        </is>
      </c>
      <c r="BB1724" t="inlineStr">
        <is>
          <t>BOOK</t>
        </is>
      </c>
      <c r="BD1724" t="inlineStr">
        <is>
          <t>9780826176608</t>
        </is>
      </c>
      <c r="BE1724" t="inlineStr">
        <is>
          <t>30001002564971</t>
        </is>
      </c>
      <c r="BF1724" t="inlineStr">
        <is>
          <t>893643625</t>
        </is>
      </c>
    </row>
    <row r="1725">
      <c r="A1725" t="inlineStr">
        <is>
          <t>No</t>
        </is>
      </c>
      <c r="B1725" t="inlineStr">
        <is>
          <t>CUHSL</t>
        </is>
      </c>
      <c r="C1725" t="inlineStr">
        <is>
          <t>SHELVES</t>
        </is>
      </c>
      <c r="D1725" t="inlineStr">
        <is>
          <t>WY 160 H2363 1983</t>
        </is>
      </c>
      <c r="E1725" t="inlineStr">
        <is>
          <t>0                      WY 0160000H  2363        1983</t>
        </is>
      </c>
      <c r="F1725" t="inlineStr">
        <is>
          <t>Handbook of psychiatric mental health nursing / edited by Catherine G. Adams and Alberta Macione.</t>
        </is>
      </c>
      <c r="H1725" t="inlineStr">
        <is>
          <t>No</t>
        </is>
      </c>
      <c r="I1725" t="inlineStr">
        <is>
          <t>1</t>
        </is>
      </c>
      <c r="J1725" t="inlineStr">
        <is>
          <t>No</t>
        </is>
      </c>
      <c r="K1725" t="inlineStr">
        <is>
          <t>No</t>
        </is>
      </c>
      <c r="L1725" t="inlineStr">
        <is>
          <t>0</t>
        </is>
      </c>
      <c r="N1725" t="inlineStr">
        <is>
          <t>New York : Wiley, c1983.</t>
        </is>
      </c>
      <c r="O1725" t="inlineStr">
        <is>
          <t>1983</t>
        </is>
      </c>
      <c r="Q1725" t="inlineStr">
        <is>
          <t>eng</t>
        </is>
      </c>
      <c r="R1725" t="inlineStr">
        <is>
          <t>xxu</t>
        </is>
      </c>
      <c r="S1725" t="inlineStr">
        <is>
          <t>Wiley red book series</t>
        </is>
      </c>
      <c r="T1725" t="inlineStr">
        <is>
          <t xml:space="preserve">WY </t>
        </is>
      </c>
      <c r="U1725" t="n">
        <v>4</v>
      </c>
      <c r="V1725" t="n">
        <v>4</v>
      </c>
      <c r="W1725" t="inlineStr">
        <is>
          <t>1988-10-19</t>
        </is>
      </c>
      <c r="X1725" t="inlineStr">
        <is>
          <t>1988-10-19</t>
        </is>
      </c>
      <c r="Y1725" t="inlineStr">
        <is>
          <t>1987-11-09</t>
        </is>
      </c>
      <c r="Z1725" t="inlineStr">
        <is>
          <t>1987-11-09</t>
        </is>
      </c>
      <c r="AA1725" t="n">
        <v>212</v>
      </c>
      <c r="AB1725" t="n">
        <v>181</v>
      </c>
      <c r="AC1725" t="n">
        <v>186</v>
      </c>
      <c r="AD1725" t="n">
        <v>1</v>
      </c>
      <c r="AE1725" t="n">
        <v>1</v>
      </c>
      <c r="AF1725" t="n">
        <v>2</v>
      </c>
      <c r="AG1725" t="n">
        <v>2</v>
      </c>
      <c r="AH1725" t="n">
        <v>1</v>
      </c>
      <c r="AI1725" t="n">
        <v>1</v>
      </c>
      <c r="AJ1725" t="n">
        <v>0</v>
      </c>
      <c r="AK1725" t="n">
        <v>0</v>
      </c>
      <c r="AL1725" t="n">
        <v>1</v>
      </c>
      <c r="AM1725" t="n">
        <v>1</v>
      </c>
      <c r="AN1725" t="n">
        <v>0</v>
      </c>
      <c r="AO1725" t="n">
        <v>0</v>
      </c>
      <c r="AP1725" t="n">
        <v>0</v>
      </c>
      <c r="AQ1725" t="n">
        <v>0</v>
      </c>
      <c r="AR1725" t="inlineStr">
        <is>
          <t>No</t>
        </is>
      </c>
      <c r="AS1725" t="inlineStr">
        <is>
          <t>No</t>
        </is>
      </c>
      <c r="AU1725">
        <f>HYPERLINK("https://creighton-primo.hosted.exlibrisgroup.com/primo-explore/search?tab=default_tab&amp;search_scope=EVERYTHING&amp;vid=01CRU&amp;lang=en_US&amp;offset=0&amp;query=any,contains,991000731539702656","Catalog Record")</f>
        <v/>
      </c>
      <c r="AV1725">
        <f>HYPERLINK("http://www.worldcat.org/oclc/8931482","WorldCat Record")</f>
        <v/>
      </c>
      <c r="AW1725" t="inlineStr">
        <is>
          <t>42850951:eng</t>
        </is>
      </c>
      <c r="AX1725" t="inlineStr">
        <is>
          <t>8931482</t>
        </is>
      </c>
      <c r="AY1725" t="inlineStr">
        <is>
          <t>991000731539702656</t>
        </is>
      </c>
      <c r="AZ1725" t="inlineStr">
        <is>
          <t>991000731539702656</t>
        </is>
      </c>
      <c r="BA1725" t="inlineStr">
        <is>
          <t>2260813860002656</t>
        </is>
      </c>
      <c r="BB1725" t="inlineStr">
        <is>
          <t>BOOK</t>
        </is>
      </c>
      <c r="BD1725" t="inlineStr">
        <is>
          <t>9780471869832</t>
        </is>
      </c>
      <c r="BE1725" t="inlineStr">
        <is>
          <t>30001000040354</t>
        </is>
      </c>
      <c r="BF1725" t="inlineStr">
        <is>
          <t>893286910</t>
        </is>
      </c>
    </row>
    <row r="1726">
      <c r="A1726" t="inlineStr">
        <is>
          <t>No</t>
        </is>
      </c>
      <c r="B1726" t="inlineStr">
        <is>
          <t>CUHSL</t>
        </is>
      </c>
      <c r="C1726" t="inlineStr">
        <is>
          <t>SHELVES</t>
        </is>
      </c>
      <c r="D1726" t="inlineStr">
        <is>
          <t>WY 160 H425i 1963</t>
        </is>
      </c>
      <c r="E1726" t="inlineStr">
        <is>
          <t>0                      WY 0160000H  425i        1963</t>
        </is>
      </c>
      <c r="F1726" t="inlineStr">
        <is>
          <t>Interacting with patients / Joyce Samhammer Hays, Kenneth H. Larson.</t>
        </is>
      </c>
      <c r="H1726" t="inlineStr">
        <is>
          <t>No</t>
        </is>
      </c>
      <c r="I1726" t="inlineStr">
        <is>
          <t>1</t>
        </is>
      </c>
      <c r="J1726" t="inlineStr">
        <is>
          <t>No</t>
        </is>
      </c>
      <c r="K1726" t="inlineStr">
        <is>
          <t>No</t>
        </is>
      </c>
      <c r="L1726" t="inlineStr">
        <is>
          <t>0</t>
        </is>
      </c>
      <c r="M1726" t="inlineStr">
        <is>
          <t>Hays, Joyce Samhammer.</t>
        </is>
      </c>
      <c r="N1726" t="inlineStr">
        <is>
          <t>New York : Macmillan, 1963.</t>
        </is>
      </c>
      <c r="O1726" t="inlineStr">
        <is>
          <t>1963</t>
        </is>
      </c>
      <c r="Q1726" t="inlineStr">
        <is>
          <t>eng</t>
        </is>
      </c>
      <c r="R1726" t="inlineStr">
        <is>
          <t>nyu</t>
        </is>
      </c>
      <c r="T1726" t="inlineStr">
        <is>
          <t xml:space="preserve">WY </t>
        </is>
      </c>
      <c r="U1726" t="n">
        <v>1</v>
      </c>
      <c r="V1726" t="n">
        <v>1</v>
      </c>
      <c r="W1726" t="inlineStr">
        <is>
          <t>1992-06-24</t>
        </is>
      </c>
      <c r="X1726" t="inlineStr">
        <is>
          <t>1992-06-24</t>
        </is>
      </c>
      <c r="Y1726" t="inlineStr">
        <is>
          <t>1988-01-08</t>
        </is>
      </c>
      <c r="Z1726" t="inlineStr">
        <is>
          <t>1988-01-08</t>
        </is>
      </c>
      <c r="AA1726" t="n">
        <v>289</v>
      </c>
      <c r="AB1726" t="n">
        <v>242</v>
      </c>
      <c r="AC1726" t="n">
        <v>244</v>
      </c>
      <c r="AD1726" t="n">
        <v>1</v>
      </c>
      <c r="AE1726" t="n">
        <v>1</v>
      </c>
      <c r="AF1726" t="n">
        <v>5</v>
      </c>
      <c r="AG1726" t="n">
        <v>5</v>
      </c>
      <c r="AH1726" t="n">
        <v>1</v>
      </c>
      <c r="AI1726" t="n">
        <v>1</v>
      </c>
      <c r="AJ1726" t="n">
        <v>0</v>
      </c>
      <c r="AK1726" t="n">
        <v>0</v>
      </c>
      <c r="AL1726" t="n">
        <v>4</v>
      </c>
      <c r="AM1726" t="n">
        <v>4</v>
      </c>
      <c r="AN1726" t="n">
        <v>0</v>
      </c>
      <c r="AO1726" t="n">
        <v>0</v>
      </c>
      <c r="AP1726" t="n">
        <v>0</v>
      </c>
      <c r="AQ1726" t="n">
        <v>0</v>
      </c>
      <c r="AR1726" t="inlineStr">
        <is>
          <t>No</t>
        </is>
      </c>
      <c r="AS1726" t="inlineStr">
        <is>
          <t>Yes</t>
        </is>
      </c>
      <c r="AT1726">
        <f>HYPERLINK("http://catalog.hathitrust.org/Record/001563681","HathiTrust Record")</f>
        <v/>
      </c>
      <c r="AU1726">
        <f>HYPERLINK("https://creighton-primo.hosted.exlibrisgroup.com/primo-explore/search?tab=default_tab&amp;search_scope=EVERYTHING&amp;vid=01CRU&amp;lang=en_US&amp;offset=0&amp;query=any,contains,991000926199702656","Catalog Record")</f>
        <v/>
      </c>
      <c r="AV1726">
        <f>HYPERLINK("http://www.worldcat.org/oclc/710874","WorldCat Record")</f>
        <v/>
      </c>
      <c r="AW1726" t="inlineStr">
        <is>
          <t>1654625:eng</t>
        </is>
      </c>
      <c r="AX1726" t="inlineStr">
        <is>
          <t>710874</t>
        </is>
      </c>
      <c r="AY1726" t="inlineStr">
        <is>
          <t>991000926199702656</t>
        </is>
      </c>
      <c r="AZ1726" t="inlineStr">
        <is>
          <t>991000926199702656</t>
        </is>
      </c>
      <c r="BA1726" t="inlineStr">
        <is>
          <t>2262476980002656</t>
        </is>
      </c>
      <c r="BB1726" t="inlineStr">
        <is>
          <t>BOOK</t>
        </is>
      </c>
      <c r="BE1726" t="inlineStr">
        <is>
          <t>30001000183246</t>
        </is>
      </c>
      <c r="BF1726" t="inlineStr">
        <is>
          <t>893648705</t>
        </is>
      </c>
    </row>
    <row r="1727">
      <c r="A1727" t="inlineStr">
        <is>
          <t>No</t>
        </is>
      </c>
      <c r="B1727" t="inlineStr">
        <is>
          <t>CUHSL</t>
        </is>
      </c>
      <c r="C1727" t="inlineStr">
        <is>
          <t>SHELVES</t>
        </is>
      </c>
      <c r="D1727" t="inlineStr">
        <is>
          <t>WY 160 H628c 1992</t>
        </is>
      </c>
      <c r="E1727" t="inlineStr">
        <is>
          <t>0                      WY 0160000H  628c        1992</t>
        </is>
      </c>
      <c r="F1727" t="inlineStr">
        <is>
          <t>The clinical practice of neurological and neurosurgical nursing / Joanne V. Hickey.</t>
        </is>
      </c>
      <c r="H1727" t="inlineStr">
        <is>
          <t>No</t>
        </is>
      </c>
      <c r="I1727" t="inlineStr">
        <is>
          <t>1</t>
        </is>
      </c>
      <c r="J1727" t="inlineStr">
        <is>
          <t>No</t>
        </is>
      </c>
      <c r="K1727" t="inlineStr">
        <is>
          <t>Yes</t>
        </is>
      </c>
      <c r="L1727" t="inlineStr">
        <is>
          <t>1</t>
        </is>
      </c>
      <c r="M1727" t="inlineStr">
        <is>
          <t>Hickey, Joanne V.</t>
        </is>
      </c>
      <c r="N1727" t="inlineStr">
        <is>
          <t>Philadelphia : Lippincott, c1992.</t>
        </is>
      </c>
      <c r="O1727" t="inlineStr">
        <is>
          <t>1992</t>
        </is>
      </c>
      <c r="P1727" t="inlineStr">
        <is>
          <t>3rd ed.</t>
        </is>
      </c>
      <c r="Q1727" t="inlineStr">
        <is>
          <t>eng</t>
        </is>
      </c>
      <c r="R1727" t="inlineStr">
        <is>
          <t>xxu</t>
        </is>
      </c>
      <c r="T1727" t="inlineStr">
        <is>
          <t xml:space="preserve">WY </t>
        </is>
      </c>
      <c r="U1727" t="n">
        <v>7</v>
      </c>
      <c r="V1727" t="n">
        <v>7</v>
      </c>
      <c r="W1727" t="inlineStr">
        <is>
          <t>1999-08-10</t>
        </is>
      </c>
      <c r="X1727" t="inlineStr">
        <is>
          <t>1999-08-10</t>
        </is>
      </c>
      <c r="Y1727" t="inlineStr">
        <is>
          <t>1992-05-15</t>
        </is>
      </c>
      <c r="Z1727" t="inlineStr">
        <is>
          <t>1992-05-15</t>
        </is>
      </c>
      <c r="AA1727" t="n">
        <v>358</v>
      </c>
      <c r="AB1727" t="n">
        <v>293</v>
      </c>
      <c r="AC1727" t="n">
        <v>1592</v>
      </c>
      <c r="AD1727" t="n">
        <v>1</v>
      </c>
      <c r="AE1727" t="n">
        <v>17</v>
      </c>
      <c r="AF1727" t="n">
        <v>7</v>
      </c>
      <c r="AG1727" t="n">
        <v>56</v>
      </c>
      <c r="AH1727" t="n">
        <v>2</v>
      </c>
      <c r="AI1727" t="n">
        <v>19</v>
      </c>
      <c r="AJ1727" t="n">
        <v>2</v>
      </c>
      <c r="AK1727" t="n">
        <v>11</v>
      </c>
      <c r="AL1727" t="n">
        <v>6</v>
      </c>
      <c r="AM1727" t="n">
        <v>20</v>
      </c>
      <c r="AN1727" t="n">
        <v>0</v>
      </c>
      <c r="AO1727" t="n">
        <v>14</v>
      </c>
      <c r="AP1727" t="n">
        <v>0</v>
      </c>
      <c r="AQ1727" t="n">
        <v>2</v>
      </c>
      <c r="AR1727" t="inlineStr">
        <is>
          <t>No</t>
        </is>
      </c>
      <c r="AS1727" t="inlineStr">
        <is>
          <t>Yes</t>
        </is>
      </c>
      <c r="AT1727">
        <f>HYPERLINK("http://catalog.hathitrust.org/Record/002536640","HathiTrust Record")</f>
        <v/>
      </c>
      <c r="AU1727">
        <f>HYPERLINK("https://creighton-primo.hosted.exlibrisgroup.com/primo-explore/search?tab=default_tab&amp;search_scope=EVERYTHING&amp;vid=01CRU&amp;lang=en_US&amp;offset=0&amp;query=any,contains,991001304339702656","Catalog Record")</f>
        <v/>
      </c>
      <c r="AV1727">
        <f>HYPERLINK("http://www.worldcat.org/oclc/25008778","WorldCat Record")</f>
        <v/>
      </c>
      <c r="AW1727" t="inlineStr">
        <is>
          <t>4500976:eng</t>
        </is>
      </c>
      <c r="AX1727" t="inlineStr">
        <is>
          <t>25008778</t>
        </is>
      </c>
      <c r="AY1727" t="inlineStr">
        <is>
          <t>991001304339702656</t>
        </is>
      </c>
      <c r="AZ1727" t="inlineStr">
        <is>
          <t>991001304339702656</t>
        </is>
      </c>
      <c r="BA1727" t="inlineStr">
        <is>
          <t>2271219100002656</t>
        </is>
      </c>
      <c r="BB1727" t="inlineStr">
        <is>
          <t>BOOK</t>
        </is>
      </c>
      <c r="BD1727" t="inlineStr">
        <is>
          <t>9780397548224</t>
        </is>
      </c>
      <c r="BE1727" t="inlineStr">
        <is>
          <t>30001002413070</t>
        </is>
      </c>
      <c r="BF1727" t="inlineStr">
        <is>
          <t>893168124</t>
        </is>
      </c>
    </row>
    <row r="1728">
      <c r="A1728" t="inlineStr">
        <is>
          <t>No</t>
        </is>
      </c>
      <c r="B1728" t="inlineStr">
        <is>
          <t>CUHSL</t>
        </is>
      </c>
      <c r="C1728" t="inlineStr">
        <is>
          <t>SHELVES</t>
        </is>
      </c>
      <c r="D1728" t="inlineStr">
        <is>
          <t>WY 160 I61 1962</t>
        </is>
      </c>
      <c r="E1728" t="inlineStr">
        <is>
          <t>0                      WY 0160000I  61          1962</t>
        </is>
      </c>
      <c r="F1728" t="inlineStr">
        <is>
          <t>Integration of psychiatric nursing concepts in baccalaureate basic programs : report of a work conference held at Chicago, April, 1962.</t>
        </is>
      </c>
      <c r="H1728" t="inlineStr">
        <is>
          <t>No</t>
        </is>
      </c>
      <c r="I1728" t="inlineStr">
        <is>
          <t>1</t>
        </is>
      </c>
      <c r="J1728" t="inlineStr">
        <is>
          <t>No</t>
        </is>
      </c>
      <c r="K1728" t="inlineStr">
        <is>
          <t>No</t>
        </is>
      </c>
      <c r="L1728" t="inlineStr">
        <is>
          <t>0</t>
        </is>
      </c>
      <c r="N1728" t="inlineStr">
        <is>
          <t>New York : National League for Nursing, 1963.</t>
        </is>
      </c>
      <c r="O1728" t="inlineStr">
        <is>
          <t>1962</t>
        </is>
      </c>
      <c r="Q1728" t="inlineStr">
        <is>
          <t>eng</t>
        </is>
      </c>
      <c r="R1728" t="inlineStr">
        <is>
          <t>nyu</t>
        </is>
      </c>
      <c r="S1728" t="inlineStr">
        <is>
          <t>NLN pub. no. 33-1082</t>
        </is>
      </c>
      <c r="T1728" t="inlineStr">
        <is>
          <t xml:space="preserve">WY </t>
        </is>
      </c>
      <c r="U1728" t="n">
        <v>1</v>
      </c>
      <c r="V1728" t="n">
        <v>1</v>
      </c>
      <c r="W1728" t="inlineStr">
        <is>
          <t>1990-07-03</t>
        </is>
      </c>
      <c r="X1728" t="inlineStr">
        <is>
          <t>1990-07-03</t>
        </is>
      </c>
      <c r="Y1728" t="inlineStr">
        <is>
          <t>1987-11-12</t>
        </is>
      </c>
      <c r="Z1728" t="inlineStr">
        <is>
          <t>1987-11-12</t>
        </is>
      </c>
      <c r="AA1728" t="n">
        <v>32</v>
      </c>
      <c r="AB1728" t="n">
        <v>32</v>
      </c>
      <c r="AC1728" t="n">
        <v>34</v>
      </c>
      <c r="AD1728" t="n">
        <v>1</v>
      </c>
      <c r="AE1728" t="n">
        <v>1</v>
      </c>
      <c r="AF1728" t="n">
        <v>2</v>
      </c>
      <c r="AG1728" t="n">
        <v>2</v>
      </c>
      <c r="AH1728" t="n">
        <v>0</v>
      </c>
      <c r="AI1728" t="n">
        <v>0</v>
      </c>
      <c r="AJ1728" t="n">
        <v>1</v>
      </c>
      <c r="AK1728" t="n">
        <v>1</v>
      </c>
      <c r="AL1728" t="n">
        <v>2</v>
      </c>
      <c r="AM1728" t="n">
        <v>2</v>
      </c>
      <c r="AN1728" t="n">
        <v>0</v>
      </c>
      <c r="AO1728" t="n">
        <v>0</v>
      </c>
      <c r="AP1728" t="n">
        <v>0</v>
      </c>
      <c r="AQ1728" t="n">
        <v>0</v>
      </c>
      <c r="AR1728" t="inlineStr">
        <is>
          <t>No</t>
        </is>
      </c>
      <c r="AS1728" t="inlineStr">
        <is>
          <t>Yes</t>
        </is>
      </c>
      <c r="AT1728">
        <f>HYPERLINK("http://catalog.hathitrust.org/Record/100823313","HathiTrust Record")</f>
        <v/>
      </c>
      <c r="AU1728">
        <f>HYPERLINK("https://creighton-primo.hosted.exlibrisgroup.com/primo-explore/search?tab=default_tab&amp;search_scope=EVERYTHING&amp;vid=01CRU&amp;lang=en_US&amp;offset=0&amp;query=any,contains,991001389519702656","Catalog Record")</f>
        <v/>
      </c>
      <c r="AV1728">
        <f>HYPERLINK("http://www.worldcat.org/oclc/2387351","WorldCat Record")</f>
        <v/>
      </c>
      <c r="AW1728" t="inlineStr">
        <is>
          <t>4941426:eng</t>
        </is>
      </c>
      <c r="AX1728" t="inlineStr">
        <is>
          <t>2387351</t>
        </is>
      </c>
      <c r="AY1728" t="inlineStr">
        <is>
          <t>991001389519702656</t>
        </is>
      </c>
      <c r="AZ1728" t="inlineStr">
        <is>
          <t>991001389519702656</t>
        </is>
      </c>
      <c r="BA1728" t="inlineStr">
        <is>
          <t>2258826130002656</t>
        </is>
      </c>
      <c r="BB1728" t="inlineStr">
        <is>
          <t>BOOK</t>
        </is>
      </c>
      <c r="BE1728" t="inlineStr">
        <is>
          <t>30001000464646</t>
        </is>
      </c>
      <c r="BF1728" t="inlineStr">
        <is>
          <t>893467940</t>
        </is>
      </c>
    </row>
    <row r="1729">
      <c r="A1729" t="inlineStr">
        <is>
          <t>No</t>
        </is>
      </c>
      <c r="B1729" t="inlineStr">
        <is>
          <t>CUHSL</t>
        </is>
      </c>
      <c r="C1729" t="inlineStr">
        <is>
          <t>SHELVES</t>
        </is>
      </c>
      <c r="D1729" t="inlineStr">
        <is>
          <t>WY 160 I72b 1983</t>
        </is>
      </c>
      <c r="E1729" t="inlineStr">
        <is>
          <t>0                      WY 0160000I  72b         1983</t>
        </is>
      </c>
      <c r="F1729" t="inlineStr">
        <is>
          <t>Basic psychiatric nursing / Susan Irving.</t>
        </is>
      </c>
      <c r="H1729" t="inlineStr">
        <is>
          <t>No</t>
        </is>
      </c>
      <c r="I1729" t="inlineStr">
        <is>
          <t>1</t>
        </is>
      </c>
      <c r="J1729" t="inlineStr">
        <is>
          <t>No</t>
        </is>
      </c>
      <c r="K1729" t="inlineStr">
        <is>
          <t>No</t>
        </is>
      </c>
      <c r="L1729" t="inlineStr">
        <is>
          <t>0</t>
        </is>
      </c>
      <c r="M1729" t="inlineStr">
        <is>
          <t>Irving, Susan.</t>
        </is>
      </c>
      <c r="N1729" t="inlineStr">
        <is>
          <t>Philadelphia : Saunders, c1983.</t>
        </is>
      </c>
      <c r="O1729" t="inlineStr">
        <is>
          <t>1983</t>
        </is>
      </c>
      <c r="P1729" t="inlineStr">
        <is>
          <t>3rd ed.</t>
        </is>
      </c>
      <c r="Q1729" t="inlineStr">
        <is>
          <t>eng</t>
        </is>
      </c>
      <c r="R1729" t="inlineStr">
        <is>
          <t>xxu</t>
        </is>
      </c>
      <c r="T1729" t="inlineStr">
        <is>
          <t xml:space="preserve">WY </t>
        </is>
      </c>
      <c r="U1729" t="n">
        <v>4</v>
      </c>
      <c r="V1729" t="n">
        <v>4</v>
      </c>
      <c r="W1729" t="inlineStr">
        <is>
          <t>1989-12-10</t>
        </is>
      </c>
      <c r="X1729" t="inlineStr">
        <is>
          <t>1989-12-10</t>
        </is>
      </c>
      <c r="Y1729" t="inlineStr">
        <is>
          <t>1987-12-28</t>
        </is>
      </c>
      <c r="Z1729" t="inlineStr">
        <is>
          <t>1987-12-28</t>
        </is>
      </c>
      <c r="AA1729" t="n">
        <v>191</v>
      </c>
      <c r="AB1729" t="n">
        <v>160</v>
      </c>
      <c r="AC1729" t="n">
        <v>299</v>
      </c>
      <c r="AD1729" t="n">
        <v>2</v>
      </c>
      <c r="AE1729" t="n">
        <v>2</v>
      </c>
      <c r="AF1729" t="n">
        <v>2</v>
      </c>
      <c r="AG1729" t="n">
        <v>7</v>
      </c>
      <c r="AH1729" t="n">
        <v>0</v>
      </c>
      <c r="AI1729" t="n">
        <v>3</v>
      </c>
      <c r="AJ1729" t="n">
        <v>0</v>
      </c>
      <c r="AK1729" t="n">
        <v>1</v>
      </c>
      <c r="AL1729" t="n">
        <v>1</v>
      </c>
      <c r="AM1729" t="n">
        <v>3</v>
      </c>
      <c r="AN1729" t="n">
        <v>1</v>
      </c>
      <c r="AO1729" t="n">
        <v>1</v>
      </c>
      <c r="AP1729" t="n">
        <v>0</v>
      </c>
      <c r="AQ1729" t="n">
        <v>0</v>
      </c>
      <c r="AR1729" t="inlineStr">
        <is>
          <t>No</t>
        </is>
      </c>
      <c r="AS1729" t="inlineStr">
        <is>
          <t>Yes</t>
        </is>
      </c>
      <c r="AT1729">
        <f>HYPERLINK("http://catalog.hathitrust.org/Record/000241381","HathiTrust Record")</f>
        <v/>
      </c>
      <c r="AU1729">
        <f>HYPERLINK("https://creighton-primo.hosted.exlibrisgroup.com/primo-explore/search?tab=default_tab&amp;search_scope=EVERYTHING&amp;vid=01CRU&amp;lang=en_US&amp;offset=0&amp;query=any,contains,991000926239702656","Catalog Record")</f>
        <v/>
      </c>
      <c r="AV1729">
        <f>HYPERLINK("http://www.worldcat.org/oclc/8451865","WorldCat Record")</f>
        <v/>
      </c>
      <c r="AW1729" t="inlineStr">
        <is>
          <t>1721967:eng</t>
        </is>
      </c>
      <c r="AX1729" t="inlineStr">
        <is>
          <t>8451865</t>
        </is>
      </c>
      <c r="AY1729" t="inlineStr">
        <is>
          <t>991000926239702656</t>
        </is>
      </c>
      <c r="AZ1729" t="inlineStr">
        <is>
          <t>991000926239702656</t>
        </is>
      </c>
      <c r="BA1729" t="inlineStr">
        <is>
          <t>2271493320002656</t>
        </is>
      </c>
      <c r="BB1729" t="inlineStr">
        <is>
          <t>BOOK</t>
        </is>
      </c>
      <c r="BD1729" t="inlineStr">
        <is>
          <t>9780721650494</t>
        </is>
      </c>
      <c r="BE1729" t="inlineStr">
        <is>
          <t>30001000183303</t>
        </is>
      </c>
      <c r="BF1729" t="inlineStr">
        <is>
          <t>893731538</t>
        </is>
      </c>
    </row>
    <row r="1730">
      <c r="A1730" t="inlineStr">
        <is>
          <t>No</t>
        </is>
      </c>
      <c r="B1730" t="inlineStr">
        <is>
          <t>CUHSL</t>
        </is>
      </c>
      <c r="C1730" t="inlineStr">
        <is>
          <t>SHELVES</t>
        </is>
      </c>
      <c r="D1730" t="inlineStr">
        <is>
          <t>WY 160 J34p 1989</t>
        </is>
      </c>
      <c r="E1730" t="inlineStr">
        <is>
          <t>0                      WY 0160000J  34p         1989</t>
        </is>
      </c>
      <c r="F1730" t="inlineStr">
        <is>
          <t>Psychiatric mental health nursing / Ellen H. Janosik, Janet L. Davies.</t>
        </is>
      </c>
      <c r="H1730" t="inlineStr">
        <is>
          <t>No</t>
        </is>
      </c>
      <c r="I1730" t="inlineStr">
        <is>
          <t>1</t>
        </is>
      </c>
      <c r="J1730" t="inlineStr">
        <is>
          <t>No</t>
        </is>
      </c>
      <c r="K1730" t="inlineStr">
        <is>
          <t>No</t>
        </is>
      </c>
      <c r="L1730" t="inlineStr">
        <is>
          <t>0</t>
        </is>
      </c>
      <c r="M1730" t="inlineStr">
        <is>
          <t>Janosik, Ellen Hastings.</t>
        </is>
      </c>
      <c r="N1730" t="inlineStr">
        <is>
          <t>Boston : Jones and Bartlett, c1989.</t>
        </is>
      </c>
      <c r="O1730" t="inlineStr">
        <is>
          <t>1989</t>
        </is>
      </c>
      <c r="P1730" t="inlineStr">
        <is>
          <t>2nd ed.</t>
        </is>
      </c>
      <c r="Q1730" t="inlineStr">
        <is>
          <t>eng</t>
        </is>
      </c>
      <c r="R1730" t="inlineStr">
        <is>
          <t>xxu</t>
        </is>
      </c>
      <c r="T1730" t="inlineStr">
        <is>
          <t xml:space="preserve">WY </t>
        </is>
      </c>
      <c r="U1730" t="n">
        <v>13</v>
      </c>
      <c r="V1730" t="n">
        <v>13</v>
      </c>
      <c r="W1730" t="inlineStr">
        <is>
          <t>1995-11-22</t>
        </is>
      </c>
      <c r="X1730" t="inlineStr">
        <is>
          <t>1995-11-22</t>
        </is>
      </c>
      <c r="Y1730" t="inlineStr">
        <is>
          <t>1989-09-14</t>
        </is>
      </c>
      <c r="Z1730" t="inlineStr">
        <is>
          <t>1989-09-14</t>
        </is>
      </c>
      <c r="AA1730" t="n">
        <v>216</v>
      </c>
      <c r="AB1730" t="n">
        <v>181</v>
      </c>
      <c r="AC1730" t="n">
        <v>258</v>
      </c>
      <c r="AD1730" t="n">
        <v>1</v>
      </c>
      <c r="AE1730" t="n">
        <v>2</v>
      </c>
      <c r="AF1730" t="n">
        <v>4</v>
      </c>
      <c r="AG1730" t="n">
        <v>6</v>
      </c>
      <c r="AH1730" t="n">
        <v>0</v>
      </c>
      <c r="AI1730" t="n">
        <v>1</v>
      </c>
      <c r="AJ1730" t="n">
        <v>2</v>
      </c>
      <c r="AK1730" t="n">
        <v>2</v>
      </c>
      <c r="AL1730" t="n">
        <v>4</v>
      </c>
      <c r="AM1730" t="n">
        <v>5</v>
      </c>
      <c r="AN1730" t="n">
        <v>0</v>
      </c>
      <c r="AO1730" t="n">
        <v>0</v>
      </c>
      <c r="AP1730" t="n">
        <v>0</v>
      </c>
      <c r="AQ1730" t="n">
        <v>0</v>
      </c>
      <c r="AR1730" t="inlineStr">
        <is>
          <t>No</t>
        </is>
      </c>
      <c r="AS1730" t="inlineStr">
        <is>
          <t>No</t>
        </is>
      </c>
      <c r="AU1730">
        <f>HYPERLINK("https://creighton-primo.hosted.exlibrisgroup.com/primo-explore/search?tab=default_tab&amp;search_scope=EVERYTHING&amp;vid=01CRU&amp;lang=en_US&amp;offset=0&amp;query=any,contains,991001322399702656","Catalog Record")</f>
        <v/>
      </c>
      <c r="AV1730">
        <f>HYPERLINK("http://www.worldcat.org/oclc/18683003","WorldCat Record")</f>
        <v/>
      </c>
      <c r="AW1730" t="inlineStr">
        <is>
          <t>3855439090:eng</t>
        </is>
      </c>
      <c r="AX1730" t="inlineStr">
        <is>
          <t>18683003</t>
        </is>
      </c>
      <c r="AY1730" t="inlineStr">
        <is>
          <t>991001322399702656</t>
        </is>
      </c>
      <c r="AZ1730" t="inlineStr">
        <is>
          <t>991001322399702656</t>
        </is>
      </c>
      <c r="BA1730" t="inlineStr">
        <is>
          <t>2264137210002656</t>
        </is>
      </c>
      <c r="BB1730" t="inlineStr">
        <is>
          <t>BOOK</t>
        </is>
      </c>
      <c r="BD1730" t="inlineStr">
        <is>
          <t>9780867204209</t>
        </is>
      </c>
      <c r="BE1730" t="inlineStr">
        <is>
          <t>30001001753922</t>
        </is>
      </c>
      <c r="BF1730" t="inlineStr">
        <is>
          <t>893455696</t>
        </is>
      </c>
    </row>
    <row r="1731">
      <c r="A1731" t="inlineStr">
        <is>
          <t>No</t>
        </is>
      </c>
      <c r="B1731" t="inlineStr">
        <is>
          <t>CUHSL</t>
        </is>
      </c>
      <c r="C1731" t="inlineStr">
        <is>
          <t>SHELVES</t>
        </is>
      </c>
      <c r="D1731" t="inlineStr">
        <is>
          <t>WY 160 K11a 1960</t>
        </is>
      </c>
      <c r="E1731" t="inlineStr">
        <is>
          <t>0                      WY 0160000K  11a         1960</t>
        </is>
      </c>
      <c r="F1731" t="inlineStr">
        <is>
          <t>Survey of student opinions about learning experiences in psychiatric nursing / Goldie Ruth Kaback.</t>
        </is>
      </c>
      <c r="H1731" t="inlineStr">
        <is>
          <t>No</t>
        </is>
      </c>
      <c r="I1731" t="inlineStr">
        <is>
          <t>1</t>
        </is>
      </c>
      <c r="J1731" t="inlineStr">
        <is>
          <t>No</t>
        </is>
      </c>
      <c r="K1731" t="inlineStr">
        <is>
          <t>No</t>
        </is>
      </c>
      <c r="L1731" t="inlineStr">
        <is>
          <t>0</t>
        </is>
      </c>
      <c r="M1731" t="inlineStr">
        <is>
          <t>Kaback, Goldie Ruth, 1905-</t>
        </is>
      </c>
      <c r="N1731" t="inlineStr">
        <is>
          <t>New York : National League for Nursing, 1960.</t>
        </is>
      </c>
      <c r="O1731" t="inlineStr">
        <is>
          <t>1960</t>
        </is>
      </c>
      <c r="Q1731" t="inlineStr">
        <is>
          <t>eng</t>
        </is>
      </c>
      <c r="R1731" t="inlineStr">
        <is>
          <t>nyu</t>
        </is>
      </c>
      <c r="S1731" t="inlineStr">
        <is>
          <t>NLN pub. no. 33-775</t>
        </is>
      </c>
      <c r="T1731" t="inlineStr">
        <is>
          <t xml:space="preserve">WY </t>
        </is>
      </c>
      <c r="U1731" t="n">
        <v>3</v>
      </c>
      <c r="V1731" t="n">
        <v>3</v>
      </c>
      <c r="W1731" t="inlineStr">
        <is>
          <t>1990-06-25</t>
        </is>
      </c>
      <c r="X1731" t="inlineStr">
        <is>
          <t>1990-06-25</t>
        </is>
      </c>
      <c r="Y1731" t="inlineStr">
        <is>
          <t>1987-11-12</t>
        </is>
      </c>
      <c r="Z1731" t="inlineStr">
        <is>
          <t>1987-11-12</t>
        </is>
      </c>
      <c r="AA1731" t="n">
        <v>32</v>
      </c>
      <c r="AB1731" t="n">
        <v>30</v>
      </c>
      <c r="AC1731" t="n">
        <v>37</v>
      </c>
      <c r="AD1731" t="n">
        <v>1</v>
      </c>
      <c r="AE1731" t="n">
        <v>1</v>
      </c>
      <c r="AF1731" t="n">
        <v>0</v>
      </c>
      <c r="AG1731" t="n">
        <v>0</v>
      </c>
      <c r="AH1731" t="n">
        <v>0</v>
      </c>
      <c r="AI1731" t="n">
        <v>0</v>
      </c>
      <c r="AJ1731" t="n">
        <v>0</v>
      </c>
      <c r="AK1731" t="n">
        <v>0</v>
      </c>
      <c r="AL1731" t="n">
        <v>0</v>
      </c>
      <c r="AM1731" t="n">
        <v>0</v>
      </c>
      <c r="AN1731" t="n">
        <v>0</v>
      </c>
      <c r="AO1731" t="n">
        <v>0</v>
      </c>
      <c r="AP1731" t="n">
        <v>0</v>
      </c>
      <c r="AQ1731" t="n">
        <v>0</v>
      </c>
      <c r="AR1731" t="inlineStr">
        <is>
          <t>Yes</t>
        </is>
      </c>
      <c r="AS1731" t="inlineStr">
        <is>
          <t>No</t>
        </is>
      </c>
      <c r="AT1731">
        <f>HYPERLINK("http://catalog.hathitrust.org/Record/002066359","HathiTrust Record")</f>
        <v/>
      </c>
      <c r="AU1731">
        <f>HYPERLINK("https://creighton-primo.hosted.exlibrisgroup.com/primo-explore/search?tab=default_tab&amp;search_scope=EVERYTHING&amp;vid=01CRU&amp;lang=en_US&amp;offset=0&amp;query=any,contains,991001389419702656","Catalog Record")</f>
        <v/>
      </c>
      <c r="AV1731">
        <f>HYPERLINK("http://www.worldcat.org/oclc/8292631","WorldCat Record")</f>
        <v/>
      </c>
      <c r="AW1731" t="inlineStr">
        <is>
          <t>31319458:eng</t>
        </is>
      </c>
      <c r="AX1731" t="inlineStr">
        <is>
          <t>8292631</t>
        </is>
      </c>
      <c r="AY1731" t="inlineStr">
        <is>
          <t>991001389419702656</t>
        </is>
      </c>
      <c r="AZ1731" t="inlineStr">
        <is>
          <t>991001389419702656</t>
        </is>
      </c>
      <c r="BA1731" t="inlineStr">
        <is>
          <t>2260407430002656</t>
        </is>
      </c>
      <c r="BB1731" t="inlineStr">
        <is>
          <t>BOOK</t>
        </is>
      </c>
      <c r="BE1731" t="inlineStr">
        <is>
          <t>30001000464620</t>
        </is>
      </c>
      <c r="BF1731" t="inlineStr">
        <is>
          <t>893364051</t>
        </is>
      </c>
    </row>
    <row r="1732">
      <c r="A1732" t="inlineStr">
        <is>
          <t>No</t>
        </is>
      </c>
      <c r="B1732" t="inlineStr">
        <is>
          <t>CUHSL</t>
        </is>
      </c>
      <c r="C1732" t="inlineStr">
        <is>
          <t>SHELVES</t>
        </is>
      </c>
      <c r="D1732" t="inlineStr">
        <is>
          <t>WY160 K68c 2004</t>
        </is>
      </c>
      <c r="E1732" t="inlineStr">
        <is>
          <t>0                      WY 0160000K  68c         2004</t>
        </is>
      </c>
      <c r="F1732" t="inlineStr">
        <is>
          <t>Contemporary psychiatric-mental health nursing / Carol Ren Kneisl, Holly Skodol Wilson, Eileen Trigoboff.</t>
        </is>
      </c>
      <c r="H1732" t="inlineStr">
        <is>
          <t>No</t>
        </is>
      </c>
      <c r="I1732" t="inlineStr">
        <is>
          <t>1</t>
        </is>
      </c>
      <c r="J1732" t="inlineStr">
        <is>
          <t>No</t>
        </is>
      </c>
      <c r="K1732" t="inlineStr">
        <is>
          <t>Yes</t>
        </is>
      </c>
      <c r="L1732" t="inlineStr">
        <is>
          <t>0</t>
        </is>
      </c>
      <c r="M1732" t="inlineStr">
        <is>
          <t>Kneisl, Carol Ren.</t>
        </is>
      </c>
      <c r="N1732" t="inlineStr">
        <is>
          <t>Upper Saddle River, N.J. : Pearson/Prentice Hall, c2004.</t>
        </is>
      </c>
      <c r="O1732" t="inlineStr">
        <is>
          <t>2004</t>
        </is>
      </c>
      <c r="Q1732" t="inlineStr">
        <is>
          <t>eng</t>
        </is>
      </c>
      <c r="R1732" t="inlineStr">
        <is>
          <t>nju</t>
        </is>
      </c>
      <c r="T1732" t="inlineStr">
        <is>
          <t xml:space="preserve">WY </t>
        </is>
      </c>
      <c r="U1732" t="n">
        <v>42</v>
      </c>
      <c r="V1732" t="n">
        <v>42</v>
      </c>
      <c r="W1732" t="inlineStr">
        <is>
          <t>2005-12-04</t>
        </is>
      </c>
      <c r="X1732" t="inlineStr">
        <is>
          <t>2005-12-04</t>
        </is>
      </c>
      <c r="Y1732" t="inlineStr">
        <is>
          <t>2004-08-25</t>
        </is>
      </c>
      <c r="Z1732" t="inlineStr">
        <is>
          <t>2004-08-25</t>
        </is>
      </c>
      <c r="AA1732" t="n">
        <v>239</v>
      </c>
      <c r="AB1732" t="n">
        <v>150</v>
      </c>
      <c r="AC1732" t="n">
        <v>379</v>
      </c>
      <c r="AD1732" t="n">
        <v>2</v>
      </c>
      <c r="AE1732" t="n">
        <v>3</v>
      </c>
      <c r="AF1732" t="n">
        <v>4</v>
      </c>
      <c r="AG1732" t="n">
        <v>8</v>
      </c>
      <c r="AH1732" t="n">
        <v>1</v>
      </c>
      <c r="AI1732" t="n">
        <v>3</v>
      </c>
      <c r="AJ1732" t="n">
        <v>1</v>
      </c>
      <c r="AK1732" t="n">
        <v>2</v>
      </c>
      <c r="AL1732" t="n">
        <v>2</v>
      </c>
      <c r="AM1732" t="n">
        <v>4</v>
      </c>
      <c r="AN1732" t="n">
        <v>1</v>
      </c>
      <c r="AO1732" t="n">
        <v>1</v>
      </c>
      <c r="AP1732" t="n">
        <v>0</v>
      </c>
      <c r="AQ1732" t="n">
        <v>0</v>
      </c>
      <c r="AR1732" t="inlineStr">
        <is>
          <t>No</t>
        </is>
      </c>
      <c r="AS1732" t="inlineStr">
        <is>
          <t>No</t>
        </is>
      </c>
      <c r="AU1732">
        <f>HYPERLINK("https://creighton-primo.hosted.exlibrisgroup.com/primo-explore/search?tab=default_tab&amp;search_scope=EVERYTHING&amp;vid=01CRU&amp;lang=en_US&amp;offset=0&amp;query=any,contains,991001729359702656","Catalog Record")</f>
        <v/>
      </c>
      <c r="AV1732">
        <f>HYPERLINK("http://www.worldcat.org/oclc/51216245","WorldCat Record")</f>
        <v/>
      </c>
      <c r="AW1732" t="inlineStr">
        <is>
          <t>7467695:eng</t>
        </is>
      </c>
      <c r="AX1732" t="inlineStr">
        <is>
          <t>51216245</t>
        </is>
      </c>
      <c r="AY1732" t="inlineStr">
        <is>
          <t>991001729359702656</t>
        </is>
      </c>
      <c r="AZ1732" t="inlineStr">
        <is>
          <t>991001729359702656</t>
        </is>
      </c>
      <c r="BA1732" t="inlineStr">
        <is>
          <t>2270452930002656</t>
        </is>
      </c>
      <c r="BB1732" t="inlineStr">
        <is>
          <t>BOOK</t>
        </is>
      </c>
      <c r="BD1732" t="inlineStr">
        <is>
          <t>9780130415820</t>
        </is>
      </c>
      <c r="BE1732" t="inlineStr">
        <is>
          <t>30001004921997</t>
        </is>
      </c>
      <c r="BF1732" t="inlineStr">
        <is>
          <t>893638518</t>
        </is>
      </c>
    </row>
    <row r="1733">
      <c r="A1733" t="inlineStr">
        <is>
          <t>No</t>
        </is>
      </c>
      <c r="B1733" t="inlineStr">
        <is>
          <t>CUHSL</t>
        </is>
      </c>
      <c r="C1733" t="inlineStr">
        <is>
          <t>SHELVES</t>
        </is>
      </c>
      <c r="D1733" t="inlineStr">
        <is>
          <t>WY 160 L531c 1973</t>
        </is>
      </c>
      <c r="E1733" t="inlineStr">
        <is>
          <t>0                      WY 0160000L  531c        1973</t>
        </is>
      </c>
      <c r="F1733" t="inlineStr">
        <is>
          <t>Contemporary issues in mental health nursing : by 7 authors / edited by Madeleine M. Leininger.</t>
        </is>
      </c>
      <c r="H1733" t="inlineStr">
        <is>
          <t>No</t>
        </is>
      </c>
      <c r="I1733" t="inlineStr">
        <is>
          <t>1</t>
        </is>
      </c>
      <c r="J1733" t="inlineStr">
        <is>
          <t>No</t>
        </is>
      </c>
      <c r="K1733" t="inlineStr">
        <is>
          <t>No</t>
        </is>
      </c>
      <c r="L1733" t="inlineStr">
        <is>
          <t>0</t>
        </is>
      </c>
      <c r="M1733" t="inlineStr">
        <is>
          <t>Leininger, Madeleine M., editor.</t>
        </is>
      </c>
      <c r="N1733" t="inlineStr">
        <is>
          <t>Boston, Little, Brown [c1973]</t>
        </is>
      </c>
      <c r="O1733" t="inlineStr">
        <is>
          <t>1973</t>
        </is>
      </c>
      <c r="P1733" t="inlineStr">
        <is>
          <t>-- [1st ed.] --</t>
        </is>
      </c>
      <c r="Q1733" t="inlineStr">
        <is>
          <t>eng</t>
        </is>
      </c>
      <c r="R1733" t="inlineStr">
        <is>
          <t>mau</t>
        </is>
      </c>
      <c r="T1733" t="inlineStr">
        <is>
          <t xml:space="preserve">WY </t>
        </is>
      </c>
      <c r="U1733" t="n">
        <v>3</v>
      </c>
      <c r="V1733" t="n">
        <v>3</v>
      </c>
      <c r="W1733" t="inlineStr">
        <is>
          <t>1988-03-25</t>
        </is>
      </c>
      <c r="X1733" t="inlineStr">
        <is>
          <t>1988-03-25</t>
        </is>
      </c>
      <c r="Y1733" t="inlineStr">
        <is>
          <t>1987-12-28</t>
        </is>
      </c>
      <c r="Z1733" t="inlineStr">
        <is>
          <t>1987-12-28</t>
        </is>
      </c>
      <c r="AA1733" t="n">
        <v>204</v>
      </c>
      <c r="AB1733" t="n">
        <v>183</v>
      </c>
      <c r="AC1733" t="n">
        <v>187</v>
      </c>
      <c r="AD1733" t="n">
        <v>2</v>
      </c>
      <c r="AE1733" t="n">
        <v>2</v>
      </c>
      <c r="AF1733" t="n">
        <v>8</v>
      </c>
      <c r="AG1733" t="n">
        <v>8</v>
      </c>
      <c r="AH1733" t="n">
        <v>3</v>
      </c>
      <c r="AI1733" t="n">
        <v>3</v>
      </c>
      <c r="AJ1733" t="n">
        <v>0</v>
      </c>
      <c r="AK1733" t="n">
        <v>0</v>
      </c>
      <c r="AL1733" t="n">
        <v>5</v>
      </c>
      <c r="AM1733" t="n">
        <v>5</v>
      </c>
      <c r="AN1733" t="n">
        <v>1</v>
      </c>
      <c r="AO1733" t="n">
        <v>1</v>
      </c>
      <c r="AP1733" t="n">
        <v>0</v>
      </c>
      <c r="AQ1733" t="n">
        <v>0</v>
      </c>
      <c r="AR1733" t="inlineStr">
        <is>
          <t>No</t>
        </is>
      </c>
      <c r="AS1733" t="inlineStr">
        <is>
          <t>Yes</t>
        </is>
      </c>
      <c r="AT1733">
        <f>HYPERLINK("http://catalog.hathitrust.org/Record/001563691","HathiTrust Record")</f>
        <v/>
      </c>
      <c r="AU1733">
        <f>HYPERLINK("https://creighton-primo.hosted.exlibrisgroup.com/primo-explore/search?tab=default_tab&amp;search_scope=EVERYTHING&amp;vid=01CRU&amp;lang=en_US&amp;offset=0&amp;query=any,contains,991000926429702656","Catalog Record")</f>
        <v/>
      </c>
      <c r="AV1733">
        <f>HYPERLINK("http://www.worldcat.org/oclc/804896","WorldCat Record")</f>
        <v/>
      </c>
      <c r="AW1733" t="inlineStr">
        <is>
          <t>227602991:eng</t>
        </is>
      </c>
      <c r="AX1733" t="inlineStr">
        <is>
          <t>804896</t>
        </is>
      </c>
      <c r="AY1733" t="inlineStr">
        <is>
          <t>991000926429702656</t>
        </is>
      </c>
      <c r="AZ1733" t="inlineStr">
        <is>
          <t>991000926429702656</t>
        </is>
      </c>
      <c r="BA1733" t="inlineStr">
        <is>
          <t>2269552570002656</t>
        </is>
      </c>
      <c r="BB1733" t="inlineStr">
        <is>
          <t>BOOK</t>
        </is>
      </c>
      <c r="BE1733" t="inlineStr">
        <is>
          <t>30001000183386</t>
        </is>
      </c>
      <c r="BF1733" t="inlineStr">
        <is>
          <t>893637840</t>
        </is>
      </c>
    </row>
    <row r="1734">
      <c r="A1734" t="inlineStr">
        <is>
          <t>No</t>
        </is>
      </c>
      <c r="B1734" t="inlineStr">
        <is>
          <t>CUHSL</t>
        </is>
      </c>
      <c r="C1734" t="inlineStr">
        <is>
          <t>SHELVES</t>
        </is>
      </c>
      <c r="D1734" t="inlineStr">
        <is>
          <t>WY 160 M478n 1986</t>
        </is>
      </c>
      <c r="E1734" t="inlineStr">
        <is>
          <t>0                      WY 0160000M  478n        1986</t>
        </is>
      </c>
      <c r="F1734" t="inlineStr">
        <is>
          <t>Nursing diagnoses and process in psychiatric mental health nursing / Gertrude K. McFarland, Evelyn L. Wasli.</t>
        </is>
      </c>
      <c r="H1734" t="inlineStr">
        <is>
          <t>No</t>
        </is>
      </c>
      <c r="I1734" t="inlineStr">
        <is>
          <t>1</t>
        </is>
      </c>
      <c r="J1734" t="inlineStr">
        <is>
          <t>No</t>
        </is>
      </c>
      <c r="K1734" t="inlineStr">
        <is>
          <t>No</t>
        </is>
      </c>
      <c r="L1734" t="inlineStr">
        <is>
          <t>0</t>
        </is>
      </c>
      <c r="M1734" t="inlineStr">
        <is>
          <t>McFarland, Gertrude K., 1941-</t>
        </is>
      </c>
      <c r="N1734" t="inlineStr">
        <is>
          <t>Philadelphia, PA : Lippincott, c1986.</t>
        </is>
      </c>
      <c r="O1734" t="inlineStr">
        <is>
          <t>1986</t>
        </is>
      </c>
      <c r="Q1734" t="inlineStr">
        <is>
          <t>eng</t>
        </is>
      </c>
      <c r="R1734" t="inlineStr">
        <is>
          <t>xxu</t>
        </is>
      </c>
      <c r="T1734" t="inlineStr">
        <is>
          <t xml:space="preserve">WY </t>
        </is>
      </c>
      <c r="U1734" t="n">
        <v>7</v>
      </c>
      <c r="V1734" t="n">
        <v>7</v>
      </c>
      <c r="W1734" t="inlineStr">
        <is>
          <t>1992-04-22</t>
        </is>
      </c>
      <c r="X1734" t="inlineStr">
        <is>
          <t>1992-04-22</t>
        </is>
      </c>
      <c r="Y1734" t="inlineStr">
        <is>
          <t>1987-12-29</t>
        </is>
      </c>
      <c r="Z1734" t="inlineStr">
        <is>
          <t>1987-12-29</t>
        </is>
      </c>
      <c r="AA1734" t="n">
        <v>236</v>
      </c>
      <c r="AB1734" t="n">
        <v>181</v>
      </c>
      <c r="AC1734" t="n">
        <v>395</v>
      </c>
      <c r="AD1734" t="n">
        <v>2</v>
      </c>
      <c r="AE1734" t="n">
        <v>2</v>
      </c>
      <c r="AF1734" t="n">
        <v>7</v>
      </c>
      <c r="AG1734" t="n">
        <v>14</v>
      </c>
      <c r="AH1734" t="n">
        <v>2</v>
      </c>
      <c r="AI1734" t="n">
        <v>3</v>
      </c>
      <c r="AJ1734" t="n">
        <v>1</v>
      </c>
      <c r="AK1734" t="n">
        <v>4</v>
      </c>
      <c r="AL1734" t="n">
        <v>6</v>
      </c>
      <c r="AM1734" t="n">
        <v>10</v>
      </c>
      <c r="AN1734" t="n">
        <v>0</v>
      </c>
      <c r="AO1734" t="n">
        <v>0</v>
      </c>
      <c r="AP1734" t="n">
        <v>0</v>
      </c>
      <c r="AQ1734" t="n">
        <v>0</v>
      </c>
      <c r="AR1734" t="inlineStr">
        <is>
          <t>No</t>
        </is>
      </c>
      <c r="AS1734" t="inlineStr">
        <is>
          <t>Yes</t>
        </is>
      </c>
      <c r="AT1734">
        <f>HYPERLINK("http://catalog.hathitrust.org/Record/000624416","HathiTrust Record")</f>
        <v/>
      </c>
      <c r="AU1734">
        <f>HYPERLINK("https://creighton-primo.hosted.exlibrisgroup.com/primo-explore/search?tab=default_tab&amp;search_scope=EVERYTHING&amp;vid=01CRU&amp;lang=en_US&amp;offset=0&amp;query=any,contains,991000926599702656","Catalog Record")</f>
        <v/>
      </c>
      <c r="AV1734">
        <f>HYPERLINK("http://www.worldcat.org/oclc/12263190","WorldCat Record")</f>
        <v/>
      </c>
      <c r="AW1734" t="inlineStr">
        <is>
          <t>4919889:eng</t>
        </is>
      </c>
      <c r="AX1734" t="inlineStr">
        <is>
          <t>12263190</t>
        </is>
      </c>
      <c r="AY1734" t="inlineStr">
        <is>
          <t>991000926599702656</t>
        </is>
      </c>
      <c r="AZ1734" t="inlineStr">
        <is>
          <t>991000926599702656</t>
        </is>
      </c>
      <c r="BA1734" t="inlineStr">
        <is>
          <t>2256951810002656</t>
        </is>
      </c>
      <c r="BB1734" t="inlineStr">
        <is>
          <t>BOOK</t>
        </is>
      </c>
      <c r="BD1734" t="inlineStr">
        <is>
          <t>9780397545988</t>
        </is>
      </c>
      <c r="BE1734" t="inlineStr">
        <is>
          <t>30001000183469</t>
        </is>
      </c>
      <c r="BF1734" t="inlineStr">
        <is>
          <t>893736052</t>
        </is>
      </c>
    </row>
    <row r="1735">
      <c r="A1735" t="inlineStr">
        <is>
          <t>No</t>
        </is>
      </c>
      <c r="B1735" t="inlineStr">
        <is>
          <t>CUHSL</t>
        </is>
      </c>
      <c r="C1735" t="inlineStr">
        <is>
          <t>SHELVES</t>
        </is>
      </c>
      <c r="D1735" t="inlineStr">
        <is>
          <t>WY 160 M549 1988</t>
        </is>
      </c>
      <c r="E1735" t="inlineStr">
        <is>
          <t>0                      WY 0160000M  549         1988</t>
        </is>
      </c>
      <c r="F1735" t="inlineStr">
        <is>
          <t>Mental health-psychiatric nursing : a holistic life-cycle approach / edited by Cornelia Kelly Beck, Ruth Parmelee Rawlins, Sophronia R. Williams.</t>
        </is>
      </c>
      <c r="H1735" t="inlineStr">
        <is>
          <t>No</t>
        </is>
      </c>
      <c r="I1735" t="inlineStr">
        <is>
          <t>1</t>
        </is>
      </c>
      <c r="J1735" t="inlineStr">
        <is>
          <t>No</t>
        </is>
      </c>
      <c r="K1735" t="inlineStr">
        <is>
          <t>No</t>
        </is>
      </c>
      <c r="L1735" t="inlineStr">
        <is>
          <t>0</t>
        </is>
      </c>
      <c r="N1735" t="inlineStr">
        <is>
          <t>St. Louis : Mosby, c1988.</t>
        </is>
      </c>
      <c r="O1735" t="inlineStr">
        <is>
          <t>1988</t>
        </is>
      </c>
      <c r="P1735" t="inlineStr">
        <is>
          <t>2nd ed.</t>
        </is>
      </c>
      <c r="Q1735" t="inlineStr">
        <is>
          <t>eng</t>
        </is>
      </c>
      <c r="R1735" t="inlineStr">
        <is>
          <t>mou</t>
        </is>
      </c>
      <c r="T1735" t="inlineStr">
        <is>
          <t xml:space="preserve">WY </t>
        </is>
      </c>
      <c r="U1735" t="n">
        <v>38</v>
      </c>
      <c r="V1735" t="n">
        <v>38</v>
      </c>
      <c r="W1735" t="inlineStr">
        <is>
          <t>1997-06-09</t>
        </is>
      </c>
      <c r="X1735" t="inlineStr">
        <is>
          <t>1997-06-09</t>
        </is>
      </c>
      <c r="Y1735" t="inlineStr">
        <is>
          <t>1988-07-07</t>
        </is>
      </c>
      <c r="Z1735" t="inlineStr">
        <is>
          <t>1988-07-07</t>
        </is>
      </c>
      <c r="AA1735" t="n">
        <v>318</v>
      </c>
      <c r="AB1735" t="n">
        <v>231</v>
      </c>
      <c r="AC1735" t="n">
        <v>431</v>
      </c>
      <c r="AD1735" t="n">
        <v>1</v>
      </c>
      <c r="AE1735" t="n">
        <v>4</v>
      </c>
      <c r="AF1735" t="n">
        <v>7</v>
      </c>
      <c r="AG1735" t="n">
        <v>15</v>
      </c>
      <c r="AH1735" t="n">
        <v>6</v>
      </c>
      <c r="AI1735" t="n">
        <v>8</v>
      </c>
      <c r="AJ1735" t="n">
        <v>1</v>
      </c>
      <c r="AK1735" t="n">
        <v>2</v>
      </c>
      <c r="AL1735" t="n">
        <v>3</v>
      </c>
      <c r="AM1735" t="n">
        <v>9</v>
      </c>
      <c r="AN1735" t="n">
        <v>0</v>
      </c>
      <c r="AO1735" t="n">
        <v>1</v>
      </c>
      <c r="AP1735" t="n">
        <v>0</v>
      </c>
      <c r="AQ1735" t="n">
        <v>0</v>
      </c>
      <c r="AR1735" t="inlineStr">
        <is>
          <t>No</t>
        </is>
      </c>
      <c r="AS1735" t="inlineStr">
        <is>
          <t>Yes</t>
        </is>
      </c>
      <c r="AT1735">
        <f>HYPERLINK("http://catalog.hathitrust.org/Record/000844999","HathiTrust Record")</f>
        <v/>
      </c>
      <c r="AU1735">
        <f>HYPERLINK("https://creighton-primo.hosted.exlibrisgroup.com/primo-explore/search?tab=default_tab&amp;search_scope=EVERYTHING&amp;vid=01CRU&amp;lang=en_US&amp;offset=0&amp;query=any,contains,991001417049702656","Catalog Record")</f>
        <v/>
      </c>
      <c r="AV1735">
        <f>HYPERLINK("http://www.worldcat.org/oclc/16755516","WorldCat Record")</f>
        <v/>
      </c>
      <c r="AW1735" t="inlineStr">
        <is>
          <t>889838861:eng</t>
        </is>
      </c>
      <c r="AX1735" t="inlineStr">
        <is>
          <t>16755516</t>
        </is>
      </c>
      <c r="AY1735" t="inlineStr">
        <is>
          <t>991001417049702656</t>
        </is>
      </c>
      <c r="AZ1735" t="inlineStr">
        <is>
          <t>991001417049702656</t>
        </is>
      </c>
      <c r="BA1735" t="inlineStr">
        <is>
          <t>2263308080002656</t>
        </is>
      </c>
      <c r="BB1735" t="inlineStr">
        <is>
          <t>BOOK</t>
        </is>
      </c>
      <c r="BD1735" t="inlineStr">
        <is>
          <t>9780801605581</t>
        </is>
      </c>
      <c r="BE1735" t="inlineStr">
        <is>
          <t>30001001181090</t>
        </is>
      </c>
      <c r="BF1735" t="inlineStr">
        <is>
          <t>893369376</t>
        </is>
      </c>
    </row>
    <row r="1736">
      <c r="A1736" t="inlineStr">
        <is>
          <t>No</t>
        </is>
      </c>
      <c r="B1736" t="inlineStr">
        <is>
          <t>CUHSL</t>
        </is>
      </c>
      <c r="C1736" t="inlineStr">
        <is>
          <t>SHELVES</t>
        </is>
      </c>
      <c r="D1736" t="inlineStr">
        <is>
          <t>WY 160 M5493 1996</t>
        </is>
      </c>
      <c r="E1736" t="inlineStr">
        <is>
          <t>0                      WY 0160000M  5493        1996</t>
        </is>
      </c>
      <c r="F1736" t="inlineStr">
        <is>
          <t>Mental health nursing : the nurse-patient journey / [edited by] Verna Benner Carson, Elizabeth Nolan Arnold.</t>
        </is>
      </c>
      <c r="H1736" t="inlineStr">
        <is>
          <t>No</t>
        </is>
      </c>
      <c r="I1736" t="inlineStr">
        <is>
          <t>1</t>
        </is>
      </c>
      <c r="J1736" t="inlineStr">
        <is>
          <t>No</t>
        </is>
      </c>
      <c r="K1736" t="inlineStr">
        <is>
          <t>No</t>
        </is>
      </c>
      <c r="L1736" t="inlineStr">
        <is>
          <t>0</t>
        </is>
      </c>
      <c r="N1736" t="inlineStr">
        <is>
          <t>Philadelphia : Saunders, c1996.</t>
        </is>
      </c>
      <c r="O1736" t="inlineStr">
        <is>
          <t>1996</t>
        </is>
      </c>
      <c r="Q1736" t="inlineStr">
        <is>
          <t>eng</t>
        </is>
      </c>
      <c r="R1736" t="inlineStr">
        <is>
          <t>pau</t>
        </is>
      </c>
      <c r="T1736" t="inlineStr">
        <is>
          <t xml:space="preserve">WY </t>
        </is>
      </c>
      <c r="U1736" t="n">
        <v>7</v>
      </c>
      <c r="V1736" t="n">
        <v>7</v>
      </c>
      <c r="W1736" t="inlineStr">
        <is>
          <t>1998-06-29</t>
        </is>
      </c>
      <c r="X1736" t="inlineStr">
        <is>
          <t>1998-06-29</t>
        </is>
      </c>
      <c r="Y1736" t="inlineStr">
        <is>
          <t>1997-05-02</t>
        </is>
      </c>
      <c r="Z1736" t="inlineStr">
        <is>
          <t>1997-05-02</t>
        </is>
      </c>
      <c r="AA1736" t="n">
        <v>206</v>
      </c>
      <c r="AB1736" t="n">
        <v>158</v>
      </c>
      <c r="AC1736" t="n">
        <v>322</v>
      </c>
      <c r="AD1736" t="n">
        <v>2</v>
      </c>
      <c r="AE1736" t="n">
        <v>3</v>
      </c>
      <c r="AF1736" t="n">
        <v>5</v>
      </c>
      <c r="AG1736" t="n">
        <v>15</v>
      </c>
      <c r="AH1736" t="n">
        <v>2</v>
      </c>
      <c r="AI1736" t="n">
        <v>6</v>
      </c>
      <c r="AJ1736" t="n">
        <v>1</v>
      </c>
      <c r="AK1736" t="n">
        <v>2</v>
      </c>
      <c r="AL1736" t="n">
        <v>3</v>
      </c>
      <c r="AM1736" t="n">
        <v>9</v>
      </c>
      <c r="AN1736" t="n">
        <v>0</v>
      </c>
      <c r="AO1736" t="n">
        <v>1</v>
      </c>
      <c r="AP1736" t="n">
        <v>0</v>
      </c>
      <c r="AQ1736" t="n">
        <v>0</v>
      </c>
      <c r="AR1736" t="inlineStr">
        <is>
          <t>No</t>
        </is>
      </c>
      <c r="AS1736" t="inlineStr">
        <is>
          <t>Yes</t>
        </is>
      </c>
      <c r="AT1736">
        <f>HYPERLINK("http://catalog.hathitrust.org/Record/003036188","HathiTrust Record")</f>
        <v/>
      </c>
      <c r="AU1736">
        <f>HYPERLINK("https://creighton-primo.hosted.exlibrisgroup.com/primo-explore/search?tab=default_tab&amp;search_scope=EVERYTHING&amp;vid=01CRU&amp;lang=en_US&amp;offset=0&amp;query=any,contains,991001058509702656","Catalog Record")</f>
        <v/>
      </c>
      <c r="AV1736">
        <f>HYPERLINK("http://www.worldcat.org/oclc/32397569","WorldCat Record")</f>
        <v/>
      </c>
      <c r="AW1736" t="inlineStr">
        <is>
          <t>837012892:eng</t>
        </is>
      </c>
      <c r="AX1736" t="inlineStr">
        <is>
          <t>32397569</t>
        </is>
      </c>
      <c r="AY1736" t="inlineStr">
        <is>
          <t>991001058509702656</t>
        </is>
      </c>
      <c r="AZ1736" t="inlineStr">
        <is>
          <t>991001058509702656</t>
        </is>
      </c>
      <c r="BA1736" t="inlineStr">
        <is>
          <t>2255024790002656</t>
        </is>
      </c>
      <c r="BB1736" t="inlineStr">
        <is>
          <t>BOOK</t>
        </is>
      </c>
      <c r="BD1736" t="inlineStr">
        <is>
          <t>9780721635200</t>
        </is>
      </c>
      <c r="BE1736" t="inlineStr">
        <is>
          <t>30001003588755</t>
        </is>
      </c>
      <c r="BF1736" t="inlineStr">
        <is>
          <t>893284355</t>
        </is>
      </c>
    </row>
    <row r="1737">
      <c r="A1737" t="inlineStr">
        <is>
          <t>No</t>
        </is>
      </c>
      <c r="B1737" t="inlineStr">
        <is>
          <t>CUHSL</t>
        </is>
      </c>
      <c r="C1737" t="inlineStr">
        <is>
          <t>SHELVES</t>
        </is>
      </c>
      <c r="D1737" t="inlineStr">
        <is>
          <t>WY160 M5495 1987</t>
        </is>
      </c>
      <c r="E1737" t="inlineStr">
        <is>
          <t>0                      WY 0160000M  5495        1987</t>
        </is>
      </c>
      <c r="F1737" t="inlineStr">
        <is>
          <t>Mental health, psychiatric nursing : a continuum of care / editor-in-chief, Joan Norris ... [et al.].</t>
        </is>
      </c>
      <c r="H1737" t="inlineStr">
        <is>
          <t>No</t>
        </is>
      </c>
      <c r="I1737" t="inlineStr">
        <is>
          <t>1</t>
        </is>
      </c>
      <c r="J1737" t="inlineStr">
        <is>
          <t>No</t>
        </is>
      </c>
      <c r="K1737" t="inlineStr">
        <is>
          <t>No</t>
        </is>
      </c>
      <c r="L1737" t="inlineStr">
        <is>
          <t>0</t>
        </is>
      </c>
      <c r="N1737" t="inlineStr">
        <is>
          <t>New York : Wiley, c1987.</t>
        </is>
      </c>
      <c r="O1737" t="inlineStr">
        <is>
          <t>1987</t>
        </is>
      </c>
      <c r="Q1737" t="inlineStr">
        <is>
          <t>eng</t>
        </is>
      </c>
      <c r="R1737" t="inlineStr">
        <is>
          <t>nyu</t>
        </is>
      </c>
      <c r="T1737" t="inlineStr">
        <is>
          <t xml:space="preserve">WY </t>
        </is>
      </c>
      <c r="U1737" t="n">
        <v>150</v>
      </c>
      <c r="V1737" t="n">
        <v>150</v>
      </c>
      <c r="W1737" t="inlineStr">
        <is>
          <t>1999-03-29</t>
        </is>
      </c>
      <c r="X1737" t="inlineStr">
        <is>
          <t>1999-03-29</t>
        </is>
      </c>
      <c r="Y1737" t="inlineStr">
        <is>
          <t>1992-02-21</t>
        </is>
      </c>
      <c r="Z1737" t="inlineStr">
        <is>
          <t>1992-02-21</t>
        </is>
      </c>
      <c r="AA1737" t="n">
        <v>172</v>
      </c>
      <c r="AB1737" t="n">
        <v>125</v>
      </c>
      <c r="AC1737" t="n">
        <v>144</v>
      </c>
      <c r="AD1737" t="n">
        <v>2</v>
      </c>
      <c r="AE1737" t="n">
        <v>2</v>
      </c>
      <c r="AF1737" t="n">
        <v>8</v>
      </c>
      <c r="AG1737" t="n">
        <v>10</v>
      </c>
      <c r="AH1737" t="n">
        <v>2</v>
      </c>
      <c r="AI1737" t="n">
        <v>3</v>
      </c>
      <c r="AJ1737" t="n">
        <v>2</v>
      </c>
      <c r="AK1737" t="n">
        <v>3</v>
      </c>
      <c r="AL1737" t="n">
        <v>6</v>
      </c>
      <c r="AM1737" t="n">
        <v>6</v>
      </c>
      <c r="AN1737" t="n">
        <v>1</v>
      </c>
      <c r="AO1737" t="n">
        <v>1</v>
      </c>
      <c r="AP1737" t="n">
        <v>0</v>
      </c>
      <c r="AQ1737" t="n">
        <v>0</v>
      </c>
      <c r="AR1737" t="inlineStr">
        <is>
          <t>No</t>
        </is>
      </c>
      <c r="AS1737" t="inlineStr">
        <is>
          <t>Yes</t>
        </is>
      </c>
      <c r="AT1737">
        <f>HYPERLINK("http://catalog.hathitrust.org/Record/000810693","HathiTrust Record")</f>
        <v/>
      </c>
      <c r="AU1737">
        <f>HYPERLINK("https://creighton-primo.hosted.exlibrisgroup.com/primo-explore/search?tab=default_tab&amp;search_scope=EVERYTHING&amp;vid=01CRU&amp;lang=en_US&amp;offset=0&amp;query=any,contains,991001033329702656","Catalog Record")</f>
        <v/>
      </c>
      <c r="AV1737">
        <f>HYPERLINK("http://www.worldcat.org/oclc/14413616","WorldCat Record")</f>
        <v/>
      </c>
      <c r="AW1737" t="inlineStr">
        <is>
          <t>836677026:eng</t>
        </is>
      </c>
      <c r="AX1737" t="inlineStr">
        <is>
          <t>14413616</t>
        </is>
      </c>
      <c r="AY1737" t="inlineStr">
        <is>
          <t>991001033329702656</t>
        </is>
      </c>
      <c r="AZ1737" t="inlineStr">
        <is>
          <t>991001033329702656</t>
        </is>
      </c>
      <c r="BA1737" t="inlineStr">
        <is>
          <t>2264373720002656</t>
        </is>
      </c>
      <c r="BB1737" t="inlineStr">
        <is>
          <t>BOOK</t>
        </is>
      </c>
      <c r="BD1737" t="inlineStr">
        <is>
          <t>9780471099574</t>
        </is>
      </c>
      <c r="BE1737" t="inlineStr">
        <is>
          <t>30001002244228</t>
        </is>
      </c>
      <c r="BF1737" t="inlineStr">
        <is>
          <t>893731615</t>
        </is>
      </c>
    </row>
    <row r="1738">
      <c r="A1738" t="inlineStr">
        <is>
          <t>No</t>
        </is>
      </c>
      <c r="B1738" t="inlineStr">
        <is>
          <t>CUHSL</t>
        </is>
      </c>
      <c r="C1738" t="inlineStr">
        <is>
          <t>SHELVES</t>
        </is>
      </c>
      <c r="D1738" t="inlineStr">
        <is>
          <t>WY 160 M559e 1986</t>
        </is>
      </c>
      <c r="E1738" t="inlineStr">
        <is>
          <t>0                      WY 0160000M  559e        1986</t>
        </is>
      </c>
      <c r="F1738" t="inlineStr">
        <is>
          <t>Mereness' Essentials of psychiatric nursing.</t>
        </is>
      </c>
      <c r="H1738" t="inlineStr">
        <is>
          <t>No</t>
        </is>
      </c>
      <c r="I1738" t="inlineStr">
        <is>
          <t>1</t>
        </is>
      </c>
      <c r="J1738" t="inlineStr">
        <is>
          <t>No</t>
        </is>
      </c>
      <c r="K1738" t="inlineStr">
        <is>
          <t>No</t>
        </is>
      </c>
      <c r="L1738" t="inlineStr">
        <is>
          <t>0</t>
        </is>
      </c>
      <c r="M1738" t="inlineStr">
        <is>
          <t>Mereness, Dorothy A.</t>
        </is>
      </c>
      <c r="N1738" t="inlineStr">
        <is>
          <t>St. Louis : Mosby, c1986.</t>
        </is>
      </c>
      <c r="O1738" t="inlineStr">
        <is>
          <t>1986</t>
        </is>
      </c>
      <c r="P1738" t="inlineStr">
        <is>
          <t>12th ed. / Cecelia Monat Taylor.</t>
        </is>
      </c>
      <c r="Q1738" t="inlineStr">
        <is>
          <t>eng</t>
        </is>
      </c>
      <c r="R1738" t="inlineStr">
        <is>
          <t>xxu</t>
        </is>
      </c>
      <c r="T1738" t="inlineStr">
        <is>
          <t xml:space="preserve">WY </t>
        </is>
      </c>
      <c r="U1738" t="n">
        <v>1</v>
      </c>
      <c r="V1738" t="n">
        <v>1</v>
      </c>
      <c r="W1738" t="inlineStr">
        <is>
          <t>1992-01-09</t>
        </is>
      </c>
      <c r="X1738" t="inlineStr">
        <is>
          <t>1992-01-09</t>
        </is>
      </c>
      <c r="Y1738" t="inlineStr">
        <is>
          <t>1987-10-25</t>
        </is>
      </c>
      <c r="Z1738" t="inlineStr">
        <is>
          <t>1987-10-25</t>
        </is>
      </c>
      <c r="AA1738" t="n">
        <v>285</v>
      </c>
      <c r="AB1738" t="n">
        <v>233</v>
      </c>
      <c r="AC1738" t="n">
        <v>705</v>
      </c>
      <c r="AD1738" t="n">
        <v>1</v>
      </c>
      <c r="AE1738" t="n">
        <v>3</v>
      </c>
      <c r="AF1738" t="n">
        <v>3</v>
      </c>
      <c r="AG1738" t="n">
        <v>20</v>
      </c>
      <c r="AH1738" t="n">
        <v>0</v>
      </c>
      <c r="AI1738" t="n">
        <v>7</v>
      </c>
      <c r="AJ1738" t="n">
        <v>1</v>
      </c>
      <c r="AK1738" t="n">
        <v>5</v>
      </c>
      <c r="AL1738" t="n">
        <v>3</v>
      </c>
      <c r="AM1738" t="n">
        <v>12</v>
      </c>
      <c r="AN1738" t="n">
        <v>0</v>
      </c>
      <c r="AO1738" t="n">
        <v>1</v>
      </c>
      <c r="AP1738" t="n">
        <v>0</v>
      </c>
      <c r="AQ1738" t="n">
        <v>0</v>
      </c>
      <c r="AR1738" t="inlineStr">
        <is>
          <t>No</t>
        </is>
      </c>
      <c r="AS1738" t="inlineStr">
        <is>
          <t>Yes</t>
        </is>
      </c>
      <c r="AT1738">
        <f>HYPERLINK("http://catalog.hathitrust.org/Record/000427086","HathiTrust Record")</f>
        <v/>
      </c>
      <c r="AU1738">
        <f>HYPERLINK("https://creighton-primo.hosted.exlibrisgroup.com/primo-explore/search?tab=default_tab&amp;search_scope=EVERYTHING&amp;vid=01CRU&amp;lang=en_US&amp;offset=0&amp;query=any,contains,991000731369702656","Catalog Record")</f>
        <v/>
      </c>
      <c r="AV1738">
        <f>HYPERLINK("http://www.worldcat.org/oclc/12663604","WorldCat Record")</f>
        <v/>
      </c>
      <c r="AW1738" t="inlineStr">
        <is>
          <t>4663576861:eng</t>
        </is>
      </c>
      <c r="AX1738" t="inlineStr">
        <is>
          <t>12663604</t>
        </is>
      </c>
      <c r="AY1738" t="inlineStr">
        <is>
          <t>991000731369702656</t>
        </is>
      </c>
      <c r="AZ1738" t="inlineStr">
        <is>
          <t>991000731369702656</t>
        </is>
      </c>
      <c r="BA1738" t="inlineStr">
        <is>
          <t>2271926620002656</t>
        </is>
      </c>
      <c r="BB1738" t="inlineStr">
        <is>
          <t>BOOK</t>
        </is>
      </c>
      <c r="BD1738" t="inlineStr">
        <is>
          <t>9780801648953</t>
        </is>
      </c>
      <c r="BE1738" t="inlineStr">
        <is>
          <t>30001000040305</t>
        </is>
      </c>
      <c r="BF1738" t="inlineStr">
        <is>
          <t>893545720</t>
        </is>
      </c>
    </row>
    <row r="1739">
      <c r="A1739" t="inlineStr">
        <is>
          <t>No</t>
        </is>
      </c>
      <c r="B1739" t="inlineStr">
        <is>
          <t>CUHSL</t>
        </is>
      </c>
      <c r="C1739" t="inlineStr">
        <is>
          <t>SHELVES</t>
        </is>
      </c>
      <c r="D1739" t="inlineStr">
        <is>
          <t>WY 160 M876P 2006</t>
        </is>
      </c>
      <c r="E1739" t="inlineStr">
        <is>
          <t>0                      WY 0160000M  876P        2006</t>
        </is>
      </c>
      <c r="F1739" t="inlineStr">
        <is>
          <t>Psychiatric-mental health nursing / [edited by] Wanda K. Mohr.</t>
        </is>
      </c>
      <c r="H1739" t="inlineStr">
        <is>
          <t>No</t>
        </is>
      </c>
      <c r="I1739" t="inlineStr">
        <is>
          <t>1</t>
        </is>
      </c>
      <c r="J1739" t="inlineStr">
        <is>
          <t>No</t>
        </is>
      </c>
      <c r="K1739" t="inlineStr">
        <is>
          <t>No</t>
        </is>
      </c>
      <c r="L1739" t="inlineStr">
        <is>
          <t>0</t>
        </is>
      </c>
      <c r="N1739" t="inlineStr">
        <is>
          <t>Philadelphia : Lippincott Williams &amp; Wilkins, c2006.</t>
        </is>
      </c>
      <c r="O1739" t="inlineStr">
        <is>
          <t>2006</t>
        </is>
      </c>
      <c r="P1739" t="inlineStr">
        <is>
          <t>6th ed.</t>
        </is>
      </c>
      <c r="Q1739" t="inlineStr">
        <is>
          <t>eng</t>
        </is>
      </c>
      <c r="R1739" t="inlineStr">
        <is>
          <t>pau</t>
        </is>
      </c>
      <c r="T1739" t="inlineStr">
        <is>
          <t xml:space="preserve">WY </t>
        </is>
      </c>
      <c r="U1739" t="n">
        <v>0</v>
      </c>
      <c r="V1739" t="n">
        <v>0</v>
      </c>
      <c r="W1739" t="inlineStr">
        <is>
          <t>2005-11-25</t>
        </is>
      </c>
      <c r="X1739" t="inlineStr">
        <is>
          <t>2005-11-25</t>
        </is>
      </c>
      <c r="Y1739" t="inlineStr">
        <is>
          <t>2005-11-23</t>
        </is>
      </c>
      <c r="Z1739" t="inlineStr">
        <is>
          <t>2005-11-23</t>
        </is>
      </c>
      <c r="AA1739" t="n">
        <v>195</v>
      </c>
      <c r="AB1739" t="n">
        <v>133</v>
      </c>
      <c r="AC1739" t="n">
        <v>139</v>
      </c>
      <c r="AD1739" t="n">
        <v>2</v>
      </c>
      <c r="AE1739" t="n">
        <v>2</v>
      </c>
      <c r="AF1739" t="n">
        <v>3</v>
      </c>
      <c r="AG1739" t="n">
        <v>3</v>
      </c>
      <c r="AH1739" t="n">
        <v>0</v>
      </c>
      <c r="AI1739" t="n">
        <v>0</v>
      </c>
      <c r="AJ1739" t="n">
        <v>1</v>
      </c>
      <c r="AK1739" t="n">
        <v>1</v>
      </c>
      <c r="AL1739" t="n">
        <v>2</v>
      </c>
      <c r="AM1739" t="n">
        <v>2</v>
      </c>
      <c r="AN1739" t="n">
        <v>1</v>
      </c>
      <c r="AO1739" t="n">
        <v>1</v>
      </c>
      <c r="AP1739" t="n">
        <v>0</v>
      </c>
      <c r="AQ1739" t="n">
        <v>0</v>
      </c>
      <c r="AR1739" t="inlineStr">
        <is>
          <t>No</t>
        </is>
      </c>
      <c r="AS1739" t="inlineStr">
        <is>
          <t>No</t>
        </is>
      </c>
      <c r="AU1739">
        <f>HYPERLINK("https://creighton-primo.hosted.exlibrisgroup.com/primo-explore/search?tab=default_tab&amp;search_scope=EVERYTHING&amp;vid=01CRU&amp;lang=en_US&amp;offset=0&amp;query=any,contains,991001736109702656","Catalog Record")</f>
        <v/>
      </c>
      <c r="AV1739">
        <f>HYPERLINK("http://www.worldcat.org/oclc/57185661","WorldCat Record")</f>
        <v/>
      </c>
      <c r="AW1739" t="inlineStr">
        <is>
          <t>57121588:eng</t>
        </is>
      </c>
      <c r="AX1739" t="inlineStr">
        <is>
          <t>57185661</t>
        </is>
      </c>
      <c r="AY1739" t="inlineStr">
        <is>
          <t>991001736109702656</t>
        </is>
      </c>
      <c r="AZ1739" t="inlineStr">
        <is>
          <t>991001736109702656</t>
        </is>
      </c>
      <c r="BA1739" t="inlineStr">
        <is>
          <t>2270494920002656</t>
        </is>
      </c>
      <c r="BB1739" t="inlineStr">
        <is>
          <t>BOOK</t>
        </is>
      </c>
      <c r="BD1739" t="inlineStr">
        <is>
          <t>9780781753692</t>
        </is>
      </c>
      <c r="BE1739" t="inlineStr">
        <is>
          <t>30001004821866</t>
        </is>
      </c>
      <c r="BF1739" t="inlineStr">
        <is>
          <t>893134779</t>
        </is>
      </c>
    </row>
    <row r="1740">
      <c r="A1740" t="inlineStr">
        <is>
          <t>No</t>
        </is>
      </c>
      <c r="B1740" t="inlineStr">
        <is>
          <t>CUHSL</t>
        </is>
      </c>
      <c r="C1740" t="inlineStr">
        <is>
          <t>SHELVES</t>
        </is>
      </c>
      <c r="D1740" t="inlineStr">
        <is>
          <t>WY 160 M983p 1991</t>
        </is>
      </c>
      <c r="E1740" t="inlineStr">
        <is>
          <t>0                      WY 0160000M  983p        1991</t>
        </is>
      </c>
      <c r="F1740" t="inlineStr">
        <is>
          <t>Psychiatric mental health nursing : giving emotional care / Ruth Beckmann Murray, M. Marilyn Wilson Huelskoetter.</t>
        </is>
      </c>
      <c r="H1740" t="inlineStr">
        <is>
          <t>No</t>
        </is>
      </c>
      <c r="I1740" t="inlineStr">
        <is>
          <t>1</t>
        </is>
      </c>
      <c r="J1740" t="inlineStr">
        <is>
          <t>No</t>
        </is>
      </c>
      <c r="K1740" t="inlineStr">
        <is>
          <t>No</t>
        </is>
      </c>
      <c r="L1740" t="inlineStr">
        <is>
          <t>0</t>
        </is>
      </c>
      <c r="M1740" t="inlineStr">
        <is>
          <t>Murray, Ruth Beckmann.</t>
        </is>
      </c>
      <c r="N1740" t="inlineStr">
        <is>
          <t>Norwalk, Conn. : Appleton &amp; Lange, c1991.</t>
        </is>
      </c>
      <c r="O1740" t="inlineStr">
        <is>
          <t>1991</t>
        </is>
      </c>
      <c r="P1740" t="inlineStr">
        <is>
          <t>3rd ed.</t>
        </is>
      </c>
      <c r="Q1740" t="inlineStr">
        <is>
          <t>eng</t>
        </is>
      </c>
      <c r="R1740" t="inlineStr">
        <is>
          <t>xxu</t>
        </is>
      </c>
      <c r="T1740" t="inlineStr">
        <is>
          <t xml:space="preserve">WY </t>
        </is>
      </c>
      <c r="U1740" t="n">
        <v>4</v>
      </c>
      <c r="V1740" t="n">
        <v>4</v>
      </c>
      <c r="W1740" t="inlineStr">
        <is>
          <t>1993-07-28</t>
        </is>
      </c>
      <c r="X1740" t="inlineStr">
        <is>
          <t>1993-07-28</t>
        </is>
      </c>
      <c r="Y1740" t="inlineStr">
        <is>
          <t>1991-11-22</t>
        </is>
      </c>
      <c r="Z1740" t="inlineStr">
        <is>
          <t>1991-11-22</t>
        </is>
      </c>
      <c r="AA1740" t="n">
        <v>200</v>
      </c>
      <c r="AB1740" t="n">
        <v>140</v>
      </c>
      <c r="AC1740" t="n">
        <v>321</v>
      </c>
      <c r="AD1740" t="n">
        <v>1</v>
      </c>
      <c r="AE1740" t="n">
        <v>3</v>
      </c>
      <c r="AF1740" t="n">
        <v>5</v>
      </c>
      <c r="AG1740" t="n">
        <v>8</v>
      </c>
      <c r="AH1740" t="n">
        <v>1</v>
      </c>
      <c r="AI1740" t="n">
        <v>2</v>
      </c>
      <c r="AJ1740" t="n">
        <v>1</v>
      </c>
      <c r="AK1740" t="n">
        <v>2</v>
      </c>
      <c r="AL1740" t="n">
        <v>4</v>
      </c>
      <c r="AM1740" t="n">
        <v>5</v>
      </c>
      <c r="AN1740" t="n">
        <v>0</v>
      </c>
      <c r="AO1740" t="n">
        <v>1</v>
      </c>
      <c r="AP1740" t="n">
        <v>0</v>
      </c>
      <c r="AQ1740" t="n">
        <v>0</v>
      </c>
      <c r="AR1740" t="inlineStr">
        <is>
          <t>No</t>
        </is>
      </c>
      <c r="AS1740" t="inlineStr">
        <is>
          <t>No</t>
        </is>
      </c>
      <c r="AU1740">
        <f>HYPERLINK("https://creighton-primo.hosted.exlibrisgroup.com/primo-explore/search?tab=default_tab&amp;search_scope=EVERYTHING&amp;vid=01CRU&amp;lang=en_US&amp;offset=0&amp;query=any,contains,991001022059702656","Catalog Record")</f>
        <v/>
      </c>
      <c r="AV1740">
        <f>HYPERLINK("http://www.worldcat.org/oclc/22420164","WorldCat Record")</f>
        <v/>
      </c>
      <c r="AW1740" t="inlineStr">
        <is>
          <t>3855503503:eng</t>
        </is>
      </c>
      <c r="AX1740" t="inlineStr">
        <is>
          <t>22420164</t>
        </is>
      </c>
      <c r="AY1740" t="inlineStr">
        <is>
          <t>991001022059702656</t>
        </is>
      </c>
      <c r="AZ1740" t="inlineStr">
        <is>
          <t>991001022059702656</t>
        </is>
      </c>
      <c r="BA1740" t="inlineStr">
        <is>
          <t>2267998140002656</t>
        </is>
      </c>
      <c r="BB1740" t="inlineStr">
        <is>
          <t>BOOK</t>
        </is>
      </c>
      <c r="BD1740" t="inlineStr">
        <is>
          <t>9780838579930</t>
        </is>
      </c>
      <c r="BE1740" t="inlineStr">
        <is>
          <t>30001002241984</t>
        </is>
      </c>
      <c r="BF1740" t="inlineStr">
        <is>
          <t>893731604</t>
        </is>
      </c>
    </row>
    <row r="1741">
      <c r="A1741" t="inlineStr">
        <is>
          <t>No</t>
        </is>
      </c>
      <c r="B1741" t="inlineStr">
        <is>
          <t>CUHSL</t>
        </is>
      </c>
      <c r="C1741" t="inlineStr">
        <is>
          <t>SHELVES</t>
        </is>
      </c>
      <c r="D1741" t="inlineStr">
        <is>
          <t>WY 160 N9743 1988</t>
        </is>
      </c>
      <c r="E1741" t="inlineStr">
        <is>
          <t>0                      WY 0160000N  9743        1988</t>
        </is>
      </c>
      <c r="F1741" t="inlineStr">
        <is>
          <t>Nursing care planning guides for mental health / edited by Joan W. Reighley.</t>
        </is>
      </c>
      <c r="H1741" t="inlineStr">
        <is>
          <t>No</t>
        </is>
      </c>
      <c r="I1741" t="inlineStr">
        <is>
          <t>1</t>
        </is>
      </c>
      <c r="J1741" t="inlineStr">
        <is>
          <t>No</t>
        </is>
      </c>
      <c r="K1741" t="inlineStr">
        <is>
          <t>No</t>
        </is>
      </c>
      <c r="L1741" t="inlineStr">
        <is>
          <t>0</t>
        </is>
      </c>
      <c r="N1741" t="inlineStr">
        <is>
          <t>Baltimore : Williams &amp; Wilkins, c1988.</t>
        </is>
      </c>
      <c r="O1741" t="inlineStr">
        <is>
          <t>1988</t>
        </is>
      </c>
      <c r="Q1741" t="inlineStr">
        <is>
          <t>eng</t>
        </is>
      </c>
      <c r="R1741" t="inlineStr">
        <is>
          <t>xxu</t>
        </is>
      </c>
      <c r="S1741" t="inlineStr">
        <is>
          <t>Applying nursing diagnosis</t>
        </is>
      </c>
      <c r="T1741" t="inlineStr">
        <is>
          <t xml:space="preserve">WY </t>
        </is>
      </c>
      <c r="U1741" t="n">
        <v>15</v>
      </c>
      <c r="V1741" t="n">
        <v>15</v>
      </c>
      <c r="W1741" t="inlineStr">
        <is>
          <t>1992-07-12</t>
        </is>
      </c>
      <c r="X1741" t="inlineStr">
        <is>
          <t>1992-07-12</t>
        </is>
      </c>
      <c r="Y1741" t="inlineStr">
        <is>
          <t>1989-07-14</t>
        </is>
      </c>
      <c r="Z1741" t="inlineStr">
        <is>
          <t>1989-07-14</t>
        </is>
      </c>
      <c r="AA1741" t="n">
        <v>175</v>
      </c>
      <c r="AB1741" t="n">
        <v>129</v>
      </c>
      <c r="AC1741" t="n">
        <v>131</v>
      </c>
      <c r="AD1741" t="n">
        <v>1</v>
      </c>
      <c r="AE1741" t="n">
        <v>1</v>
      </c>
      <c r="AF1741" t="n">
        <v>4</v>
      </c>
      <c r="AG1741" t="n">
        <v>4</v>
      </c>
      <c r="AH1741" t="n">
        <v>1</v>
      </c>
      <c r="AI1741" t="n">
        <v>1</v>
      </c>
      <c r="AJ1741" t="n">
        <v>2</v>
      </c>
      <c r="AK1741" t="n">
        <v>2</v>
      </c>
      <c r="AL1741" t="n">
        <v>2</v>
      </c>
      <c r="AM1741" t="n">
        <v>2</v>
      </c>
      <c r="AN1741" t="n">
        <v>0</v>
      </c>
      <c r="AO1741" t="n">
        <v>0</v>
      </c>
      <c r="AP1741" t="n">
        <v>0</v>
      </c>
      <c r="AQ1741" t="n">
        <v>0</v>
      </c>
      <c r="AR1741" t="inlineStr">
        <is>
          <t>No</t>
        </is>
      </c>
      <c r="AS1741" t="inlineStr">
        <is>
          <t>Yes</t>
        </is>
      </c>
      <c r="AT1741">
        <f>HYPERLINK("http://catalog.hathitrust.org/Record/000914226","HathiTrust Record")</f>
        <v/>
      </c>
      <c r="AU1741">
        <f>HYPERLINK("https://creighton-primo.hosted.exlibrisgroup.com/primo-explore/search?tab=default_tab&amp;search_scope=EVERYTHING&amp;vid=01CRU&amp;lang=en_US&amp;offset=0&amp;query=any,contains,991001311829702656","Catalog Record")</f>
        <v/>
      </c>
      <c r="AV1741">
        <f>HYPERLINK("http://www.worldcat.org/oclc/16833158","WorldCat Record")</f>
        <v/>
      </c>
      <c r="AW1741" t="inlineStr">
        <is>
          <t>3855920523:eng</t>
        </is>
      </c>
      <c r="AX1741" t="inlineStr">
        <is>
          <t>16833158</t>
        </is>
      </c>
      <c r="AY1741" t="inlineStr">
        <is>
          <t>991001311829702656</t>
        </is>
      </c>
      <c r="AZ1741" t="inlineStr">
        <is>
          <t>991001311829702656</t>
        </is>
      </c>
      <c r="BA1741" t="inlineStr">
        <is>
          <t>2255684650002656</t>
        </is>
      </c>
      <c r="BB1741" t="inlineStr">
        <is>
          <t>BOOK</t>
        </is>
      </c>
      <c r="BD1741" t="inlineStr">
        <is>
          <t>9780683095777</t>
        </is>
      </c>
      <c r="BE1741" t="inlineStr">
        <is>
          <t>30001001751041</t>
        </is>
      </c>
      <c r="BF1741" t="inlineStr">
        <is>
          <t>893161884</t>
        </is>
      </c>
    </row>
    <row r="1742">
      <c r="A1742" t="inlineStr">
        <is>
          <t>No</t>
        </is>
      </c>
      <c r="B1742" t="inlineStr">
        <is>
          <t>CUHSL</t>
        </is>
      </c>
      <c r="C1742" t="inlineStr">
        <is>
          <t>SHELVES</t>
        </is>
      </c>
      <c r="D1742" t="inlineStr">
        <is>
          <t>WY 160 N9762 1985</t>
        </is>
      </c>
      <c r="E1742" t="inlineStr">
        <is>
          <t>0                      WY 0160000N  9762        1985</t>
        </is>
      </c>
      <c r="F1742" t="inlineStr">
        <is>
          <t>Nursing interventions in depression / edited by Carol A. Rogers, Jane Ulsafer-Van Lanen.</t>
        </is>
      </c>
      <c r="H1742" t="inlineStr">
        <is>
          <t>No</t>
        </is>
      </c>
      <c r="I1742" t="inlineStr">
        <is>
          <t>1</t>
        </is>
      </c>
      <c r="J1742" t="inlineStr">
        <is>
          <t>No</t>
        </is>
      </c>
      <c r="K1742" t="inlineStr">
        <is>
          <t>No</t>
        </is>
      </c>
      <c r="L1742" t="inlineStr">
        <is>
          <t>0</t>
        </is>
      </c>
      <c r="N1742" t="inlineStr">
        <is>
          <t>Orlando : Grune &amp; Stratton, c1985.</t>
        </is>
      </c>
      <c r="O1742" t="inlineStr">
        <is>
          <t>1985</t>
        </is>
      </c>
      <c r="Q1742" t="inlineStr">
        <is>
          <t>eng</t>
        </is>
      </c>
      <c r="R1742" t="inlineStr">
        <is>
          <t>xxu</t>
        </is>
      </c>
      <c r="T1742" t="inlineStr">
        <is>
          <t xml:space="preserve">WY </t>
        </is>
      </c>
      <c r="U1742" t="n">
        <v>8</v>
      </c>
      <c r="V1742" t="n">
        <v>8</v>
      </c>
      <c r="W1742" t="inlineStr">
        <is>
          <t>1998-10-26</t>
        </is>
      </c>
      <c r="X1742" t="inlineStr">
        <is>
          <t>1998-10-26</t>
        </is>
      </c>
      <c r="Y1742" t="inlineStr">
        <is>
          <t>1987-12-29</t>
        </is>
      </c>
      <c r="Z1742" t="inlineStr">
        <is>
          <t>1987-12-29</t>
        </is>
      </c>
      <c r="AA1742" t="n">
        <v>296</v>
      </c>
      <c r="AB1742" t="n">
        <v>251</v>
      </c>
      <c r="AC1742" t="n">
        <v>258</v>
      </c>
      <c r="AD1742" t="n">
        <v>1</v>
      </c>
      <c r="AE1742" t="n">
        <v>1</v>
      </c>
      <c r="AF1742" t="n">
        <v>12</v>
      </c>
      <c r="AG1742" t="n">
        <v>12</v>
      </c>
      <c r="AH1742" t="n">
        <v>6</v>
      </c>
      <c r="AI1742" t="n">
        <v>6</v>
      </c>
      <c r="AJ1742" t="n">
        <v>4</v>
      </c>
      <c r="AK1742" t="n">
        <v>4</v>
      </c>
      <c r="AL1742" t="n">
        <v>7</v>
      </c>
      <c r="AM1742" t="n">
        <v>7</v>
      </c>
      <c r="AN1742" t="n">
        <v>0</v>
      </c>
      <c r="AO1742" t="n">
        <v>0</v>
      </c>
      <c r="AP1742" t="n">
        <v>0</v>
      </c>
      <c r="AQ1742" t="n">
        <v>0</v>
      </c>
      <c r="AR1742" t="inlineStr">
        <is>
          <t>No</t>
        </is>
      </c>
      <c r="AS1742" t="inlineStr">
        <is>
          <t>Yes</t>
        </is>
      </c>
      <c r="AT1742">
        <f>HYPERLINK("http://catalog.hathitrust.org/Record/000573132","HathiTrust Record")</f>
        <v/>
      </c>
      <c r="AU1742">
        <f>HYPERLINK("https://creighton-primo.hosted.exlibrisgroup.com/primo-explore/search?tab=default_tab&amp;search_scope=EVERYTHING&amp;vid=01CRU&amp;lang=en_US&amp;offset=0&amp;query=any,contains,991000926869702656","Catalog Record")</f>
        <v/>
      </c>
      <c r="AV1742">
        <f>HYPERLINK("http://www.worldcat.org/oclc/11842842","WorldCat Record")</f>
        <v/>
      </c>
      <c r="AW1742" t="inlineStr">
        <is>
          <t>4729594:eng</t>
        </is>
      </c>
      <c r="AX1742" t="inlineStr">
        <is>
          <t>11842842</t>
        </is>
      </c>
      <c r="AY1742" t="inlineStr">
        <is>
          <t>991000926869702656</t>
        </is>
      </c>
      <c r="AZ1742" t="inlineStr">
        <is>
          <t>991000926869702656</t>
        </is>
      </c>
      <c r="BA1742" t="inlineStr">
        <is>
          <t>2255070490002656</t>
        </is>
      </c>
      <c r="BB1742" t="inlineStr">
        <is>
          <t>BOOK</t>
        </is>
      </c>
      <c r="BD1742" t="inlineStr">
        <is>
          <t>9780808917106</t>
        </is>
      </c>
      <c r="BE1742" t="inlineStr">
        <is>
          <t>30001000183642</t>
        </is>
      </c>
      <c r="BF1742" t="inlineStr">
        <is>
          <t>893648707</t>
        </is>
      </c>
    </row>
    <row r="1743">
      <c r="A1743" t="inlineStr">
        <is>
          <t>No</t>
        </is>
      </c>
      <c r="B1743" t="inlineStr">
        <is>
          <t>CUHSL</t>
        </is>
      </c>
      <c r="C1743" t="inlineStr">
        <is>
          <t>SHELVES</t>
        </is>
      </c>
      <c r="D1743" t="inlineStr">
        <is>
          <t>WY 160 N9763 1982</t>
        </is>
      </c>
      <c r="E1743" t="inlineStr">
        <is>
          <t>0                      WY 0160000N  9763        1982</t>
        </is>
      </c>
      <c r="F1743" t="inlineStr">
        <is>
          <t>Nursing management of epilepsy / [edited by] Rita Beck Black, Bruce P. Hermann, Jean Thatcher Shope.</t>
        </is>
      </c>
      <c r="H1743" t="inlineStr">
        <is>
          <t>No</t>
        </is>
      </c>
      <c r="I1743" t="inlineStr">
        <is>
          <t>1</t>
        </is>
      </c>
      <c r="J1743" t="inlineStr">
        <is>
          <t>No</t>
        </is>
      </c>
      <c r="K1743" t="inlineStr">
        <is>
          <t>No</t>
        </is>
      </c>
      <c r="L1743" t="inlineStr">
        <is>
          <t>0</t>
        </is>
      </c>
      <c r="N1743" t="inlineStr">
        <is>
          <t>Rockville, Md. : Aspen Systems Corp., 1982.</t>
        </is>
      </c>
      <c r="O1743" t="inlineStr">
        <is>
          <t>1982</t>
        </is>
      </c>
      <c r="Q1743" t="inlineStr">
        <is>
          <t>eng</t>
        </is>
      </c>
      <c r="R1743" t="inlineStr">
        <is>
          <t>xxu</t>
        </is>
      </c>
      <c r="T1743" t="inlineStr">
        <is>
          <t xml:space="preserve">WY </t>
        </is>
      </c>
      <c r="U1743" t="n">
        <v>1</v>
      </c>
      <c r="V1743" t="n">
        <v>1</v>
      </c>
      <c r="W1743" t="inlineStr">
        <is>
          <t>1992-03-10</t>
        </is>
      </c>
      <c r="X1743" t="inlineStr">
        <is>
          <t>1992-03-10</t>
        </is>
      </c>
      <c r="Y1743" t="inlineStr">
        <is>
          <t>1987-12-29</t>
        </is>
      </c>
      <c r="Z1743" t="inlineStr">
        <is>
          <t>1987-12-29</t>
        </is>
      </c>
      <c r="AA1743" t="n">
        <v>183</v>
      </c>
      <c r="AB1743" t="n">
        <v>150</v>
      </c>
      <c r="AC1743" t="n">
        <v>151</v>
      </c>
      <c r="AD1743" t="n">
        <v>1</v>
      </c>
      <c r="AE1743" t="n">
        <v>1</v>
      </c>
      <c r="AF1743" t="n">
        <v>4</v>
      </c>
      <c r="AG1743" t="n">
        <v>4</v>
      </c>
      <c r="AH1743" t="n">
        <v>1</v>
      </c>
      <c r="AI1743" t="n">
        <v>1</v>
      </c>
      <c r="AJ1743" t="n">
        <v>1</v>
      </c>
      <c r="AK1743" t="n">
        <v>1</v>
      </c>
      <c r="AL1743" t="n">
        <v>4</v>
      </c>
      <c r="AM1743" t="n">
        <v>4</v>
      </c>
      <c r="AN1743" t="n">
        <v>0</v>
      </c>
      <c r="AO1743" t="n">
        <v>0</v>
      </c>
      <c r="AP1743" t="n">
        <v>0</v>
      </c>
      <c r="AQ1743" t="n">
        <v>0</v>
      </c>
      <c r="AR1743" t="inlineStr">
        <is>
          <t>No</t>
        </is>
      </c>
      <c r="AS1743" t="inlineStr">
        <is>
          <t>No</t>
        </is>
      </c>
      <c r="AU1743">
        <f>HYPERLINK("https://creighton-primo.hosted.exlibrisgroup.com/primo-explore/search?tab=default_tab&amp;search_scope=EVERYTHING&amp;vid=01CRU&amp;lang=en_US&amp;offset=0&amp;query=any,contains,991000926899702656","Catalog Record")</f>
        <v/>
      </c>
      <c r="AV1743">
        <f>HYPERLINK("http://www.worldcat.org/oclc/7998965","WorldCat Record")</f>
        <v/>
      </c>
      <c r="AW1743" t="inlineStr">
        <is>
          <t>551578:eng</t>
        </is>
      </c>
      <c r="AX1743" t="inlineStr">
        <is>
          <t>7998965</t>
        </is>
      </c>
      <c r="AY1743" t="inlineStr">
        <is>
          <t>991000926899702656</t>
        </is>
      </c>
      <c r="AZ1743" t="inlineStr">
        <is>
          <t>991000926899702656</t>
        </is>
      </c>
      <c r="BA1743" t="inlineStr">
        <is>
          <t>2271256080002656</t>
        </is>
      </c>
      <c r="BB1743" t="inlineStr">
        <is>
          <t>BOOK</t>
        </is>
      </c>
      <c r="BD1743" t="inlineStr">
        <is>
          <t>9780894436758</t>
        </is>
      </c>
      <c r="BE1743" t="inlineStr">
        <is>
          <t>30001000183659</t>
        </is>
      </c>
      <c r="BF1743" t="inlineStr">
        <is>
          <t>893632506</t>
        </is>
      </c>
    </row>
    <row r="1744">
      <c r="A1744" t="inlineStr">
        <is>
          <t>No</t>
        </is>
      </c>
      <c r="B1744" t="inlineStr">
        <is>
          <t>CUHSL</t>
        </is>
      </c>
      <c r="C1744" t="inlineStr">
        <is>
          <t>SHELVES</t>
        </is>
      </c>
      <c r="D1744" t="inlineStr">
        <is>
          <t>WY 160 P166t 1985</t>
        </is>
      </c>
      <c r="E1744" t="inlineStr">
        <is>
          <t>0                      WY 0160000P  166t        1985</t>
        </is>
      </c>
      <c r="F1744" t="inlineStr">
        <is>
          <t>Textbook of neurological nursing / Phyllis J. Pallett, Mary T. O'Brien.</t>
        </is>
      </c>
      <c r="H1744" t="inlineStr">
        <is>
          <t>No</t>
        </is>
      </c>
      <c r="I1744" t="inlineStr">
        <is>
          <t>1</t>
        </is>
      </c>
      <c r="J1744" t="inlineStr">
        <is>
          <t>No</t>
        </is>
      </c>
      <c r="K1744" t="inlineStr">
        <is>
          <t>No</t>
        </is>
      </c>
      <c r="L1744" t="inlineStr">
        <is>
          <t>0</t>
        </is>
      </c>
      <c r="M1744" t="inlineStr">
        <is>
          <t>Pallett, Phyllis J.</t>
        </is>
      </c>
      <c r="N1744" t="inlineStr">
        <is>
          <t>Boston : Little, Brown, c1985.</t>
        </is>
      </c>
      <c r="O1744" t="inlineStr">
        <is>
          <t>1985</t>
        </is>
      </c>
      <c r="Q1744" t="inlineStr">
        <is>
          <t>eng</t>
        </is>
      </c>
      <c r="R1744" t="inlineStr">
        <is>
          <t xml:space="preserve">xx </t>
        </is>
      </c>
      <c r="T1744" t="inlineStr">
        <is>
          <t xml:space="preserve">WY </t>
        </is>
      </c>
      <c r="U1744" t="n">
        <v>3</v>
      </c>
      <c r="V1744" t="n">
        <v>3</v>
      </c>
      <c r="W1744" t="inlineStr">
        <is>
          <t>1990-02-23</t>
        </is>
      </c>
      <c r="X1744" t="inlineStr">
        <is>
          <t>1990-02-23</t>
        </is>
      </c>
      <c r="Y1744" t="inlineStr">
        <is>
          <t>1987-12-29</t>
        </is>
      </c>
      <c r="Z1744" t="inlineStr">
        <is>
          <t>1987-12-29</t>
        </is>
      </c>
      <c r="AA1744" t="n">
        <v>198</v>
      </c>
      <c r="AB1744" t="n">
        <v>167</v>
      </c>
      <c r="AC1744" t="n">
        <v>168</v>
      </c>
      <c r="AD1744" t="n">
        <v>2</v>
      </c>
      <c r="AE1744" t="n">
        <v>2</v>
      </c>
      <c r="AF1744" t="n">
        <v>5</v>
      </c>
      <c r="AG1744" t="n">
        <v>5</v>
      </c>
      <c r="AH1744" t="n">
        <v>2</v>
      </c>
      <c r="AI1744" t="n">
        <v>2</v>
      </c>
      <c r="AJ1744" t="n">
        <v>1</v>
      </c>
      <c r="AK1744" t="n">
        <v>1</v>
      </c>
      <c r="AL1744" t="n">
        <v>4</v>
      </c>
      <c r="AM1744" t="n">
        <v>4</v>
      </c>
      <c r="AN1744" t="n">
        <v>0</v>
      </c>
      <c r="AO1744" t="n">
        <v>0</v>
      </c>
      <c r="AP1744" t="n">
        <v>0</v>
      </c>
      <c r="AQ1744" t="n">
        <v>0</v>
      </c>
      <c r="AR1744" t="inlineStr">
        <is>
          <t>No</t>
        </is>
      </c>
      <c r="AS1744" t="inlineStr">
        <is>
          <t>Yes</t>
        </is>
      </c>
      <c r="AT1744">
        <f>HYPERLINK("http://catalog.hathitrust.org/Record/006152172","HathiTrust Record")</f>
        <v/>
      </c>
      <c r="AU1744">
        <f>HYPERLINK("https://creighton-primo.hosted.exlibrisgroup.com/primo-explore/search?tab=default_tab&amp;search_scope=EVERYTHING&amp;vid=01CRU&amp;lang=en_US&amp;offset=0&amp;query=any,contains,991000926969702656","Catalog Record")</f>
        <v/>
      </c>
      <c r="AV1744">
        <f>HYPERLINK("http://www.worldcat.org/oclc/10753426","WorldCat Record")</f>
        <v/>
      </c>
      <c r="AW1744" t="inlineStr">
        <is>
          <t>2917732:eng</t>
        </is>
      </c>
      <c r="AX1744" t="inlineStr">
        <is>
          <t>10753426</t>
        </is>
      </c>
      <c r="AY1744" t="inlineStr">
        <is>
          <t>991000926969702656</t>
        </is>
      </c>
      <c r="AZ1744" t="inlineStr">
        <is>
          <t>991000926969702656</t>
        </is>
      </c>
      <c r="BA1744" t="inlineStr">
        <is>
          <t>2263295170002656</t>
        </is>
      </c>
      <c r="BB1744" t="inlineStr">
        <is>
          <t>BOOK</t>
        </is>
      </c>
      <c r="BD1744" t="inlineStr">
        <is>
          <t>9780316689502</t>
        </is>
      </c>
      <c r="BE1744" t="inlineStr">
        <is>
          <t>30001000183675</t>
        </is>
      </c>
      <c r="BF1744" t="inlineStr">
        <is>
          <t>893826234</t>
        </is>
      </c>
    </row>
    <row r="1745">
      <c r="A1745" t="inlineStr">
        <is>
          <t>No</t>
        </is>
      </c>
      <c r="B1745" t="inlineStr">
        <is>
          <t>CUHSL</t>
        </is>
      </c>
      <c r="C1745" t="inlineStr">
        <is>
          <t>SHELVES</t>
        </is>
      </c>
      <c r="D1745" t="inlineStr">
        <is>
          <t>WY 160 P219p 1991</t>
        </is>
      </c>
      <c r="E1745" t="inlineStr">
        <is>
          <t>0                      WY 0160000P  219p        1991</t>
        </is>
      </c>
      <c r="F1745" t="inlineStr">
        <is>
          <t>Psychiatric nursing diagnosis care plans for DSM-III-R / Mary Paquette, Margo C. Neal, Christine Rodemich.</t>
        </is>
      </c>
      <c r="H1745" t="inlineStr">
        <is>
          <t>No</t>
        </is>
      </c>
      <c r="I1745" t="inlineStr">
        <is>
          <t>1</t>
        </is>
      </c>
      <c r="J1745" t="inlineStr">
        <is>
          <t>No</t>
        </is>
      </c>
      <c r="K1745" t="inlineStr">
        <is>
          <t>No</t>
        </is>
      </c>
      <c r="L1745" t="inlineStr">
        <is>
          <t>0</t>
        </is>
      </c>
      <c r="M1745" t="inlineStr">
        <is>
          <t>Paquette, Mary.</t>
        </is>
      </c>
      <c r="N1745" t="inlineStr">
        <is>
          <t>Boston : Jones and Bartlett, c1991.</t>
        </is>
      </c>
      <c r="O1745" t="inlineStr">
        <is>
          <t>1991</t>
        </is>
      </c>
      <c r="Q1745" t="inlineStr">
        <is>
          <t>eng</t>
        </is>
      </c>
      <c r="R1745" t="inlineStr">
        <is>
          <t>mau</t>
        </is>
      </c>
      <c r="S1745" t="inlineStr">
        <is>
          <t>The Jones and Bartlett series in nursing</t>
        </is>
      </c>
      <c r="T1745" t="inlineStr">
        <is>
          <t xml:space="preserve">WY </t>
        </is>
      </c>
      <c r="U1745" t="n">
        <v>7</v>
      </c>
      <c r="V1745" t="n">
        <v>7</v>
      </c>
      <c r="W1745" t="inlineStr">
        <is>
          <t>1996-09-11</t>
        </is>
      </c>
      <c r="X1745" t="inlineStr">
        <is>
          <t>1996-09-11</t>
        </is>
      </c>
      <c r="Y1745" t="inlineStr">
        <is>
          <t>1993-03-26</t>
        </is>
      </c>
      <c r="Z1745" t="inlineStr">
        <is>
          <t>1993-03-26</t>
        </is>
      </c>
      <c r="AA1745" t="n">
        <v>186</v>
      </c>
      <c r="AB1745" t="n">
        <v>151</v>
      </c>
      <c r="AC1745" t="n">
        <v>157</v>
      </c>
      <c r="AD1745" t="n">
        <v>1</v>
      </c>
      <c r="AE1745" t="n">
        <v>1</v>
      </c>
      <c r="AF1745" t="n">
        <v>6</v>
      </c>
      <c r="AG1745" t="n">
        <v>6</v>
      </c>
      <c r="AH1745" t="n">
        <v>2</v>
      </c>
      <c r="AI1745" t="n">
        <v>2</v>
      </c>
      <c r="AJ1745" t="n">
        <v>1</v>
      </c>
      <c r="AK1745" t="n">
        <v>1</v>
      </c>
      <c r="AL1745" t="n">
        <v>5</v>
      </c>
      <c r="AM1745" t="n">
        <v>5</v>
      </c>
      <c r="AN1745" t="n">
        <v>0</v>
      </c>
      <c r="AO1745" t="n">
        <v>0</v>
      </c>
      <c r="AP1745" t="n">
        <v>0</v>
      </c>
      <c r="AQ1745" t="n">
        <v>0</v>
      </c>
      <c r="AR1745" t="inlineStr">
        <is>
          <t>No</t>
        </is>
      </c>
      <c r="AS1745" t="inlineStr">
        <is>
          <t>Yes</t>
        </is>
      </c>
      <c r="AT1745">
        <f>HYPERLINK("http://catalog.hathitrust.org/Record/002461743","HathiTrust Record")</f>
        <v/>
      </c>
      <c r="AU1745">
        <f>HYPERLINK("https://creighton-primo.hosted.exlibrisgroup.com/primo-explore/search?tab=default_tab&amp;search_scope=EVERYTHING&amp;vid=01CRU&amp;lang=en_US&amp;offset=0&amp;query=any,contains,991001476729702656","Catalog Record")</f>
        <v/>
      </c>
      <c r="AV1745">
        <f>HYPERLINK("http://www.worldcat.org/oclc/23691448","WorldCat Record")</f>
        <v/>
      </c>
      <c r="AW1745" t="inlineStr">
        <is>
          <t>25766480:eng</t>
        </is>
      </c>
      <c r="AX1745" t="inlineStr">
        <is>
          <t>23691448</t>
        </is>
      </c>
      <c r="AY1745" t="inlineStr">
        <is>
          <t>991001476729702656</t>
        </is>
      </c>
      <c r="AZ1745" t="inlineStr">
        <is>
          <t>991001476729702656</t>
        </is>
      </c>
      <c r="BA1745" t="inlineStr">
        <is>
          <t>2261345970002656</t>
        </is>
      </c>
      <c r="BB1745" t="inlineStr">
        <is>
          <t>BOOK</t>
        </is>
      </c>
      <c r="BD1745" t="inlineStr">
        <is>
          <t>9780867203103</t>
        </is>
      </c>
      <c r="BE1745" t="inlineStr">
        <is>
          <t>30001002563536</t>
        </is>
      </c>
      <c r="BF1745" t="inlineStr">
        <is>
          <t>893364175</t>
        </is>
      </c>
    </row>
    <row r="1746">
      <c r="A1746" t="inlineStr">
        <is>
          <t>No</t>
        </is>
      </c>
      <c r="B1746" t="inlineStr">
        <is>
          <t>CUHSL</t>
        </is>
      </c>
      <c r="C1746" t="inlineStr">
        <is>
          <t>SHELVES</t>
        </is>
      </c>
      <c r="D1746" t="inlineStr">
        <is>
          <t>WY 160 P284m 1989</t>
        </is>
      </c>
      <c r="E1746" t="inlineStr">
        <is>
          <t>0                      WY 0160000P  284m        1989</t>
        </is>
      </c>
      <c r="F1746" t="inlineStr">
        <is>
          <t>Mental health nursing : a holistic approach / Elaine Anne Pasquali, Helen Margaret Arnold, Nancy DeBasio.</t>
        </is>
      </c>
      <c r="H1746" t="inlineStr">
        <is>
          <t>No</t>
        </is>
      </c>
      <c r="I1746" t="inlineStr">
        <is>
          <t>1</t>
        </is>
      </c>
      <c r="J1746" t="inlineStr">
        <is>
          <t>No</t>
        </is>
      </c>
      <c r="K1746" t="inlineStr">
        <is>
          <t>No</t>
        </is>
      </c>
      <c r="L1746" t="inlineStr">
        <is>
          <t>0</t>
        </is>
      </c>
      <c r="M1746" t="inlineStr">
        <is>
          <t>Pasquali, Elaine Anne, 1940-</t>
        </is>
      </c>
      <c r="N1746" t="inlineStr">
        <is>
          <t>St. Louis : Mosby, c1989.</t>
        </is>
      </c>
      <c r="O1746" t="inlineStr">
        <is>
          <t>1989</t>
        </is>
      </c>
      <c r="P1746" t="inlineStr">
        <is>
          <t>3rd ed.</t>
        </is>
      </c>
      <c r="Q1746" t="inlineStr">
        <is>
          <t>eng</t>
        </is>
      </c>
      <c r="R1746" t="inlineStr">
        <is>
          <t>xxu</t>
        </is>
      </c>
      <c r="T1746" t="inlineStr">
        <is>
          <t xml:space="preserve">WY </t>
        </is>
      </c>
      <c r="U1746" t="n">
        <v>5</v>
      </c>
      <c r="V1746" t="n">
        <v>5</v>
      </c>
      <c r="W1746" t="inlineStr">
        <is>
          <t>1992-02-21</t>
        </is>
      </c>
      <c r="X1746" t="inlineStr">
        <is>
          <t>1992-02-21</t>
        </is>
      </c>
      <c r="Y1746" t="inlineStr">
        <is>
          <t>1989-08-08</t>
        </is>
      </c>
      <c r="Z1746" t="inlineStr">
        <is>
          <t>1989-08-08</t>
        </is>
      </c>
      <c r="AA1746" t="n">
        <v>249</v>
      </c>
      <c r="AB1746" t="n">
        <v>177</v>
      </c>
      <c r="AC1746" t="n">
        <v>308</v>
      </c>
      <c r="AD1746" t="n">
        <v>2</v>
      </c>
      <c r="AE1746" t="n">
        <v>3</v>
      </c>
      <c r="AF1746" t="n">
        <v>5</v>
      </c>
      <c r="AG1746" t="n">
        <v>11</v>
      </c>
      <c r="AH1746" t="n">
        <v>3</v>
      </c>
      <c r="AI1746" t="n">
        <v>6</v>
      </c>
      <c r="AJ1746" t="n">
        <v>0</v>
      </c>
      <c r="AK1746" t="n">
        <v>1</v>
      </c>
      <c r="AL1746" t="n">
        <v>3</v>
      </c>
      <c r="AM1746" t="n">
        <v>7</v>
      </c>
      <c r="AN1746" t="n">
        <v>0</v>
      </c>
      <c r="AO1746" t="n">
        <v>1</v>
      </c>
      <c r="AP1746" t="n">
        <v>0</v>
      </c>
      <c r="AQ1746" t="n">
        <v>0</v>
      </c>
      <c r="AR1746" t="inlineStr">
        <is>
          <t>No</t>
        </is>
      </c>
      <c r="AS1746" t="inlineStr">
        <is>
          <t>Yes</t>
        </is>
      </c>
      <c r="AT1746">
        <f>HYPERLINK("http://catalog.hathitrust.org/Record/001098817","HathiTrust Record")</f>
        <v/>
      </c>
      <c r="AU1746">
        <f>HYPERLINK("https://creighton-primo.hosted.exlibrisgroup.com/primo-explore/search?tab=default_tab&amp;search_scope=EVERYTHING&amp;vid=01CRU&amp;lang=en_US&amp;offset=0&amp;query=any,contains,991001312839702656","Catalog Record")</f>
        <v/>
      </c>
      <c r="AV1746">
        <f>HYPERLINK("http://www.worldcat.org/oclc/18684310","WorldCat Record")</f>
        <v/>
      </c>
      <c r="AW1746" t="inlineStr">
        <is>
          <t>197351330:eng</t>
        </is>
      </c>
      <c r="AX1746" t="inlineStr">
        <is>
          <t>18684310</t>
        </is>
      </c>
      <c r="AY1746" t="inlineStr">
        <is>
          <t>991001312839702656</t>
        </is>
      </c>
      <c r="AZ1746" t="inlineStr">
        <is>
          <t>991001312839702656</t>
        </is>
      </c>
      <c r="BA1746" t="inlineStr">
        <is>
          <t>2265197700002656</t>
        </is>
      </c>
      <c r="BB1746" t="inlineStr">
        <is>
          <t>BOOK</t>
        </is>
      </c>
      <c r="BD1746" t="inlineStr">
        <is>
          <t>9780801635786</t>
        </is>
      </c>
      <c r="BE1746" t="inlineStr">
        <is>
          <t>30001001751512</t>
        </is>
      </c>
      <c r="BF1746" t="inlineStr">
        <is>
          <t>893451079</t>
        </is>
      </c>
    </row>
    <row r="1747">
      <c r="A1747" t="inlineStr">
        <is>
          <t>No</t>
        </is>
      </c>
      <c r="B1747" t="inlineStr">
        <is>
          <t>CUHSL</t>
        </is>
      </c>
      <c r="C1747" t="inlineStr">
        <is>
          <t>SHELVES</t>
        </is>
      </c>
      <c r="D1747" t="inlineStr">
        <is>
          <t>WY 160 P346p 1977</t>
        </is>
      </c>
      <c r="E1747" t="inlineStr">
        <is>
          <t>0                      WY 0160000P  346p        1977</t>
        </is>
      </c>
      <c r="F1747" t="inlineStr">
        <is>
          <t>Psychiatric mental health nursing / by Dorris B. Payne and Patricia A. Clunn.</t>
        </is>
      </c>
      <c r="H1747" t="inlineStr">
        <is>
          <t>No</t>
        </is>
      </c>
      <c r="I1747" t="inlineStr">
        <is>
          <t>1</t>
        </is>
      </c>
      <c r="J1747" t="inlineStr">
        <is>
          <t>No</t>
        </is>
      </c>
      <c r="K1747" t="inlineStr">
        <is>
          <t>Yes</t>
        </is>
      </c>
      <c r="L1747" t="inlineStr">
        <is>
          <t>0</t>
        </is>
      </c>
      <c r="M1747" t="inlineStr">
        <is>
          <t>Payne, Dorris B.</t>
        </is>
      </c>
      <c r="N1747" t="inlineStr">
        <is>
          <t>Flushing, N.Y. : Medical Examination Pub. Co., 1977.</t>
        </is>
      </c>
      <c r="O1747" t="inlineStr">
        <is>
          <t>1977</t>
        </is>
      </c>
      <c r="P1747" t="inlineStr">
        <is>
          <t>-- 2d ed. --</t>
        </is>
      </c>
      <c r="Q1747" t="inlineStr">
        <is>
          <t>eng</t>
        </is>
      </c>
      <c r="R1747" t="inlineStr">
        <is>
          <t>nyu</t>
        </is>
      </c>
      <c r="S1747" t="inlineStr">
        <is>
          <t>Nursing outline series</t>
        </is>
      </c>
      <c r="T1747" t="inlineStr">
        <is>
          <t xml:space="preserve">WY </t>
        </is>
      </c>
      <c r="U1747" t="n">
        <v>2</v>
      </c>
      <c r="V1747" t="n">
        <v>2</v>
      </c>
      <c r="W1747" t="inlineStr">
        <is>
          <t>1998-10-26</t>
        </is>
      </c>
      <c r="X1747" t="inlineStr">
        <is>
          <t>1998-10-26</t>
        </is>
      </c>
      <c r="Y1747" t="inlineStr">
        <is>
          <t>1987-12-29</t>
        </is>
      </c>
      <c r="Z1747" t="inlineStr">
        <is>
          <t>1987-12-29</t>
        </is>
      </c>
      <c r="AA1747" t="n">
        <v>99</v>
      </c>
      <c r="AB1747" t="n">
        <v>86</v>
      </c>
      <c r="AC1747" t="n">
        <v>202</v>
      </c>
      <c r="AD1747" t="n">
        <v>2</v>
      </c>
      <c r="AE1747" t="n">
        <v>2</v>
      </c>
      <c r="AF1747" t="n">
        <v>4</v>
      </c>
      <c r="AG1747" t="n">
        <v>8</v>
      </c>
      <c r="AH1747" t="n">
        <v>0</v>
      </c>
      <c r="AI1747" t="n">
        <v>3</v>
      </c>
      <c r="AJ1747" t="n">
        <v>1</v>
      </c>
      <c r="AK1747" t="n">
        <v>1</v>
      </c>
      <c r="AL1747" t="n">
        <v>3</v>
      </c>
      <c r="AM1747" t="n">
        <v>6</v>
      </c>
      <c r="AN1747" t="n">
        <v>1</v>
      </c>
      <c r="AO1747" t="n">
        <v>1</v>
      </c>
      <c r="AP1747" t="n">
        <v>0</v>
      </c>
      <c r="AQ1747" t="n">
        <v>0</v>
      </c>
      <c r="AR1747" t="inlineStr">
        <is>
          <t>No</t>
        </is>
      </c>
      <c r="AS1747" t="inlineStr">
        <is>
          <t>Yes</t>
        </is>
      </c>
      <c r="AT1747">
        <f>HYPERLINK("http://catalog.hathitrust.org/Record/000294013","HathiTrust Record")</f>
        <v/>
      </c>
      <c r="AU1747">
        <f>HYPERLINK("https://creighton-primo.hosted.exlibrisgroup.com/primo-explore/search?tab=default_tab&amp;search_scope=EVERYTHING&amp;vid=01CRU&amp;lang=en_US&amp;offset=0&amp;query=any,contains,991000927009702656","Catalog Record")</f>
        <v/>
      </c>
      <c r="AV1747">
        <f>HYPERLINK("http://www.worldcat.org/oclc/3181112","WorldCat Record")</f>
        <v/>
      </c>
      <c r="AW1747" t="inlineStr">
        <is>
          <t>3902574062:eng</t>
        </is>
      </c>
      <c r="AX1747" t="inlineStr">
        <is>
          <t>3181112</t>
        </is>
      </c>
      <c r="AY1747" t="inlineStr">
        <is>
          <t>991000927009702656</t>
        </is>
      </c>
      <c r="AZ1747" t="inlineStr">
        <is>
          <t>991000927009702656</t>
        </is>
      </c>
      <c r="BA1747" t="inlineStr">
        <is>
          <t>2255426810002656</t>
        </is>
      </c>
      <c r="BB1747" t="inlineStr">
        <is>
          <t>BOOK</t>
        </is>
      </c>
      <c r="BD1747" t="inlineStr">
        <is>
          <t>9780874883794</t>
        </is>
      </c>
      <c r="BE1747" t="inlineStr">
        <is>
          <t>30001000183683</t>
        </is>
      </c>
      <c r="BF1747" t="inlineStr">
        <is>
          <t>893284150</t>
        </is>
      </c>
    </row>
    <row r="1748">
      <c r="A1748" t="inlineStr">
        <is>
          <t>No</t>
        </is>
      </c>
      <c r="B1748" t="inlineStr">
        <is>
          <t>CUHSL</t>
        </is>
      </c>
      <c r="C1748" t="inlineStr">
        <is>
          <t>SHELVES</t>
        </is>
      </c>
      <c r="D1748" t="inlineStr">
        <is>
          <t>WY 160 P957 1991</t>
        </is>
      </c>
      <c r="E1748" t="inlineStr">
        <is>
          <t>0                      WY 0160000P  957         1991</t>
        </is>
      </c>
      <c r="F1748" t="inlineStr">
        <is>
          <t>Principles and practice of psychiatric nursing / [edited by] Gail Wiscarz Stuart, Sandra J. Sundeen.</t>
        </is>
      </c>
      <c r="H1748" t="inlineStr">
        <is>
          <t>No</t>
        </is>
      </c>
      <c r="I1748" t="inlineStr">
        <is>
          <t>1</t>
        </is>
      </c>
      <c r="J1748" t="inlineStr">
        <is>
          <t>No</t>
        </is>
      </c>
      <c r="K1748" t="inlineStr">
        <is>
          <t>Yes</t>
        </is>
      </c>
      <c r="L1748" t="inlineStr">
        <is>
          <t>0</t>
        </is>
      </c>
      <c r="N1748" t="inlineStr">
        <is>
          <t>St. Louis : Mosby Year Book, c1991.</t>
        </is>
      </c>
      <c r="O1748" t="inlineStr">
        <is>
          <t>1991</t>
        </is>
      </c>
      <c r="P1748" t="inlineStr">
        <is>
          <t>4th ed.</t>
        </is>
      </c>
      <c r="Q1748" t="inlineStr">
        <is>
          <t>eng</t>
        </is>
      </c>
      <c r="R1748" t="inlineStr">
        <is>
          <t>mou</t>
        </is>
      </c>
      <c r="T1748" t="inlineStr">
        <is>
          <t xml:space="preserve">WY </t>
        </is>
      </c>
      <c r="U1748" t="n">
        <v>10</v>
      </c>
      <c r="V1748" t="n">
        <v>10</v>
      </c>
      <c r="W1748" t="inlineStr">
        <is>
          <t>1995-08-02</t>
        </is>
      </c>
      <c r="X1748" t="inlineStr">
        <is>
          <t>1995-08-02</t>
        </is>
      </c>
      <c r="Y1748" t="inlineStr">
        <is>
          <t>1991-04-23</t>
        </is>
      </c>
      <c r="Z1748" t="inlineStr">
        <is>
          <t>1991-04-23</t>
        </is>
      </c>
      <c r="AA1748" t="n">
        <v>374</v>
      </c>
      <c r="AB1748" t="n">
        <v>297</v>
      </c>
      <c r="AC1748" t="n">
        <v>1144</v>
      </c>
      <c r="AD1748" t="n">
        <v>2</v>
      </c>
      <c r="AE1748" t="n">
        <v>10</v>
      </c>
      <c r="AF1748" t="n">
        <v>4</v>
      </c>
      <c r="AG1748" t="n">
        <v>35</v>
      </c>
      <c r="AH1748" t="n">
        <v>1</v>
      </c>
      <c r="AI1748" t="n">
        <v>13</v>
      </c>
      <c r="AJ1748" t="n">
        <v>1</v>
      </c>
      <c r="AK1748" t="n">
        <v>6</v>
      </c>
      <c r="AL1748" t="n">
        <v>3</v>
      </c>
      <c r="AM1748" t="n">
        <v>14</v>
      </c>
      <c r="AN1748" t="n">
        <v>1</v>
      </c>
      <c r="AO1748" t="n">
        <v>8</v>
      </c>
      <c r="AP1748" t="n">
        <v>0</v>
      </c>
      <c r="AQ1748" t="n">
        <v>0</v>
      </c>
      <c r="AR1748" t="inlineStr">
        <is>
          <t>No</t>
        </is>
      </c>
      <c r="AS1748" t="inlineStr">
        <is>
          <t>Yes</t>
        </is>
      </c>
      <c r="AT1748">
        <f>HYPERLINK("http://catalog.hathitrust.org/Record/002371162","HathiTrust Record")</f>
        <v/>
      </c>
      <c r="AU1748">
        <f>HYPERLINK("https://creighton-primo.hosted.exlibrisgroup.com/primo-explore/search?tab=default_tab&amp;search_scope=EVERYTHING&amp;vid=01CRU&amp;lang=en_US&amp;offset=0&amp;query=any,contains,991000932669702656","Catalog Record")</f>
        <v/>
      </c>
      <c r="AV1748">
        <f>HYPERLINK("http://www.worldcat.org/oclc/22491412","WorldCat Record")</f>
        <v/>
      </c>
      <c r="AW1748" t="inlineStr">
        <is>
          <t>355428659:eng</t>
        </is>
      </c>
      <c r="AX1748" t="inlineStr">
        <is>
          <t>22491412</t>
        </is>
      </c>
      <c r="AY1748" t="inlineStr">
        <is>
          <t>991000932669702656</t>
        </is>
      </c>
      <c r="AZ1748" t="inlineStr">
        <is>
          <t>991000932669702656</t>
        </is>
      </c>
      <c r="BA1748" t="inlineStr">
        <is>
          <t>2255448680002656</t>
        </is>
      </c>
      <c r="BB1748" t="inlineStr">
        <is>
          <t>BOOK</t>
        </is>
      </c>
      <c r="BD1748" t="inlineStr">
        <is>
          <t>9780801658853</t>
        </is>
      </c>
      <c r="BE1748" t="inlineStr">
        <is>
          <t>30001002190116</t>
        </is>
      </c>
      <c r="BF1748" t="inlineStr">
        <is>
          <t>893540838</t>
        </is>
      </c>
    </row>
    <row r="1749">
      <c r="A1749" t="inlineStr">
        <is>
          <t>No</t>
        </is>
      </c>
      <c r="B1749" t="inlineStr">
        <is>
          <t>CUHSL</t>
        </is>
      </c>
      <c r="C1749" t="inlineStr">
        <is>
          <t>SHELVES</t>
        </is>
      </c>
      <c r="D1749" t="inlineStr">
        <is>
          <t>WY 160 P957 1995</t>
        </is>
      </c>
      <c r="E1749" t="inlineStr">
        <is>
          <t>0                      WY 0160000P  957         1995</t>
        </is>
      </c>
      <c r="F1749" t="inlineStr">
        <is>
          <t>Principles &amp; practice of psychiatric nursing / [edited by] Gail Wiscarz Stuart, Sandra J. Sundeen.</t>
        </is>
      </c>
      <c r="H1749" t="inlineStr">
        <is>
          <t>No</t>
        </is>
      </c>
      <c r="I1749" t="inlineStr">
        <is>
          <t>1</t>
        </is>
      </c>
      <c r="J1749" t="inlineStr">
        <is>
          <t>No</t>
        </is>
      </c>
      <c r="K1749" t="inlineStr">
        <is>
          <t>Yes</t>
        </is>
      </c>
      <c r="L1749" t="inlineStr">
        <is>
          <t>0</t>
        </is>
      </c>
      <c r="N1749" t="inlineStr">
        <is>
          <t>St. Louis : Mosby, c1995.</t>
        </is>
      </c>
      <c r="O1749" t="inlineStr">
        <is>
          <t>1995</t>
        </is>
      </c>
      <c r="P1749" t="inlineStr">
        <is>
          <t>5th ed.</t>
        </is>
      </c>
      <c r="Q1749" t="inlineStr">
        <is>
          <t>eng</t>
        </is>
      </c>
      <c r="R1749" t="inlineStr">
        <is>
          <t>mou</t>
        </is>
      </c>
      <c r="T1749" t="inlineStr">
        <is>
          <t xml:space="preserve">WY </t>
        </is>
      </c>
      <c r="U1749" t="n">
        <v>148</v>
      </c>
      <c r="V1749" t="n">
        <v>148</v>
      </c>
      <c r="W1749" t="inlineStr">
        <is>
          <t>1998-10-26</t>
        </is>
      </c>
      <c r="X1749" t="inlineStr">
        <is>
          <t>1998-10-26</t>
        </is>
      </c>
      <c r="Y1749" t="inlineStr">
        <is>
          <t>1996-02-12</t>
        </is>
      </c>
      <c r="Z1749" t="inlineStr">
        <is>
          <t>1996-02-12</t>
        </is>
      </c>
      <c r="AA1749" t="n">
        <v>300</v>
      </c>
      <c r="AB1749" t="n">
        <v>211</v>
      </c>
      <c r="AC1749" t="n">
        <v>1144</v>
      </c>
      <c r="AD1749" t="n">
        <v>3</v>
      </c>
      <c r="AE1749" t="n">
        <v>10</v>
      </c>
      <c r="AF1749" t="n">
        <v>8</v>
      </c>
      <c r="AG1749" t="n">
        <v>35</v>
      </c>
      <c r="AH1749" t="n">
        <v>3</v>
      </c>
      <c r="AI1749" t="n">
        <v>13</v>
      </c>
      <c r="AJ1749" t="n">
        <v>1</v>
      </c>
      <c r="AK1749" t="n">
        <v>6</v>
      </c>
      <c r="AL1749" t="n">
        <v>4</v>
      </c>
      <c r="AM1749" t="n">
        <v>14</v>
      </c>
      <c r="AN1749" t="n">
        <v>1</v>
      </c>
      <c r="AO1749" t="n">
        <v>8</v>
      </c>
      <c r="AP1749" t="n">
        <v>0</v>
      </c>
      <c r="AQ1749" t="n">
        <v>0</v>
      </c>
      <c r="AR1749" t="inlineStr">
        <is>
          <t>No</t>
        </is>
      </c>
      <c r="AS1749" t="inlineStr">
        <is>
          <t>Yes</t>
        </is>
      </c>
      <c r="AT1749">
        <f>HYPERLINK("http://catalog.hathitrust.org/Record/002973110","HathiTrust Record")</f>
        <v/>
      </c>
      <c r="AU1749">
        <f>HYPERLINK("https://creighton-primo.hosted.exlibrisgroup.com/primo-explore/search?tab=default_tab&amp;search_scope=EVERYTHING&amp;vid=01CRU&amp;lang=en_US&amp;offset=0&amp;query=any,contains,991001403379702656","Catalog Record")</f>
        <v/>
      </c>
      <c r="AV1749">
        <f>HYPERLINK("http://www.worldcat.org/oclc/31166821","WorldCat Record")</f>
        <v/>
      </c>
      <c r="AW1749" t="inlineStr">
        <is>
          <t>355428659:eng</t>
        </is>
      </c>
      <c r="AX1749" t="inlineStr">
        <is>
          <t>31166821</t>
        </is>
      </c>
      <c r="AY1749" t="inlineStr">
        <is>
          <t>991001403379702656</t>
        </is>
      </c>
      <c r="AZ1749" t="inlineStr">
        <is>
          <t>991001403379702656</t>
        </is>
      </c>
      <c r="BA1749" t="inlineStr">
        <is>
          <t>2271765720002656</t>
        </is>
      </c>
      <c r="BB1749" t="inlineStr">
        <is>
          <t>BOOK</t>
        </is>
      </c>
      <c r="BD1749" t="inlineStr">
        <is>
          <t>9780801678783</t>
        </is>
      </c>
      <c r="BE1749" t="inlineStr">
        <is>
          <t>30001003263532</t>
        </is>
      </c>
      <c r="BF1749" t="inlineStr">
        <is>
          <t>893546670</t>
        </is>
      </c>
    </row>
    <row r="1750">
      <c r="A1750" t="inlineStr">
        <is>
          <t>No</t>
        </is>
      </c>
      <c r="B1750" t="inlineStr">
        <is>
          <t>CUHSL</t>
        </is>
      </c>
      <c r="C1750" t="inlineStr">
        <is>
          <t>SHELVES</t>
        </is>
      </c>
      <c r="D1750" t="inlineStr">
        <is>
          <t>WY 160 P957Lq 1991</t>
        </is>
      </c>
      <c r="E1750" t="inlineStr">
        <is>
          <t>0                      WY 0160000P  957Lq       1991</t>
        </is>
      </c>
      <c r="F1750" t="inlineStr">
        <is>
          <t>Quick psychopharmacology reference / Michele T. Laraia and Gail W. Stuart.</t>
        </is>
      </c>
      <c r="H1750" t="inlineStr">
        <is>
          <t>No</t>
        </is>
      </c>
      <c r="I1750" t="inlineStr">
        <is>
          <t>1</t>
        </is>
      </c>
      <c r="J1750" t="inlineStr">
        <is>
          <t>No</t>
        </is>
      </c>
      <c r="K1750" t="inlineStr">
        <is>
          <t>No</t>
        </is>
      </c>
      <c r="L1750" t="inlineStr">
        <is>
          <t>0</t>
        </is>
      </c>
      <c r="M1750" t="inlineStr">
        <is>
          <t>Laraia, Michele T.</t>
        </is>
      </c>
      <c r="N1750" t="inlineStr">
        <is>
          <t>St. Louis : Mosby Year Book, c1991.</t>
        </is>
      </c>
      <c r="O1750" t="inlineStr">
        <is>
          <t>1991</t>
        </is>
      </c>
      <c r="Q1750" t="inlineStr">
        <is>
          <t>eng</t>
        </is>
      </c>
      <c r="R1750" t="inlineStr">
        <is>
          <t>mou</t>
        </is>
      </c>
      <c r="T1750" t="inlineStr">
        <is>
          <t xml:space="preserve">WY </t>
        </is>
      </c>
      <c r="U1750" t="n">
        <v>2</v>
      </c>
      <c r="V1750" t="n">
        <v>2</v>
      </c>
      <c r="W1750" t="inlineStr">
        <is>
          <t>1991-04-23</t>
        </is>
      </c>
      <c r="X1750" t="inlineStr">
        <is>
          <t>1991-04-23</t>
        </is>
      </c>
      <c r="Y1750" t="inlineStr">
        <is>
          <t>1991-04-23</t>
        </is>
      </c>
      <c r="Z1750" t="inlineStr">
        <is>
          <t>1991-04-23</t>
        </is>
      </c>
      <c r="AA1750" t="n">
        <v>142</v>
      </c>
      <c r="AB1750" t="n">
        <v>92</v>
      </c>
      <c r="AC1750" t="n">
        <v>165</v>
      </c>
      <c r="AD1750" t="n">
        <v>1</v>
      </c>
      <c r="AE1750" t="n">
        <v>1</v>
      </c>
      <c r="AF1750" t="n">
        <v>3</v>
      </c>
      <c r="AG1750" t="n">
        <v>7</v>
      </c>
      <c r="AH1750" t="n">
        <v>1</v>
      </c>
      <c r="AI1750" t="n">
        <v>3</v>
      </c>
      <c r="AJ1750" t="n">
        <v>0</v>
      </c>
      <c r="AK1750" t="n">
        <v>2</v>
      </c>
      <c r="AL1750" t="n">
        <v>2</v>
      </c>
      <c r="AM1750" t="n">
        <v>2</v>
      </c>
      <c r="AN1750" t="n">
        <v>0</v>
      </c>
      <c r="AO1750" t="n">
        <v>0</v>
      </c>
      <c r="AP1750" t="n">
        <v>0</v>
      </c>
      <c r="AQ1750" t="n">
        <v>0</v>
      </c>
      <c r="AR1750" t="inlineStr">
        <is>
          <t>No</t>
        </is>
      </c>
      <c r="AS1750" t="inlineStr">
        <is>
          <t>Yes</t>
        </is>
      </c>
      <c r="AT1750">
        <f>HYPERLINK("http://catalog.hathitrust.org/Record/002432930","HathiTrust Record")</f>
        <v/>
      </c>
      <c r="AU1750">
        <f>HYPERLINK("https://creighton-primo.hosted.exlibrisgroup.com/primo-explore/search?tab=default_tab&amp;search_scope=EVERYTHING&amp;vid=01CRU&amp;lang=en_US&amp;offset=0&amp;query=any,contains,991000828049702656","Catalog Record")</f>
        <v/>
      </c>
      <c r="AV1750">
        <f>HYPERLINK("http://www.worldcat.org/oclc/24110065","WorldCat Record")</f>
        <v/>
      </c>
      <c r="AW1750" t="inlineStr">
        <is>
          <t>793202141:eng</t>
        </is>
      </c>
      <c r="AX1750" t="inlineStr">
        <is>
          <t>24110065</t>
        </is>
      </c>
      <c r="AY1750" t="inlineStr">
        <is>
          <t>991000828049702656</t>
        </is>
      </c>
      <c r="AZ1750" t="inlineStr">
        <is>
          <t>991000828049702656</t>
        </is>
      </c>
      <c r="BA1750" t="inlineStr">
        <is>
          <t>2268606550002656</t>
        </is>
      </c>
      <c r="BB1750" t="inlineStr">
        <is>
          <t>BOOK</t>
        </is>
      </c>
      <c r="BD1750" t="inlineStr">
        <is>
          <t>9780801627293</t>
        </is>
      </c>
      <c r="BE1750" t="inlineStr">
        <is>
          <t>30001002089870</t>
        </is>
      </c>
      <c r="BF1750" t="inlineStr">
        <is>
          <t>893120497</t>
        </is>
      </c>
    </row>
    <row r="1751">
      <c r="A1751" t="inlineStr">
        <is>
          <t>No</t>
        </is>
      </c>
      <c r="B1751" t="inlineStr">
        <is>
          <t>CUHSL</t>
        </is>
      </c>
      <c r="C1751" t="inlineStr">
        <is>
          <t>SHELVES</t>
        </is>
      </c>
      <c r="D1751" t="inlineStr">
        <is>
          <t>WY160 P9657 2005</t>
        </is>
      </c>
      <c r="E1751" t="inlineStr">
        <is>
          <t>0                      WY 0160000P  9657        2005</t>
        </is>
      </c>
      <c r="F1751" t="inlineStr">
        <is>
          <t>Principles and practice of psychiatric nursing / [edited by] Gail Wiscarz Stuart, Michele T. Laraia.</t>
        </is>
      </c>
      <c r="H1751" t="inlineStr">
        <is>
          <t>No</t>
        </is>
      </c>
      <c r="I1751" t="inlineStr">
        <is>
          <t>1</t>
        </is>
      </c>
      <c r="J1751" t="inlineStr">
        <is>
          <t>No</t>
        </is>
      </c>
      <c r="K1751" t="inlineStr">
        <is>
          <t>Yes</t>
        </is>
      </c>
      <c r="L1751" t="inlineStr">
        <is>
          <t>0</t>
        </is>
      </c>
      <c r="N1751" t="inlineStr">
        <is>
          <t>St. Louis : Elsevier Mosby, c2005.</t>
        </is>
      </c>
      <c r="O1751" t="inlineStr">
        <is>
          <t>2005</t>
        </is>
      </c>
      <c r="P1751" t="inlineStr">
        <is>
          <t>8th ed.</t>
        </is>
      </c>
      <c r="Q1751" t="inlineStr">
        <is>
          <t>eng</t>
        </is>
      </c>
      <c r="R1751" t="inlineStr">
        <is>
          <t>mou</t>
        </is>
      </c>
      <c r="T1751" t="inlineStr">
        <is>
          <t xml:space="preserve">WY </t>
        </is>
      </c>
      <c r="U1751" t="n">
        <v>6</v>
      </c>
      <c r="V1751" t="n">
        <v>6</v>
      </c>
      <c r="W1751" t="inlineStr">
        <is>
          <t>2008-11-13</t>
        </is>
      </c>
      <c r="X1751" t="inlineStr">
        <is>
          <t>2008-11-13</t>
        </is>
      </c>
      <c r="Y1751" t="inlineStr">
        <is>
          <t>2005-08-17</t>
        </is>
      </c>
      <c r="Z1751" t="inlineStr">
        <is>
          <t>2005-08-17</t>
        </is>
      </c>
      <c r="AA1751" t="n">
        <v>439</v>
      </c>
      <c r="AB1751" t="n">
        <v>310</v>
      </c>
      <c r="AC1751" t="n">
        <v>1144</v>
      </c>
      <c r="AD1751" t="n">
        <v>3</v>
      </c>
      <c r="AE1751" t="n">
        <v>10</v>
      </c>
      <c r="AF1751" t="n">
        <v>15</v>
      </c>
      <c r="AG1751" t="n">
        <v>35</v>
      </c>
      <c r="AH1751" t="n">
        <v>6</v>
      </c>
      <c r="AI1751" t="n">
        <v>13</v>
      </c>
      <c r="AJ1751" t="n">
        <v>3</v>
      </c>
      <c r="AK1751" t="n">
        <v>6</v>
      </c>
      <c r="AL1751" t="n">
        <v>7</v>
      </c>
      <c r="AM1751" t="n">
        <v>14</v>
      </c>
      <c r="AN1751" t="n">
        <v>2</v>
      </c>
      <c r="AO1751" t="n">
        <v>8</v>
      </c>
      <c r="AP1751" t="n">
        <v>0</v>
      </c>
      <c r="AQ1751" t="n">
        <v>0</v>
      </c>
      <c r="AR1751" t="inlineStr">
        <is>
          <t>No</t>
        </is>
      </c>
      <c r="AS1751" t="inlineStr">
        <is>
          <t>Yes</t>
        </is>
      </c>
      <c r="AT1751">
        <f>HYPERLINK("http://catalog.hathitrust.org/Record/004925252","HathiTrust Record")</f>
        <v/>
      </c>
      <c r="AU1751">
        <f>HYPERLINK("https://creighton-primo.hosted.exlibrisgroup.com/primo-explore/search?tab=default_tab&amp;search_scope=EVERYTHING&amp;vid=01CRU&amp;lang=en_US&amp;offset=0&amp;query=any,contains,991001734829702656","Catalog Record")</f>
        <v/>
      </c>
      <c r="AV1751">
        <f>HYPERLINK("http://www.worldcat.org/oclc/56995443","WorldCat Record")</f>
        <v/>
      </c>
      <c r="AW1751" t="inlineStr">
        <is>
          <t>355428659:eng</t>
        </is>
      </c>
      <c r="AX1751" t="inlineStr">
        <is>
          <t>56995443</t>
        </is>
      </c>
      <c r="AY1751" t="inlineStr">
        <is>
          <t>991001734829702656</t>
        </is>
      </c>
      <c r="AZ1751" t="inlineStr">
        <is>
          <t>991001734829702656</t>
        </is>
      </c>
      <c r="BA1751" t="inlineStr">
        <is>
          <t>2266585610002656</t>
        </is>
      </c>
      <c r="BB1751" t="inlineStr">
        <is>
          <t>BOOK</t>
        </is>
      </c>
      <c r="BD1751" t="inlineStr">
        <is>
          <t>9780323026086</t>
        </is>
      </c>
      <c r="BE1751" t="inlineStr">
        <is>
          <t>30001004910057</t>
        </is>
      </c>
      <c r="BF1751" t="inlineStr">
        <is>
          <t>893369838</t>
        </is>
      </c>
    </row>
    <row r="1752">
      <c r="A1752" t="inlineStr">
        <is>
          <t>No</t>
        </is>
      </c>
      <c r="B1752" t="inlineStr">
        <is>
          <t>CUHSL</t>
        </is>
      </c>
      <c r="C1752" t="inlineStr">
        <is>
          <t>SHELVES</t>
        </is>
      </c>
      <c r="D1752" t="inlineStr">
        <is>
          <t>WY 160 P9713 1992</t>
        </is>
      </c>
      <c r="E1752" t="inlineStr">
        <is>
          <t>0                      WY 0160000P  9713        1992</t>
        </is>
      </c>
      <c r="F1752" t="inlineStr">
        <is>
          <t>Psychiatric and mental health nursing with children and adolescents / edited by Patricia West, Christina L. Sieloff Evans.</t>
        </is>
      </c>
      <c r="H1752" t="inlineStr">
        <is>
          <t>No</t>
        </is>
      </c>
      <c r="I1752" t="inlineStr">
        <is>
          <t>1</t>
        </is>
      </c>
      <c r="J1752" t="inlineStr">
        <is>
          <t>No</t>
        </is>
      </c>
      <c r="K1752" t="inlineStr">
        <is>
          <t>No</t>
        </is>
      </c>
      <c r="L1752" t="inlineStr">
        <is>
          <t>0</t>
        </is>
      </c>
      <c r="N1752" t="inlineStr">
        <is>
          <t>Gaithersburg, Md. : Aspen Publishers, c1992.</t>
        </is>
      </c>
      <c r="O1752" t="inlineStr">
        <is>
          <t>1992</t>
        </is>
      </c>
      <c r="Q1752" t="inlineStr">
        <is>
          <t>eng</t>
        </is>
      </c>
      <c r="R1752" t="inlineStr">
        <is>
          <t>mdu</t>
        </is>
      </c>
      <c r="T1752" t="inlineStr">
        <is>
          <t xml:space="preserve">WY </t>
        </is>
      </c>
      <c r="U1752" t="n">
        <v>10</v>
      </c>
      <c r="V1752" t="n">
        <v>10</v>
      </c>
      <c r="W1752" t="inlineStr">
        <is>
          <t>2003-06-16</t>
        </is>
      </c>
      <c r="X1752" t="inlineStr">
        <is>
          <t>2003-06-16</t>
        </is>
      </c>
      <c r="Y1752" t="inlineStr">
        <is>
          <t>1993-03-26</t>
        </is>
      </c>
      <c r="Z1752" t="inlineStr">
        <is>
          <t>1993-03-26</t>
        </is>
      </c>
      <c r="AA1752" t="n">
        <v>382</v>
      </c>
      <c r="AB1752" t="n">
        <v>330</v>
      </c>
      <c r="AC1752" t="n">
        <v>337</v>
      </c>
      <c r="AD1752" t="n">
        <v>2</v>
      </c>
      <c r="AE1752" t="n">
        <v>2</v>
      </c>
      <c r="AF1752" t="n">
        <v>15</v>
      </c>
      <c r="AG1752" t="n">
        <v>15</v>
      </c>
      <c r="AH1752" t="n">
        <v>9</v>
      </c>
      <c r="AI1752" t="n">
        <v>9</v>
      </c>
      <c r="AJ1752" t="n">
        <v>3</v>
      </c>
      <c r="AK1752" t="n">
        <v>3</v>
      </c>
      <c r="AL1752" t="n">
        <v>8</v>
      </c>
      <c r="AM1752" t="n">
        <v>8</v>
      </c>
      <c r="AN1752" t="n">
        <v>1</v>
      </c>
      <c r="AO1752" t="n">
        <v>1</v>
      </c>
      <c r="AP1752" t="n">
        <v>0</v>
      </c>
      <c r="AQ1752" t="n">
        <v>0</v>
      </c>
      <c r="AR1752" t="inlineStr">
        <is>
          <t>No</t>
        </is>
      </c>
      <c r="AS1752" t="inlineStr">
        <is>
          <t>Yes</t>
        </is>
      </c>
      <c r="AT1752">
        <f>HYPERLINK("http://catalog.hathitrust.org/Record/002489105","HathiTrust Record")</f>
        <v/>
      </c>
      <c r="AU1752">
        <f>HYPERLINK("https://creighton-primo.hosted.exlibrisgroup.com/primo-explore/search?tab=default_tab&amp;search_scope=EVERYTHING&amp;vid=01CRU&amp;lang=en_US&amp;offset=0&amp;query=any,contains,991001476779702656","Catalog Record")</f>
        <v/>
      </c>
      <c r="AV1752">
        <f>HYPERLINK("http://www.worldcat.org/oclc/24217740","WorldCat Record")</f>
        <v/>
      </c>
      <c r="AW1752" t="inlineStr">
        <is>
          <t>422856639:eng</t>
        </is>
      </c>
      <c r="AX1752" t="inlineStr">
        <is>
          <t>24217740</t>
        </is>
      </c>
      <c r="AY1752" t="inlineStr">
        <is>
          <t>991001476779702656</t>
        </is>
      </c>
      <c r="AZ1752" t="inlineStr">
        <is>
          <t>991001476779702656</t>
        </is>
      </c>
      <c r="BA1752" t="inlineStr">
        <is>
          <t>2269488500002656</t>
        </is>
      </c>
      <c r="BB1752" t="inlineStr">
        <is>
          <t>BOOK</t>
        </is>
      </c>
      <c r="BD1752" t="inlineStr">
        <is>
          <t>9780834202405</t>
        </is>
      </c>
      <c r="BE1752" t="inlineStr">
        <is>
          <t>30001002563551</t>
        </is>
      </c>
      <c r="BF1752" t="inlineStr">
        <is>
          <t>893162042</t>
        </is>
      </c>
    </row>
    <row r="1753">
      <c r="A1753" t="inlineStr">
        <is>
          <t>No</t>
        </is>
      </c>
      <c r="B1753" t="inlineStr">
        <is>
          <t>CUHSL</t>
        </is>
      </c>
      <c r="C1753" t="inlineStr">
        <is>
          <t>SHELVES</t>
        </is>
      </c>
      <c r="D1753" t="inlineStr">
        <is>
          <t>WY 160 P97203 1991</t>
        </is>
      </c>
      <c r="E1753" t="inlineStr">
        <is>
          <t>0                      WY 0160000P  97203       1991</t>
        </is>
      </c>
      <c r="F1753" t="inlineStr">
        <is>
          <t>Psychiatric mental health nursing / Faye Gary, Charlene Kate Kavanagh ; with 27 contributors.</t>
        </is>
      </c>
      <c r="H1753" t="inlineStr">
        <is>
          <t>No</t>
        </is>
      </c>
      <c r="I1753" t="inlineStr">
        <is>
          <t>1</t>
        </is>
      </c>
      <c r="J1753" t="inlineStr">
        <is>
          <t>No</t>
        </is>
      </c>
      <c r="K1753" t="inlineStr">
        <is>
          <t>No</t>
        </is>
      </c>
      <c r="L1753" t="inlineStr">
        <is>
          <t>0</t>
        </is>
      </c>
      <c r="M1753" t="inlineStr">
        <is>
          <t>Gary, Faye.</t>
        </is>
      </c>
      <c r="N1753" t="inlineStr">
        <is>
          <t>Philadelphia : Lippincott, c1991.</t>
        </is>
      </c>
      <c r="O1753" t="inlineStr">
        <is>
          <t>1991</t>
        </is>
      </c>
      <c r="Q1753" t="inlineStr">
        <is>
          <t>eng</t>
        </is>
      </c>
      <c r="R1753" t="inlineStr">
        <is>
          <t>pau</t>
        </is>
      </c>
      <c r="T1753" t="inlineStr">
        <is>
          <t xml:space="preserve">WY </t>
        </is>
      </c>
      <c r="U1753" t="n">
        <v>7</v>
      </c>
      <c r="V1753" t="n">
        <v>7</v>
      </c>
      <c r="W1753" t="inlineStr">
        <is>
          <t>1993-02-24</t>
        </is>
      </c>
      <c r="X1753" t="inlineStr">
        <is>
          <t>1993-02-24</t>
        </is>
      </c>
      <c r="Y1753" t="inlineStr">
        <is>
          <t>1993-02-22</t>
        </is>
      </c>
      <c r="Z1753" t="inlineStr">
        <is>
          <t>1993-02-22</t>
        </is>
      </c>
      <c r="AA1753" t="n">
        <v>190</v>
      </c>
      <c r="AB1753" t="n">
        <v>153</v>
      </c>
      <c r="AC1753" t="n">
        <v>156</v>
      </c>
      <c r="AD1753" t="n">
        <v>1</v>
      </c>
      <c r="AE1753" t="n">
        <v>1</v>
      </c>
      <c r="AF1753" t="n">
        <v>6</v>
      </c>
      <c r="AG1753" t="n">
        <v>6</v>
      </c>
      <c r="AH1753" t="n">
        <v>3</v>
      </c>
      <c r="AI1753" t="n">
        <v>3</v>
      </c>
      <c r="AJ1753" t="n">
        <v>1</v>
      </c>
      <c r="AK1753" t="n">
        <v>1</v>
      </c>
      <c r="AL1753" t="n">
        <v>4</v>
      </c>
      <c r="AM1753" t="n">
        <v>4</v>
      </c>
      <c r="AN1753" t="n">
        <v>0</v>
      </c>
      <c r="AO1753" t="n">
        <v>0</v>
      </c>
      <c r="AP1753" t="n">
        <v>0</v>
      </c>
      <c r="AQ1753" t="n">
        <v>0</v>
      </c>
      <c r="AR1753" t="inlineStr">
        <is>
          <t>No</t>
        </is>
      </c>
      <c r="AS1753" t="inlineStr">
        <is>
          <t>Yes</t>
        </is>
      </c>
      <c r="AT1753">
        <f>HYPERLINK("http://catalog.hathitrust.org/Record/002525125","HathiTrust Record")</f>
        <v/>
      </c>
      <c r="AU1753">
        <f>HYPERLINK("https://creighton-primo.hosted.exlibrisgroup.com/primo-explore/search?tab=default_tab&amp;search_scope=EVERYTHING&amp;vid=01CRU&amp;lang=en_US&amp;offset=0&amp;query=any,contains,991001429909702656","Catalog Record")</f>
        <v/>
      </c>
      <c r="AV1753">
        <f>HYPERLINK("http://www.worldcat.org/oclc/21558921","WorldCat Record")</f>
        <v/>
      </c>
      <c r="AW1753" t="inlineStr">
        <is>
          <t>22961701:eng</t>
        </is>
      </c>
      <c r="AX1753" t="inlineStr">
        <is>
          <t>21558921</t>
        </is>
      </c>
      <c r="AY1753" t="inlineStr">
        <is>
          <t>991001429909702656</t>
        </is>
      </c>
      <c r="AZ1753" t="inlineStr">
        <is>
          <t>991001429909702656</t>
        </is>
      </c>
      <c r="BA1753" t="inlineStr">
        <is>
          <t>2271592400002656</t>
        </is>
      </c>
      <c r="BB1753" t="inlineStr">
        <is>
          <t>BOOK</t>
        </is>
      </c>
      <c r="BD1753" t="inlineStr">
        <is>
          <t>9780397548521</t>
        </is>
      </c>
      <c r="BE1753" t="inlineStr">
        <is>
          <t>30001002528620</t>
        </is>
      </c>
      <c r="BF1753" t="inlineStr">
        <is>
          <t>893377242</t>
        </is>
      </c>
    </row>
    <row r="1754">
      <c r="A1754" t="inlineStr">
        <is>
          <t>No</t>
        </is>
      </c>
      <c r="B1754" t="inlineStr">
        <is>
          <t>CUHSL</t>
        </is>
      </c>
      <c r="C1754" t="inlineStr">
        <is>
          <t>SHELVES</t>
        </is>
      </c>
      <c r="D1754" t="inlineStr">
        <is>
          <t>WY 160 P972035 2004</t>
        </is>
      </c>
      <c r="E1754" t="inlineStr">
        <is>
          <t>0                      WY 0160000P  972035      2004</t>
        </is>
      </c>
      <c r="F1754" t="inlineStr">
        <is>
          <t>Psychiatric mental health nursing / [edited by] Katherine M. Fortinash, Patricia A. Holoday Worret.</t>
        </is>
      </c>
      <c r="H1754" t="inlineStr">
        <is>
          <t>No</t>
        </is>
      </c>
      <c r="I1754" t="inlineStr">
        <is>
          <t>1</t>
        </is>
      </c>
      <c r="J1754" t="inlineStr">
        <is>
          <t>No</t>
        </is>
      </c>
      <c r="K1754" t="inlineStr">
        <is>
          <t>Yes</t>
        </is>
      </c>
      <c r="L1754" t="inlineStr">
        <is>
          <t>0</t>
        </is>
      </c>
      <c r="N1754" t="inlineStr">
        <is>
          <t>St. Louis, Mo. : Mosby, c2004.</t>
        </is>
      </c>
      <c r="O1754" t="inlineStr">
        <is>
          <t>2004</t>
        </is>
      </c>
      <c r="P1754" t="inlineStr">
        <is>
          <t>3rd ed.</t>
        </is>
      </c>
      <c r="Q1754" t="inlineStr">
        <is>
          <t>eng</t>
        </is>
      </c>
      <c r="R1754" t="inlineStr">
        <is>
          <t>mou</t>
        </is>
      </c>
      <c r="T1754" t="inlineStr">
        <is>
          <t xml:space="preserve">WY </t>
        </is>
      </c>
      <c r="U1754" t="n">
        <v>0</v>
      </c>
      <c r="V1754" t="n">
        <v>0</v>
      </c>
      <c r="W1754" t="inlineStr">
        <is>
          <t>2004-09-30</t>
        </is>
      </c>
      <c r="X1754" t="inlineStr">
        <is>
          <t>2004-09-30</t>
        </is>
      </c>
      <c r="Y1754" t="inlineStr">
        <is>
          <t>2004-09-24</t>
        </is>
      </c>
      <c r="Z1754" t="inlineStr">
        <is>
          <t>2004-09-24</t>
        </is>
      </c>
      <c r="AA1754" t="n">
        <v>333</v>
      </c>
      <c r="AB1754" t="n">
        <v>230</v>
      </c>
      <c r="AC1754" t="n">
        <v>633</v>
      </c>
      <c r="AD1754" t="n">
        <v>1</v>
      </c>
      <c r="AE1754" t="n">
        <v>3</v>
      </c>
      <c r="AF1754" t="n">
        <v>3</v>
      </c>
      <c r="AG1754" t="n">
        <v>14</v>
      </c>
      <c r="AH1754" t="n">
        <v>1</v>
      </c>
      <c r="AI1754" t="n">
        <v>4</v>
      </c>
      <c r="AJ1754" t="n">
        <v>1</v>
      </c>
      <c r="AK1754" t="n">
        <v>4</v>
      </c>
      <c r="AL1754" t="n">
        <v>2</v>
      </c>
      <c r="AM1754" t="n">
        <v>8</v>
      </c>
      <c r="AN1754" t="n">
        <v>0</v>
      </c>
      <c r="AO1754" t="n">
        <v>0</v>
      </c>
      <c r="AP1754" t="n">
        <v>0</v>
      </c>
      <c r="AQ1754" t="n">
        <v>0</v>
      </c>
      <c r="AR1754" t="inlineStr">
        <is>
          <t>No</t>
        </is>
      </c>
      <c r="AS1754" t="inlineStr">
        <is>
          <t>Yes</t>
        </is>
      </c>
      <c r="AT1754">
        <f>HYPERLINK("http://catalog.hathitrust.org/Record/004352415","HathiTrust Record")</f>
        <v/>
      </c>
      <c r="AU1754">
        <f>HYPERLINK("https://creighton-primo.hosted.exlibrisgroup.com/primo-explore/search?tab=default_tab&amp;search_scope=EVERYTHING&amp;vid=01CRU&amp;lang=en_US&amp;offset=0&amp;query=any,contains,991001730059702656","Catalog Record")</f>
        <v/>
      </c>
      <c r="AV1754">
        <f>HYPERLINK("http://www.worldcat.org/oclc/52623323","WorldCat Record")</f>
        <v/>
      </c>
      <c r="AW1754" t="inlineStr">
        <is>
          <t>351409101:eng</t>
        </is>
      </c>
      <c r="AX1754" t="inlineStr">
        <is>
          <t>52623323</t>
        </is>
      </c>
      <c r="AY1754" t="inlineStr">
        <is>
          <t>991001730059702656</t>
        </is>
      </c>
      <c r="AZ1754" t="inlineStr">
        <is>
          <t>991001730059702656</t>
        </is>
      </c>
      <c r="BA1754" t="inlineStr">
        <is>
          <t>2270871890002656</t>
        </is>
      </c>
      <c r="BB1754" t="inlineStr">
        <is>
          <t>BOOK</t>
        </is>
      </c>
      <c r="BD1754" t="inlineStr">
        <is>
          <t>9780323020114</t>
        </is>
      </c>
      <c r="BE1754" t="inlineStr">
        <is>
          <t>30001004923498</t>
        </is>
      </c>
      <c r="BF1754" t="inlineStr">
        <is>
          <t>893832483</t>
        </is>
      </c>
    </row>
    <row r="1755">
      <c r="A1755" t="inlineStr">
        <is>
          <t>No</t>
        </is>
      </c>
      <c r="B1755" t="inlineStr">
        <is>
          <t>CUHSL</t>
        </is>
      </c>
      <c r="C1755" t="inlineStr">
        <is>
          <t>SHELVES</t>
        </is>
      </c>
      <c r="D1755" t="inlineStr">
        <is>
          <t>WY 160 P9726 1998</t>
        </is>
      </c>
      <c r="E1755" t="inlineStr">
        <is>
          <t>0                      WY 0160000P  9726        1998</t>
        </is>
      </c>
      <c r="F1755" t="inlineStr">
        <is>
          <t>Psychiatric nursing : contemporary practice / [edited by] Mary Ann Boyd, Mary Ann Nihart.</t>
        </is>
      </c>
      <c r="H1755" t="inlineStr">
        <is>
          <t>No</t>
        </is>
      </c>
      <c r="I1755" t="inlineStr">
        <is>
          <t>1</t>
        </is>
      </c>
      <c r="J1755" t="inlineStr">
        <is>
          <t>No</t>
        </is>
      </c>
      <c r="K1755" t="inlineStr">
        <is>
          <t>Yes</t>
        </is>
      </c>
      <c r="L1755" t="inlineStr">
        <is>
          <t>0</t>
        </is>
      </c>
      <c r="N1755" t="inlineStr">
        <is>
          <t>Philadelphia : Lippincott, c1998.</t>
        </is>
      </c>
      <c r="O1755" t="inlineStr">
        <is>
          <t>1998</t>
        </is>
      </c>
      <c r="Q1755" t="inlineStr">
        <is>
          <t>eng</t>
        </is>
      </c>
      <c r="R1755" t="inlineStr">
        <is>
          <t>pau</t>
        </is>
      </c>
      <c r="T1755" t="inlineStr">
        <is>
          <t xml:space="preserve">WY </t>
        </is>
      </c>
      <c r="U1755" t="n">
        <v>2</v>
      </c>
      <c r="V1755" t="n">
        <v>2</v>
      </c>
      <c r="W1755" t="inlineStr">
        <is>
          <t>1999-11-02</t>
        </is>
      </c>
      <c r="X1755" t="inlineStr">
        <is>
          <t>1999-11-02</t>
        </is>
      </c>
      <c r="Y1755" t="inlineStr">
        <is>
          <t>1999-11-02</t>
        </is>
      </c>
      <c r="Z1755" t="inlineStr">
        <is>
          <t>1999-11-02</t>
        </is>
      </c>
      <c r="AA1755" t="n">
        <v>184</v>
      </c>
      <c r="AB1755" t="n">
        <v>126</v>
      </c>
      <c r="AC1755" t="n">
        <v>718</v>
      </c>
      <c r="AD1755" t="n">
        <v>1</v>
      </c>
      <c r="AE1755" t="n">
        <v>5</v>
      </c>
      <c r="AF1755" t="n">
        <v>3</v>
      </c>
      <c r="AG1755" t="n">
        <v>22</v>
      </c>
      <c r="AH1755" t="n">
        <v>1</v>
      </c>
      <c r="AI1755" t="n">
        <v>8</v>
      </c>
      <c r="AJ1755" t="n">
        <v>1</v>
      </c>
      <c r="AK1755" t="n">
        <v>3</v>
      </c>
      <c r="AL1755" t="n">
        <v>2</v>
      </c>
      <c r="AM1755" t="n">
        <v>9</v>
      </c>
      <c r="AN1755" t="n">
        <v>0</v>
      </c>
      <c r="AO1755" t="n">
        <v>4</v>
      </c>
      <c r="AP1755" t="n">
        <v>0</v>
      </c>
      <c r="AQ1755" t="n">
        <v>0</v>
      </c>
      <c r="AR1755" t="inlineStr">
        <is>
          <t>No</t>
        </is>
      </c>
      <c r="AS1755" t="inlineStr">
        <is>
          <t>No</t>
        </is>
      </c>
      <c r="AU1755">
        <f>HYPERLINK("https://creighton-primo.hosted.exlibrisgroup.com/primo-explore/search?tab=default_tab&amp;search_scope=EVERYTHING&amp;vid=01CRU&amp;lang=en_US&amp;offset=0&amp;query=any,contains,991000598159702656","Catalog Record")</f>
        <v/>
      </c>
      <c r="AV1755">
        <f>HYPERLINK("http://www.worldcat.org/oclc/37410530","WorldCat Record")</f>
        <v/>
      </c>
      <c r="AW1755" t="inlineStr">
        <is>
          <t>195022952:eng</t>
        </is>
      </c>
      <c r="AX1755" t="inlineStr">
        <is>
          <t>37410530</t>
        </is>
      </c>
      <c r="AY1755" t="inlineStr">
        <is>
          <t>991000598159702656</t>
        </is>
      </c>
      <c r="AZ1755" t="inlineStr">
        <is>
          <t>991000598159702656</t>
        </is>
      </c>
      <c r="BA1755" t="inlineStr">
        <is>
          <t>2266406040002656</t>
        </is>
      </c>
      <c r="BB1755" t="inlineStr">
        <is>
          <t>BOOK</t>
        </is>
      </c>
      <c r="BD1755" t="inlineStr">
        <is>
          <t>9780397551781</t>
        </is>
      </c>
      <c r="BE1755" t="inlineStr">
        <is>
          <t>30001004015824</t>
        </is>
      </c>
      <c r="BF1755" t="inlineStr">
        <is>
          <t>893636702</t>
        </is>
      </c>
    </row>
    <row r="1756">
      <c r="A1756" t="inlineStr">
        <is>
          <t>No</t>
        </is>
      </c>
      <c r="B1756" t="inlineStr">
        <is>
          <t>CUHSL</t>
        </is>
      </c>
      <c r="C1756" t="inlineStr">
        <is>
          <t>SHELVES</t>
        </is>
      </c>
      <c r="D1756" t="inlineStr">
        <is>
          <t>WY160 P9726 2002</t>
        </is>
      </c>
      <c r="E1756" t="inlineStr">
        <is>
          <t>0                      WY 0160000P  9726        2002</t>
        </is>
      </c>
      <c r="F1756" t="inlineStr">
        <is>
          <t>Psychiatric nursing : contemporary practice / [edited by] Mary Ann Boyd.</t>
        </is>
      </c>
      <c r="H1756" t="inlineStr">
        <is>
          <t>No</t>
        </is>
      </c>
      <c r="I1756" t="inlineStr">
        <is>
          <t>1</t>
        </is>
      </c>
      <c r="J1756" t="inlineStr">
        <is>
          <t>No</t>
        </is>
      </c>
      <c r="K1756" t="inlineStr">
        <is>
          <t>Yes</t>
        </is>
      </c>
      <c r="L1756" t="inlineStr">
        <is>
          <t>0</t>
        </is>
      </c>
      <c r="N1756" t="inlineStr">
        <is>
          <t>Philadelphia : Lippincott, c2002.</t>
        </is>
      </c>
      <c r="O1756" t="inlineStr">
        <is>
          <t>2002</t>
        </is>
      </c>
      <c r="P1756" t="inlineStr">
        <is>
          <t>2nd ed.</t>
        </is>
      </c>
      <c r="Q1756" t="inlineStr">
        <is>
          <t>eng</t>
        </is>
      </c>
      <c r="R1756" t="inlineStr">
        <is>
          <t>pau</t>
        </is>
      </c>
      <c r="T1756" t="inlineStr">
        <is>
          <t xml:space="preserve">WY </t>
        </is>
      </c>
      <c r="U1756" t="n">
        <v>0</v>
      </c>
      <c r="V1756" t="n">
        <v>0</v>
      </c>
      <c r="W1756" t="inlineStr">
        <is>
          <t>2003-07-07</t>
        </is>
      </c>
      <c r="X1756" t="inlineStr">
        <is>
          <t>2003-07-07</t>
        </is>
      </c>
      <c r="Y1756" t="inlineStr">
        <is>
          <t>2003-06-06</t>
        </is>
      </c>
      <c r="Z1756" t="inlineStr">
        <is>
          <t>2003-06-06</t>
        </is>
      </c>
      <c r="AA1756" t="n">
        <v>204</v>
      </c>
      <c r="AB1756" t="n">
        <v>146</v>
      </c>
      <c r="AC1756" t="n">
        <v>718</v>
      </c>
      <c r="AD1756" t="n">
        <v>1</v>
      </c>
      <c r="AE1756" t="n">
        <v>5</v>
      </c>
      <c r="AF1756" t="n">
        <v>6</v>
      </c>
      <c r="AG1756" t="n">
        <v>22</v>
      </c>
      <c r="AH1756" t="n">
        <v>2</v>
      </c>
      <c r="AI1756" t="n">
        <v>8</v>
      </c>
      <c r="AJ1756" t="n">
        <v>1</v>
      </c>
      <c r="AK1756" t="n">
        <v>3</v>
      </c>
      <c r="AL1756" t="n">
        <v>4</v>
      </c>
      <c r="AM1756" t="n">
        <v>9</v>
      </c>
      <c r="AN1756" t="n">
        <v>0</v>
      </c>
      <c r="AO1756" t="n">
        <v>4</v>
      </c>
      <c r="AP1756" t="n">
        <v>0</v>
      </c>
      <c r="AQ1756" t="n">
        <v>0</v>
      </c>
      <c r="AR1756" t="inlineStr">
        <is>
          <t>No</t>
        </is>
      </c>
      <c r="AS1756" t="inlineStr">
        <is>
          <t>Yes</t>
        </is>
      </c>
      <c r="AT1756">
        <f>HYPERLINK("http://catalog.hathitrust.org/Record/004212943","HathiTrust Record")</f>
        <v/>
      </c>
      <c r="AU1756">
        <f>HYPERLINK("https://creighton-primo.hosted.exlibrisgroup.com/primo-explore/search?tab=default_tab&amp;search_scope=EVERYTHING&amp;vid=01CRU&amp;lang=en_US&amp;offset=0&amp;query=any,contains,991000349309702656","Catalog Record")</f>
        <v/>
      </c>
      <c r="AV1756">
        <f>HYPERLINK("http://www.worldcat.org/oclc/47137286","WorldCat Record")</f>
        <v/>
      </c>
      <c r="AW1756" t="inlineStr">
        <is>
          <t>195022952:eng</t>
        </is>
      </c>
      <c r="AX1756" t="inlineStr">
        <is>
          <t>47137286</t>
        </is>
      </c>
      <c r="AY1756" t="inlineStr">
        <is>
          <t>991000349309702656</t>
        </is>
      </c>
      <c r="AZ1756" t="inlineStr">
        <is>
          <t>991000349309702656</t>
        </is>
      </c>
      <c r="BA1756" t="inlineStr">
        <is>
          <t>2267064770002656</t>
        </is>
      </c>
      <c r="BB1756" t="inlineStr">
        <is>
          <t>BOOK</t>
        </is>
      </c>
      <c r="BD1756" t="inlineStr">
        <is>
          <t>9780781728461</t>
        </is>
      </c>
      <c r="BE1756" t="inlineStr">
        <is>
          <t>30001004501393</t>
        </is>
      </c>
      <c r="BF1756" t="inlineStr">
        <is>
          <t>893456627</t>
        </is>
      </c>
    </row>
    <row r="1757">
      <c r="A1757" t="inlineStr">
        <is>
          <t>No</t>
        </is>
      </c>
      <c r="B1757" t="inlineStr">
        <is>
          <t>CUHSL</t>
        </is>
      </c>
      <c r="C1757" t="inlineStr">
        <is>
          <t>SHELVES</t>
        </is>
      </c>
      <c r="D1757" t="inlineStr">
        <is>
          <t>WY160 P9726 2005</t>
        </is>
      </c>
      <c r="E1757" t="inlineStr">
        <is>
          <t>0                      WY 0160000P  9726        2005</t>
        </is>
      </c>
      <c r="F1757" t="inlineStr">
        <is>
          <t>Psychiatric nursing : contemporary practice / [edited by] Mary Ann Boyd.</t>
        </is>
      </c>
      <c r="H1757" t="inlineStr">
        <is>
          <t>No</t>
        </is>
      </c>
      <c r="I1757" t="inlineStr">
        <is>
          <t>1</t>
        </is>
      </c>
      <c r="J1757" t="inlineStr">
        <is>
          <t>No</t>
        </is>
      </c>
      <c r="K1757" t="inlineStr">
        <is>
          <t>Yes</t>
        </is>
      </c>
      <c r="L1757" t="inlineStr">
        <is>
          <t>0</t>
        </is>
      </c>
      <c r="N1757" t="inlineStr">
        <is>
          <t>Philadelphia : Lippincott Williams &amp; Wilkins, c2005.</t>
        </is>
      </c>
      <c r="O1757" t="inlineStr">
        <is>
          <t>2005</t>
        </is>
      </c>
      <c r="P1757" t="inlineStr">
        <is>
          <t>3rd ed.</t>
        </is>
      </c>
      <c r="Q1757" t="inlineStr">
        <is>
          <t>eng</t>
        </is>
      </c>
      <c r="R1757" t="inlineStr">
        <is>
          <t>pau</t>
        </is>
      </c>
      <c r="T1757" t="inlineStr">
        <is>
          <t xml:space="preserve">WY </t>
        </is>
      </c>
      <c r="U1757" t="n">
        <v>2</v>
      </c>
      <c r="V1757" t="n">
        <v>2</v>
      </c>
      <c r="W1757" t="inlineStr">
        <is>
          <t>2004-09-20</t>
        </is>
      </c>
      <c r="X1757" t="inlineStr">
        <is>
          <t>2004-09-20</t>
        </is>
      </c>
      <c r="Y1757" t="inlineStr">
        <is>
          <t>2004-09-17</t>
        </is>
      </c>
      <c r="Z1757" t="inlineStr">
        <is>
          <t>2004-09-17</t>
        </is>
      </c>
      <c r="AA1757" t="n">
        <v>306</v>
      </c>
      <c r="AB1757" t="n">
        <v>223</v>
      </c>
      <c r="AC1757" t="n">
        <v>718</v>
      </c>
      <c r="AD1757" t="n">
        <v>1</v>
      </c>
      <c r="AE1757" t="n">
        <v>5</v>
      </c>
      <c r="AF1757" t="n">
        <v>9</v>
      </c>
      <c r="AG1757" t="n">
        <v>22</v>
      </c>
      <c r="AH1757" t="n">
        <v>5</v>
      </c>
      <c r="AI1757" t="n">
        <v>8</v>
      </c>
      <c r="AJ1757" t="n">
        <v>2</v>
      </c>
      <c r="AK1757" t="n">
        <v>3</v>
      </c>
      <c r="AL1757" t="n">
        <v>4</v>
      </c>
      <c r="AM1757" t="n">
        <v>9</v>
      </c>
      <c r="AN1757" t="n">
        <v>0</v>
      </c>
      <c r="AO1757" t="n">
        <v>4</v>
      </c>
      <c r="AP1757" t="n">
        <v>0</v>
      </c>
      <c r="AQ1757" t="n">
        <v>0</v>
      </c>
      <c r="AR1757" t="inlineStr">
        <is>
          <t>No</t>
        </is>
      </c>
      <c r="AS1757" t="inlineStr">
        <is>
          <t>No</t>
        </is>
      </c>
      <c r="AU1757">
        <f>HYPERLINK("https://creighton-primo.hosted.exlibrisgroup.com/primo-explore/search?tab=default_tab&amp;search_scope=EVERYTHING&amp;vid=01CRU&amp;lang=en_US&amp;offset=0&amp;query=any,contains,991000392979702656","Catalog Record")</f>
        <v/>
      </c>
      <c r="AV1757">
        <f>HYPERLINK("http://www.worldcat.org/oclc/55055705","WorldCat Record")</f>
        <v/>
      </c>
      <c r="AW1757" t="inlineStr">
        <is>
          <t>195022952:eng</t>
        </is>
      </c>
      <c r="AX1757" t="inlineStr">
        <is>
          <t>55055705</t>
        </is>
      </c>
      <c r="AY1757" t="inlineStr">
        <is>
          <t>991000392979702656</t>
        </is>
      </c>
      <c r="AZ1757" t="inlineStr">
        <is>
          <t>991000392979702656</t>
        </is>
      </c>
      <c r="BA1757" t="inlineStr">
        <is>
          <t>2265058640002656</t>
        </is>
      </c>
      <c r="BB1757" t="inlineStr">
        <is>
          <t>BOOK</t>
        </is>
      </c>
      <c r="BD1757" t="inlineStr">
        <is>
          <t>9780781749169</t>
        </is>
      </c>
      <c r="BE1757" t="inlineStr">
        <is>
          <t>30001004922888</t>
        </is>
      </c>
      <c r="BF1757" t="inlineStr">
        <is>
          <t>893136792</t>
        </is>
      </c>
    </row>
    <row r="1758">
      <c r="A1758" t="inlineStr">
        <is>
          <t>No</t>
        </is>
      </c>
      <c r="B1758" t="inlineStr">
        <is>
          <t>CUHSL</t>
        </is>
      </c>
      <c r="C1758" t="inlineStr">
        <is>
          <t>SHELVES</t>
        </is>
      </c>
      <c r="D1758" t="inlineStr">
        <is>
          <t>WY 160 R917a 1984</t>
        </is>
      </c>
      <c r="E1758" t="inlineStr">
        <is>
          <t>0                      WY 0160000R  917a        1984</t>
        </is>
      </c>
      <c r="F1758" t="inlineStr">
        <is>
          <t>Advanced neurological and neurosurgical nursing / Ellen B. Rudy.</t>
        </is>
      </c>
      <c r="H1758" t="inlineStr">
        <is>
          <t>No</t>
        </is>
      </c>
      <c r="I1758" t="inlineStr">
        <is>
          <t>1</t>
        </is>
      </c>
      <c r="J1758" t="inlineStr">
        <is>
          <t>No</t>
        </is>
      </c>
      <c r="K1758" t="inlineStr">
        <is>
          <t>No</t>
        </is>
      </c>
      <c r="L1758" t="inlineStr">
        <is>
          <t>0</t>
        </is>
      </c>
      <c r="M1758" t="inlineStr">
        <is>
          <t>Rudy, Ellen B.</t>
        </is>
      </c>
      <c r="N1758" t="inlineStr">
        <is>
          <t>St. Louis : Mosby, c1984.</t>
        </is>
      </c>
      <c r="O1758" t="inlineStr">
        <is>
          <t>1984</t>
        </is>
      </c>
      <c r="Q1758" t="inlineStr">
        <is>
          <t>eng</t>
        </is>
      </c>
      <c r="R1758" t="inlineStr">
        <is>
          <t>xxu</t>
        </is>
      </c>
      <c r="T1758" t="inlineStr">
        <is>
          <t xml:space="preserve">WY </t>
        </is>
      </c>
      <c r="U1758" t="n">
        <v>5</v>
      </c>
      <c r="V1758" t="n">
        <v>5</v>
      </c>
      <c r="W1758" t="inlineStr">
        <is>
          <t>1997-04-08</t>
        </is>
      </c>
      <c r="X1758" t="inlineStr">
        <is>
          <t>1997-04-08</t>
        </is>
      </c>
      <c r="Y1758" t="inlineStr">
        <is>
          <t>1987-12-29</t>
        </is>
      </c>
      <c r="Z1758" t="inlineStr">
        <is>
          <t>1987-12-29</t>
        </is>
      </c>
      <c r="AA1758" t="n">
        <v>249</v>
      </c>
      <c r="AB1758" t="n">
        <v>213</v>
      </c>
      <c r="AC1758" t="n">
        <v>220</v>
      </c>
      <c r="AD1758" t="n">
        <v>2</v>
      </c>
      <c r="AE1758" t="n">
        <v>2</v>
      </c>
      <c r="AF1758" t="n">
        <v>6</v>
      </c>
      <c r="AG1758" t="n">
        <v>6</v>
      </c>
      <c r="AH1758" t="n">
        <v>4</v>
      </c>
      <c r="AI1758" t="n">
        <v>4</v>
      </c>
      <c r="AJ1758" t="n">
        <v>1</v>
      </c>
      <c r="AK1758" t="n">
        <v>1</v>
      </c>
      <c r="AL1758" t="n">
        <v>2</v>
      </c>
      <c r="AM1758" t="n">
        <v>2</v>
      </c>
      <c r="AN1758" t="n">
        <v>1</v>
      </c>
      <c r="AO1758" t="n">
        <v>1</v>
      </c>
      <c r="AP1758" t="n">
        <v>0</v>
      </c>
      <c r="AQ1758" t="n">
        <v>0</v>
      </c>
      <c r="AR1758" t="inlineStr">
        <is>
          <t>No</t>
        </is>
      </c>
      <c r="AS1758" t="inlineStr">
        <is>
          <t>Yes</t>
        </is>
      </c>
      <c r="AT1758">
        <f>HYPERLINK("http://catalog.hathitrust.org/Record/000285124","HathiTrust Record")</f>
        <v/>
      </c>
      <c r="AU1758">
        <f>HYPERLINK("https://creighton-primo.hosted.exlibrisgroup.com/primo-explore/search?tab=default_tab&amp;search_scope=EVERYTHING&amp;vid=01CRU&amp;lang=en_US&amp;offset=0&amp;query=any,contains,991000927289702656","Catalog Record")</f>
        <v/>
      </c>
      <c r="AV1758">
        <f>HYPERLINK("http://www.worldcat.org/oclc/9686432","WorldCat Record")</f>
        <v/>
      </c>
      <c r="AW1758" t="inlineStr">
        <is>
          <t>43780199:eng</t>
        </is>
      </c>
      <c r="AX1758" t="inlineStr">
        <is>
          <t>9686432</t>
        </is>
      </c>
      <c r="AY1758" t="inlineStr">
        <is>
          <t>991000927289702656</t>
        </is>
      </c>
      <c r="AZ1758" t="inlineStr">
        <is>
          <t>991000927289702656</t>
        </is>
      </c>
      <c r="BA1758" t="inlineStr">
        <is>
          <t>2269545000002656</t>
        </is>
      </c>
      <c r="BB1758" t="inlineStr">
        <is>
          <t>BOOK</t>
        </is>
      </c>
      <c r="BD1758" t="inlineStr">
        <is>
          <t>9780801642241</t>
        </is>
      </c>
      <c r="BE1758" t="inlineStr">
        <is>
          <t>30001000183790</t>
        </is>
      </c>
      <c r="BF1758" t="inlineStr">
        <is>
          <t>893831759</t>
        </is>
      </c>
    </row>
    <row r="1759">
      <c r="A1759" t="inlineStr">
        <is>
          <t>No</t>
        </is>
      </c>
      <c r="B1759" t="inlineStr">
        <is>
          <t>CUHSL</t>
        </is>
      </c>
      <c r="C1759" t="inlineStr">
        <is>
          <t>SHELVES</t>
        </is>
      </c>
      <c r="D1759" t="inlineStr">
        <is>
          <t>WY 160 S558b 1998</t>
        </is>
      </c>
      <c r="E1759" t="inlineStr">
        <is>
          <t>0                      WY 0160000S  558b        1998</t>
        </is>
      </c>
      <c r="F1759" t="inlineStr">
        <is>
          <t>Basic concepts of psychiatric-mental health nursing / Louis Rebraca Shives.</t>
        </is>
      </c>
      <c r="H1759" t="inlineStr">
        <is>
          <t>No</t>
        </is>
      </c>
      <c r="I1759" t="inlineStr">
        <is>
          <t>1</t>
        </is>
      </c>
      <c r="J1759" t="inlineStr">
        <is>
          <t>No</t>
        </is>
      </c>
      <c r="K1759" t="inlineStr">
        <is>
          <t>Yes</t>
        </is>
      </c>
      <c r="L1759" t="inlineStr">
        <is>
          <t>0</t>
        </is>
      </c>
      <c r="M1759" t="inlineStr">
        <is>
          <t>Shives, Louise Rebraca.</t>
        </is>
      </c>
      <c r="N1759" t="inlineStr">
        <is>
          <t>Philadelphia : Lippincott, c1998.</t>
        </is>
      </c>
      <c r="O1759" t="inlineStr">
        <is>
          <t>1998</t>
        </is>
      </c>
      <c r="P1759" t="inlineStr">
        <is>
          <t>4th ed.</t>
        </is>
      </c>
      <c r="Q1759" t="inlineStr">
        <is>
          <t>eng</t>
        </is>
      </c>
      <c r="R1759" t="inlineStr">
        <is>
          <t>pau</t>
        </is>
      </c>
      <c r="T1759" t="inlineStr">
        <is>
          <t xml:space="preserve">WY </t>
        </is>
      </c>
      <c r="U1759" t="n">
        <v>4</v>
      </c>
      <c r="V1759" t="n">
        <v>4</v>
      </c>
      <c r="W1759" t="inlineStr">
        <is>
          <t>1997-11-21</t>
        </is>
      </c>
      <c r="X1759" t="inlineStr">
        <is>
          <t>1997-11-21</t>
        </is>
      </c>
      <c r="Y1759" t="inlineStr">
        <is>
          <t>1997-11-21</t>
        </is>
      </c>
      <c r="Z1759" t="inlineStr">
        <is>
          <t>1997-11-21</t>
        </is>
      </c>
      <c r="AA1759" t="n">
        <v>249</v>
      </c>
      <c r="AB1759" t="n">
        <v>183</v>
      </c>
      <c r="AC1759" t="n">
        <v>860</v>
      </c>
      <c r="AD1759" t="n">
        <v>1</v>
      </c>
      <c r="AE1759" t="n">
        <v>2</v>
      </c>
      <c r="AF1759" t="n">
        <v>3</v>
      </c>
      <c r="AG1759" t="n">
        <v>19</v>
      </c>
      <c r="AH1759" t="n">
        <v>1</v>
      </c>
      <c r="AI1759" t="n">
        <v>6</v>
      </c>
      <c r="AJ1759" t="n">
        <v>1</v>
      </c>
      <c r="AK1759" t="n">
        <v>7</v>
      </c>
      <c r="AL1759" t="n">
        <v>2</v>
      </c>
      <c r="AM1759" t="n">
        <v>12</v>
      </c>
      <c r="AN1759" t="n">
        <v>0</v>
      </c>
      <c r="AO1759" t="n">
        <v>0</v>
      </c>
      <c r="AP1759" t="n">
        <v>0</v>
      </c>
      <c r="AQ1759" t="n">
        <v>0</v>
      </c>
      <c r="AR1759" t="inlineStr">
        <is>
          <t>No</t>
        </is>
      </c>
      <c r="AS1759" t="inlineStr">
        <is>
          <t>Yes</t>
        </is>
      </c>
      <c r="AT1759">
        <f>HYPERLINK("http://catalog.hathitrust.org/Record/003194030","HathiTrust Record")</f>
        <v/>
      </c>
      <c r="AU1759">
        <f>HYPERLINK("https://creighton-primo.hosted.exlibrisgroup.com/primo-explore/search?tab=default_tab&amp;search_scope=EVERYTHING&amp;vid=01CRU&amp;lang=en_US&amp;offset=0&amp;query=any,contains,991001093579702656","Catalog Record")</f>
        <v/>
      </c>
      <c r="AV1759">
        <f>HYPERLINK("http://www.worldcat.org/oclc/36598183","WorldCat Record")</f>
        <v/>
      </c>
      <c r="AW1759" t="inlineStr">
        <is>
          <t>951446:eng</t>
        </is>
      </c>
      <c r="AX1759" t="inlineStr">
        <is>
          <t>36598183</t>
        </is>
      </c>
      <c r="AY1759" t="inlineStr">
        <is>
          <t>991001093579702656</t>
        </is>
      </c>
      <c r="AZ1759" t="inlineStr">
        <is>
          <t>991001093579702656</t>
        </is>
      </c>
      <c r="BA1759" t="inlineStr">
        <is>
          <t>2255884260002656</t>
        </is>
      </c>
      <c r="BB1759" t="inlineStr">
        <is>
          <t>BOOK</t>
        </is>
      </c>
      <c r="BD1759" t="inlineStr">
        <is>
          <t>9780397554577</t>
        </is>
      </c>
      <c r="BE1759" t="inlineStr">
        <is>
          <t>30001003604628</t>
        </is>
      </c>
      <c r="BF1759" t="inlineStr">
        <is>
          <t>893557568</t>
        </is>
      </c>
    </row>
    <row r="1760">
      <c r="A1760" t="inlineStr">
        <is>
          <t>No</t>
        </is>
      </c>
      <c r="B1760" t="inlineStr">
        <is>
          <t>CUHSL</t>
        </is>
      </c>
      <c r="C1760" t="inlineStr">
        <is>
          <t>SHELVES</t>
        </is>
      </c>
      <c r="D1760" t="inlineStr">
        <is>
          <t>WY160 S558b 2005</t>
        </is>
      </c>
      <c r="E1760" t="inlineStr">
        <is>
          <t>0                      WY 0160000S  558b        2005</t>
        </is>
      </c>
      <c r="F1760" t="inlineStr">
        <is>
          <t>Basic concepts of psychiatric--mental health nursing / Louise Rebraca Shives.</t>
        </is>
      </c>
      <c r="H1760" t="inlineStr">
        <is>
          <t>No</t>
        </is>
      </c>
      <c r="I1760" t="inlineStr">
        <is>
          <t>1</t>
        </is>
      </c>
      <c r="J1760" t="inlineStr">
        <is>
          <t>No</t>
        </is>
      </c>
      <c r="K1760" t="inlineStr">
        <is>
          <t>Yes</t>
        </is>
      </c>
      <c r="L1760" t="inlineStr">
        <is>
          <t>0</t>
        </is>
      </c>
      <c r="M1760" t="inlineStr">
        <is>
          <t>Shives, Louise Rebraca.</t>
        </is>
      </c>
      <c r="N1760" t="inlineStr">
        <is>
          <t>Philadelphia : Lippincott Williams &amp; Wilkins, c2005.</t>
        </is>
      </c>
      <c r="O1760" t="inlineStr">
        <is>
          <t>2005</t>
        </is>
      </c>
      <c r="P1760" t="inlineStr">
        <is>
          <t>6th ed.</t>
        </is>
      </c>
      <c r="Q1760" t="inlineStr">
        <is>
          <t>eng</t>
        </is>
      </c>
      <c r="R1760" t="inlineStr">
        <is>
          <t>pau</t>
        </is>
      </c>
      <c r="T1760" t="inlineStr">
        <is>
          <t xml:space="preserve">WY </t>
        </is>
      </c>
      <c r="U1760" t="n">
        <v>0</v>
      </c>
      <c r="V1760" t="n">
        <v>0</v>
      </c>
      <c r="W1760" t="inlineStr">
        <is>
          <t>2004-09-20</t>
        </is>
      </c>
      <c r="X1760" t="inlineStr">
        <is>
          <t>2004-09-20</t>
        </is>
      </c>
      <c r="Y1760" t="inlineStr">
        <is>
          <t>2004-09-17</t>
        </is>
      </c>
      <c r="Z1760" t="inlineStr">
        <is>
          <t>2004-09-17</t>
        </is>
      </c>
      <c r="AA1760" t="n">
        <v>269</v>
      </c>
      <c r="AB1760" t="n">
        <v>178</v>
      </c>
      <c r="AC1760" t="n">
        <v>860</v>
      </c>
      <c r="AD1760" t="n">
        <v>1</v>
      </c>
      <c r="AE1760" t="n">
        <v>2</v>
      </c>
      <c r="AF1760" t="n">
        <v>5</v>
      </c>
      <c r="AG1760" t="n">
        <v>19</v>
      </c>
      <c r="AH1760" t="n">
        <v>1</v>
      </c>
      <c r="AI1760" t="n">
        <v>6</v>
      </c>
      <c r="AJ1760" t="n">
        <v>1</v>
      </c>
      <c r="AK1760" t="n">
        <v>7</v>
      </c>
      <c r="AL1760" t="n">
        <v>4</v>
      </c>
      <c r="AM1760" t="n">
        <v>12</v>
      </c>
      <c r="AN1760" t="n">
        <v>0</v>
      </c>
      <c r="AO1760" t="n">
        <v>0</v>
      </c>
      <c r="AP1760" t="n">
        <v>0</v>
      </c>
      <c r="AQ1760" t="n">
        <v>0</v>
      </c>
      <c r="AR1760" t="inlineStr">
        <is>
          <t>No</t>
        </is>
      </c>
      <c r="AS1760" t="inlineStr">
        <is>
          <t>No</t>
        </is>
      </c>
      <c r="AU1760">
        <f>HYPERLINK("https://creighton-primo.hosted.exlibrisgroup.com/primo-explore/search?tab=default_tab&amp;search_scope=EVERYTHING&amp;vid=01CRU&amp;lang=en_US&amp;offset=0&amp;query=any,contains,991000393079702656","Catalog Record")</f>
        <v/>
      </c>
      <c r="AV1760">
        <f>HYPERLINK("http://www.worldcat.org/oclc/53954616","WorldCat Record")</f>
        <v/>
      </c>
      <c r="AW1760" t="inlineStr">
        <is>
          <t>951446:eng</t>
        </is>
      </c>
      <c r="AX1760" t="inlineStr">
        <is>
          <t>53954616</t>
        </is>
      </c>
      <c r="AY1760" t="inlineStr">
        <is>
          <t>991000393079702656</t>
        </is>
      </c>
      <c r="AZ1760" t="inlineStr">
        <is>
          <t>991000393079702656</t>
        </is>
      </c>
      <c r="BA1760" t="inlineStr">
        <is>
          <t>2256609100002656</t>
        </is>
      </c>
      <c r="BB1760" t="inlineStr">
        <is>
          <t>BOOK</t>
        </is>
      </c>
      <c r="BD1760" t="inlineStr">
        <is>
          <t>9780781745178</t>
        </is>
      </c>
      <c r="BE1760" t="inlineStr">
        <is>
          <t>30001004922912</t>
        </is>
      </c>
      <c r="BF1760" t="inlineStr">
        <is>
          <t>893737285</t>
        </is>
      </c>
    </row>
    <row r="1761">
      <c r="A1761" t="inlineStr">
        <is>
          <t>No</t>
        </is>
      </c>
      <c r="B1761" t="inlineStr">
        <is>
          <t>CUHSL</t>
        </is>
      </c>
      <c r="C1761" t="inlineStr">
        <is>
          <t>SHELVES</t>
        </is>
      </c>
      <c r="D1761" t="inlineStr">
        <is>
          <t>WY 160 S659p 1984</t>
        </is>
      </c>
      <c r="E1761" t="inlineStr">
        <is>
          <t>0                      WY 0160000S  659p        1984</t>
        </is>
      </c>
      <c r="F1761" t="inlineStr">
        <is>
          <t>Psychiatric and psychosocial nursing : a review for NCLEX in the nursing process / Sandra F. Smith, Darlene A. Karasik, Beverly J. Meyer.</t>
        </is>
      </c>
      <c r="H1761" t="inlineStr">
        <is>
          <t>No</t>
        </is>
      </c>
      <c r="I1761" t="inlineStr">
        <is>
          <t>1</t>
        </is>
      </c>
      <c r="J1761" t="inlineStr">
        <is>
          <t>No</t>
        </is>
      </c>
      <c r="K1761" t="inlineStr">
        <is>
          <t>No</t>
        </is>
      </c>
      <c r="L1761" t="inlineStr">
        <is>
          <t>0</t>
        </is>
      </c>
      <c r="M1761" t="inlineStr">
        <is>
          <t>Smith, Sandra Fucci.</t>
        </is>
      </c>
      <c r="N1761" t="inlineStr">
        <is>
          <t>Los Altos, Calif. : National Nursing Review, c1984.</t>
        </is>
      </c>
      <c r="O1761" t="inlineStr">
        <is>
          <t>1984</t>
        </is>
      </c>
      <c r="Q1761" t="inlineStr">
        <is>
          <t>eng</t>
        </is>
      </c>
      <c r="R1761" t="inlineStr">
        <is>
          <t>cau</t>
        </is>
      </c>
      <c r="T1761" t="inlineStr">
        <is>
          <t xml:space="preserve">WY </t>
        </is>
      </c>
      <c r="U1761" t="n">
        <v>1</v>
      </c>
      <c r="V1761" t="n">
        <v>1</v>
      </c>
      <c r="W1761" t="inlineStr">
        <is>
          <t>1988-06-08</t>
        </is>
      </c>
      <c r="X1761" t="inlineStr">
        <is>
          <t>1988-06-08</t>
        </is>
      </c>
      <c r="Y1761" t="inlineStr">
        <is>
          <t>1987-10-25</t>
        </is>
      </c>
      <c r="Z1761" t="inlineStr">
        <is>
          <t>1987-10-25</t>
        </is>
      </c>
      <c r="AA1761" t="n">
        <v>22</v>
      </c>
      <c r="AB1761" t="n">
        <v>20</v>
      </c>
      <c r="AC1761" t="n">
        <v>20</v>
      </c>
      <c r="AD1761" t="n">
        <v>2</v>
      </c>
      <c r="AE1761" t="n">
        <v>2</v>
      </c>
      <c r="AF1761" t="n">
        <v>0</v>
      </c>
      <c r="AG1761" t="n">
        <v>0</v>
      </c>
      <c r="AH1761" t="n">
        <v>0</v>
      </c>
      <c r="AI1761" t="n">
        <v>0</v>
      </c>
      <c r="AJ1761" t="n">
        <v>0</v>
      </c>
      <c r="AK1761" t="n">
        <v>0</v>
      </c>
      <c r="AL1761" t="n">
        <v>0</v>
      </c>
      <c r="AM1761" t="n">
        <v>0</v>
      </c>
      <c r="AN1761" t="n">
        <v>0</v>
      </c>
      <c r="AO1761" t="n">
        <v>0</v>
      </c>
      <c r="AP1761" t="n">
        <v>0</v>
      </c>
      <c r="AQ1761" t="n">
        <v>0</v>
      </c>
      <c r="AR1761" t="inlineStr">
        <is>
          <t>No</t>
        </is>
      </c>
      <c r="AS1761" t="inlineStr">
        <is>
          <t>No</t>
        </is>
      </c>
      <c r="AU1761">
        <f>HYPERLINK("https://creighton-primo.hosted.exlibrisgroup.com/primo-explore/search?tab=default_tab&amp;search_scope=EVERYTHING&amp;vid=01CRU&amp;lang=en_US&amp;offset=0&amp;query=any,contains,991000731239702656","Catalog Record")</f>
        <v/>
      </c>
      <c r="AV1761">
        <f>HYPERLINK("http://www.worldcat.org/oclc/11117426","WorldCat Record")</f>
        <v/>
      </c>
      <c r="AW1761" t="inlineStr">
        <is>
          <t>3855295861:eng</t>
        </is>
      </c>
      <c r="AX1761" t="inlineStr">
        <is>
          <t>11117426</t>
        </is>
      </c>
      <c r="AY1761" t="inlineStr">
        <is>
          <t>991000731239702656</t>
        </is>
      </c>
      <c r="AZ1761" t="inlineStr">
        <is>
          <t>991000731239702656</t>
        </is>
      </c>
      <c r="BA1761" t="inlineStr">
        <is>
          <t>2268112790002656</t>
        </is>
      </c>
      <c r="BB1761" t="inlineStr">
        <is>
          <t>BOOK</t>
        </is>
      </c>
      <c r="BD1761" t="inlineStr">
        <is>
          <t>9780917010163</t>
        </is>
      </c>
      <c r="BE1761" t="inlineStr">
        <is>
          <t>30001000040248</t>
        </is>
      </c>
      <c r="BF1761" t="inlineStr">
        <is>
          <t>893642365</t>
        </is>
      </c>
    </row>
    <row r="1762">
      <c r="A1762" t="inlineStr">
        <is>
          <t>No</t>
        </is>
      </c>
      <c r="B1762" t="inlineStr">
        <is>
          <t>CUHSL</t>
        </is>
      </c>
      <c r="C1762" t="inlineStr">
        <is>
          <t>SHELVES</t>
        </is>
      </c>
      <c r="D1762" t="inlineStr">
        <is>
          <t>WY 160 S757 1987</t>
        </is>
      </c>
      <c r="E1762" t="inlineStr">
        <is>
          <t>0                      WY 0160000S  757         1987</t>
        </is>
      </c>
      <c r="F1762" t="inlineStr">
        <is>
          <t>Spinal cord injury : a guide to rehabilitation nursing / edited by Nancye B. Holt, Peggy Matthews, Carolyn E. Carlson.</t>
        </is>
      </c>
      <c r="H1762" t="inlineStr">
        <is>
          <t>No</t>
        </is>
      </c>
      <c r="I1762" t="inlineStr">
        <is>
          <t>1</t>
        </is>
      </c>
      <c r="J1762" t="inlineStr">
        <is>
          <t>No</t>
        </is>
      </c>
      <c r="K1762" t="inlineStr">
        <is>
          <t>No</t>
        </is>
      </c>
      <c r="L1762" t="inlineStr">
        <is>
          <t>0</t>
        </is>
      </c>
      <c r="N1762" t="inlineStr">
        <is>
          <t>Rockville, Md. : Aspen Publishers, c1987.</t>
        </is>
      </c>
      <c r="O1762" t="inlineStr">
        <is>
          <t>1987</t>
        </is>
      </c>
      <c r="Q1762" t="inlineStr">
        <is>
          <t>eng</t>
        </is>
      </c>
      <c r="R1762" t="inlineStr">
        <is>
          <t>xxu</t>
        </is>
      </c>
      <c r="S1762" t="inlineStr">
        <is>
          <t>Rehabilitation Institute of Chicago procedure manual</t>
        </is>
      </c>
      <c r="T1762" t="inlineStr">
        <is>
          <t xml:space="preserve">WY </t>
        </is>
      </c>
      <c r="U1762" t="n">
        <v>10</v>
      </c>
      <c r="V1762" t="n">
        <v>10</v>
      </c>
      <c r="W1762" t="inlineStr">
        <is>
          <t>1994-09-06</t>
        </is>
      </c>
      <c r="X1762" t="inlineStr">
        <is>
          <t>1994-09-06</t>
        </is>
      </c>
      <c r="Y1762" t="inlineStr">
        <is>
          <t>1987-09-24</t>
        </is>
      </c>
      <c r="Z1762" t="inlineStr">
        <is>
          <t>1987-09-24</t>
        </is>
      </c>
      <c r="AA1762" t="n">
        <v>191</v>
      </c>
      <c r="AB1762" t="n">
        <v>166</v>
      </c>
      <c r="AC1762" t="n">
        <v>168</v>
      </c>
      <c r="AD1762" t="n">
        <v>2</v>
      </c>
      <c r="AE1762" t="n">
        <v>2</v>
      </c>
      <c r="AF1762" t="n">
        <v>9</v>
      </c>
      <c r="AG1762" t="n">
        <v>9</v>
      </c>
      <c r="AH1762" t="n">
        <v>4</v>
      </c>
      <c r="AI1762" t="n">
        <v>4</v>
      </c>
      <c r="AJ1762" t="n">
        <v>2</v>
      </c>
      <c r="AK1762" t="n">
        <v>2</v>
      </c>
      <c r="AL1762" t="n">
        <v>8</v>
      </c>
      <c r="AM1762" t="n">
        <v>8</v>
      </c>
      <c r="AN1762" t="n">
        <v>0</v>
      </c>
      <c r="AO1762" t="n">
        <v>0</v>
      </c>
      <c r="AP1762" t="n">
        <v>0</v>
      </c>
      <c r="AQ1762" t="n">
        <v>0</v>
      </c>
      <c r="AR1762" t="inlineStr">
        <is>
          <t>No</t>
        </is>
      </c>
      <c r="AS1762" t="inlineStr">
        <is>
          <t>Yes</t>
        </is>
      </c>
      <c r="AT1762">
        <f>HYPERLINK("http://catalog.hathitrust.org/Record/000832446","HathiTrust Record")</f>
        <v/>
      </c>
      <c r="AU1762">
        <f>HYPERLINK("https://creighton-primo.hosted.exlibrisgroup.com/primo-explore/search?tab=default_tab&amp;search_scope=EVERYTHING&amp;vid=01CRU&amp;lang=en_US&amp;offset=0&amp;query=any,contains,991001271999702656","Catalog Record")</f>
        <v/>
      </c>
      <c r="AV1762">
        <f>HYPERLINK("http://www.worldcat.org/oclc/15316872","WorldCat Record")</f>
        <v/>
      </c>
      <c r="AW1762" t="inlineStr">
        <is>
          <t>906425032:eng</t>
        </is>
      </c>
      <c r="AX1762" t="inlineStr">
        <is>
          <t>15316872</t>
        </is>
      </c>
      <c r="AY1762" t="inlineStr">
        <is>
          <t>991001271999702656</t>
        </is>
      </c>
      <c r="AZ1762" t="inlineStr">
        <is>
          <t>991001271999702656</t>
        </is>
      </c>
      <c r="BA1762" t="inlineStr">
        <is>
          <t>2265139590002656</t>
        </is>
      </c>
      <c r="BB1762" t="inlineStr">
        <is>
          <t>BOOK</t>
        </is>
      </c>
      <c r="BD1762" t="inlineStr">
        <is>
          <t>9780871896421</t>
        </is>
      </c>
      <c r="BE1762" t="inlineStr">
        <is>
          <t>30001000354961</t>
        </is>
      </c>
      <c r="BF1762" t="inlineStr">
        <is>
          <t>893161824</t>
        </is>
      </c>
    </row>
    <row r="1763">
      <c r="A1763" t="inlineStr">
        <is>
          <t>No</t>
        </is>
      </c>
      <c r="B1763" t="inlineStr">
        <is>
          <t>CUHSL</t>
        </is>
      </c>
      <c r="C1763" t="inlineStr">
        <is>
          <t>SHELVES</t>
        </is>
      </c>
      <c r="D1763" t="inlineStr">
        <is>
          <t>WY 160 S931 1998</t>
        </is>
      </c>
      <c r="E1763" t="inlineStr">
        <is>
          <t>0                      WY 0160000S  931         1998</t>
        </is>
      </c>
      <c r="F1763" t="inlineStr">
        <is>
          <t>Stuart &amp; Sundeen's principles and practice of psychiatric nursing / [edited by] Gail W. Stuart, Michele T. Laraia.</t>
        </is>
      </c>
      <c r="H1763" t="inlineStr">
        <is>
          <t>No</t>
        </is>
      </c>
      <c r="I1763" t="inlineStr">
        <is>
          <t>1</t>
        </is>
      </c>
      <c r="J1763" t="inlineStr">
        <is>
          <t>No</t>
        </is>
      </c>
      <c r="K1763" t="inlineStr">
        <is>
          <t>No</t>
        </is>
      </c>
      <c r="L1763" t="inlineStr">
        <is>
          <t>0</t>
        </is>
      </c>
      <c r="N1763" t="inlineStr">
        <is>
          <t>St. Louis : Mosby, c1998.</t>
        </is>
      </c>
      <c r="O1763" t="inlineStr">
        <is>
          <t>1998</t>
        </is>
      </c>
      <c r="P1763" t="inlineStr">
        <is>
          <t>6th ed.</t>
        </is>
      </c>
      <c r="Q1763" t="inlineStr">
        <is>
          <t>eng</t>
        </is>
      </c>
      <c r="R1763" t="inlineStr">
        <is>
          <t>mou</t>
        </is>
      </c>
      <c r="T1763" t="inlineStr">
        <is>
          <t xml:space="preserve">WY </t>
        </is>
      </c>
      <c r="U1763" t="n">
        <v>15</v>
      </c>
      <c r="V1763" t="n">
        <v>15</v>
      </c>
      <c r="W1763" t="inlineStr">
        <is>
          <t>1999-07-07</t>
        </is>
      </c>
      <c r="X1763" t="inlineStr">
        <is>
          <t>1999-07-07</t>
        </is>
      </c>
      <c r="Y1763" t="inlineStr">
        <is>
          <t>1998-01-23</t>
        </is>
      </c>
      <c r="Z1763" t="inlineStr">
        <is>
          <t>1998-01-23</t>
        </is>
      </c>
      <c r="AA1763" t="n">
        <v>316</v>
      </c>
      <c r="AB1763" t="n">
        <v>223</v>
      </c>
      <c r="AC1763" t="n">
        <v>230</v>
      </c>
      <c r="AD1763" t="n">
        <v>1</v>
      </c>
      <c r="AE1763" t="n">
        <v>1</v>
      </c>
      <c r="AF1763" t="n">
        <v>7</v>
      </c>
      <c r="AG1763" t="n">
        <v>7</v>
      </c>
      <c r="AH1763" t="n">
        <v>1</v>
      </c>
      <c r="AI1763" t="n">
        <v>1</v>
      </c>
      <c r="AJ1763" t="n">
        <v>2</v>
      </c>
      <c r="AK1763" t="n">
        <v>2</v>
      </c>
      <c r="AL1763" t="n">
        <v>7</v>
      </c>
      <c r="AM1763" t="n">
        <v>7</v>
      </c>
      <c r="AN1763" t="n">
        <v>0</v>
      </c>
      <c r="AO1763" t="n">
        <v>0</v>
      </c>
      <c r="AP1763" t="n">
        <v>0</v>
      </c>
      <c r="AQ1763" t="n">
        <v>0</v>
      </c>
      <c r="AR1763" t="inlineStr">
        <is>
          <t>No</t>
        </is>
      </c>
      <c r="AS1763" t="inlineStr">
        <is>
          <t>Yes</t>
        </is>
      </c>
      <c r="AT1763">
        <f>HYPERLINK("http://catalog.hathitrust.org/Record/003239881","HathiTrust Record")</f>
        <v/>
      </c>
      <c r="AU1763">
        <f>HYPERLINK("https://creighton-primo.hosted.exlibrisgroup.com/primo-explore/search?tab=default_tab&amp;search_scope=EVERYTHING&amp;vid=01CRU&amp;lang=en_US&amp;offset=0&amp;query=any,contains,991001564779702656","Catalog Record")</f>
        <v/>
      </c>
      <c r="AV1763">
        <f>HYPERLINK("http://www.worldcat.org/oclc/37444015","WorldCat Record")</f>
        <v/>
      </c>
      <c r="AW1763" t="inlineStr">
        <is>
          <t>3901596848:eng</t>
        </is>
      </c>
      <c r="AX1763" t="inlineStr">
        <is>
          <t>37444015</t>
        </is>
      </c>
      <c r="AY1763" t="inlineStr">
        <is>
          <t>991001564779702656</t>
        </is>
      </c>
      <c r="AZ1763" t="inlineStr">
        <is>
          <t>991001564779702656</t>
        </is>
      </c>
      <c r="BA1763" t="inlineStr">
        <is>
          <t>2262192890002656</t>
        </is>
      </c>
      <c r="BB1763" t="inlineStr">
        <is>
          <t>BOOK</t>
        </is>
      </c>
      <c r="BD1763" t="inlineStr">
        <is>
          <t>9780815126034</t>
        </is>
      </c>
      <c r="BE1763" t="inlineStr">
        <is>
          <t>30001003741545</t>
        </is>
      </c>
      <c r="BF1763" t="inlineStr">
        <is>
          <t>893816509</t>
        </is>
      </c>
    </row>
    <row r="1764">
      <c r="A1764" t="inlineStr">
        <is>
          <t>No</t>
        </is>
      </c>
      <c r="B1764" t="inlineStr">
        <is>
          <t>CUHSL</t>
        </is>
      </c>
      <c r="C1764" t="inlineStr">
        <is>
          <t>SHELVES</t>
        </is>
      </c>
      <c r="D1764" t="inlineStr">
        <is>
          <t>WY 160 S9313p 2009</t>
        </is>
      </c>
      <c r="E1764" t="inlineStr">
        <is>
          <t>0                      WY 0160000S  9313p       2009</t>
        </is>
      </c>
      <c r="F1764" t="inlineStr">
        <is>
          <t>Principles and practice of psychiatric nursing / [edited by] Gail Wiscarz Stuart.</t>
        </is>
      </c>
      <c r="H1764" t="inlineStr">
        <is>
          <t>No</t>
        </is>
      </c>
      <c r="I1764" t="inlineStr">
        <is>
          <t>1</t>
        </is>
      </c>
      <c r="J1764" t="inlineStr">
        <is>
          <t>No</t>
        </is>
      </c>
      <c r="K1764" t="inlineStr">
        <is>
          <t>Yes</t>
        </is>
      </c>
      <c r="L1764" t="inlineStr">
        <is>
          <t>0</t>
        </is>
      </c>
      <c r="N1764" t="inlineStr">
        <is>
          <t>St. Louis, Mo. : Mosby Elsevier, c2009.</t>
        </is>
      </c>
      <c r="O1764" t="inlineStr">
        <is>
          <t>2009</t>
        </is>
      </c>
      <c r="P1764" t="inlineStr">
        <is>
          <t>9th ed.</t>
        </is>
      </c>
      <c r="Q1764" t="inlineStr">
        <is>
          <t>eng</t>
        </is>
      </c>
      <c r="R1764" t="inlineStr">
        <is>
          <t>mou</t>
        </is>
      </c>
      <c r="T1764" t="inlineStr">
        <is>
          <t xml:space="preserve">WY </t>
        </is>
      </c>
      <c r="U1764" t="n">
        <v>0</v>
      </c>
      <c r="V1764" t="n">
        <v>0</v>
      </c>
      <c r="W1764" t="inlineStr">
        <is>
          <t>2010-01-08</t>
        </is>
      </c>
      <c r="X1764" t="inlineStr">
        <is>
          <t>2010-01-08</t>
        </is>
      </c>
      <c r="Y1764" t="inlineStr">
        <is>
          <t>2010-01-08</t>
        </is>
      </c>
      <c r="Z1764" t="inlineStr">
        <is>
          <t>2010-01-08</t>
        </is>
      </c>
      <c r="AA1764" t="n">
        <v>366</v>
      </c>
      <c r="AB1764" t="n">
        <v>217</v>
      </c>
      <c r="AC1764" t="n">
        <v>1144</v>
      </c>
      <c r="AD1764" t="n">
        <v>2</v>
      </c>
      <c r="AE1764" t="n">
        <v>10</v>
      </c>
      <c r="AF1764" t="n">
        <v>7</v>
      </c>
      <c r="AG1764" t="n">
        <v>35</v>
      </c>
      <c r="AH1764" t="n">
        <v>1</v>
      </c>
      <c r="AI1764" t="n">
        <v>13</v>
      </c>
      <c r="AJ1764" t="n">
        <v>2</v>
      </c>
      <c r="AK1764" t="n">
        <v>6</v>
      </c>
      <c r="AL1764" t="n">
        <v>5</v>
      </c>
      <c r="AM1764" t="n">
        <v>14</v>
      </c>
      <c r="AN1764" t="n">
        <v>1</v>
      </c>
      <c r="AO1764" t="n">
        <v>8</v>
      </c>
      <c r="AP1764" t="n">
        <v>0</v>
      </c>
      <c r="AQ1764" t="n">
        <v>0</v>
      </c>
      <c r="AR1764" t="inlineStr">
        <is>
          <t>No</t>
        </is>
      </c>
      <c r="AS1764" t="inlineStr">
        <is>
          <t>No</t>
        </is>
      </c>
      <c r="AU1764">
        <f>HYPERLINK("https://creighton-primo.hosted.exlibrisgroup.com/primo-explore/search?tab=default_tab&amp;search_scope=EVERYTHING&amp;vid=01CRU&amp;lang=en_US&amp;offset=0&amp;query=any,contains,991001555109702656","Catalog Record")</f>
        <v/>
      </c>
      <c r="AV1764">
        <f>HYPERLINK("http://www.worldcat.org/oclc/225874465","WorldCat Record")</f>
        <v/>
      </c>
      <c r="AW1764" t="inlineStr">
        <is>
          <t>355428659:eng</t>
        </is>
      </c>
      <c r="AX1764" t="inlineStr">
        <is>
          <t>225874465</t>
        </is>
      </c>
      <c r="AY1764" t="inlineStr">
        <is>
          <t>991001555109702656</t>
        </is>
      </c>
      <c r="AZ1764" t="inlineStr">
        <is>
          <t>991001555109702656</t>
        </is>
      </c>
      <c r="BA1764" t="inlineStr">
        <is>
          <t>2267875080002656</t>
        </is>
      </c>
      <c r="BB1764" t="inlineStr">
        <is>
          <t>BOOK</t>
        </is>
      </c>
      <c r="BD1764" t="inlineStr">
        <is>
          <t>9780323052566</t>
        </is>
      </c>
      <c r="BE1764" t="inlineStr">
        <is>
          <t>30001005366473</t>
        </is>
      </c>
      <c r="BF1764" t="inlineStr">
        <is>
          <t>893268637</t>
        </is>
      </c>
    </row>
    <row r="1765">
      <c r="A1765" t="inlineStr">
        <is>
          <t>No</t>
        </is>
      </c>
      <c r="B1765" t="inlineStr">
        <is>
          <t>CUHSL</t>
        </is>
      </c>
      <c r="C1765" t="inlineStr">
        <is>
          <t>SHELVES</t>
        </is>
      </c>
      <c r="D1765" t="inlineStr">
        <is>
          <t>WY 160 T198s 1988</t>
        </is>
      </c>
      <c r="E1765" t="inlineStr">
        <is>
          <t>0                      WY 0160000T  198s        1988</t>
        </is>
      </c>
      <c r="F1765" t="inlineStr">
        <is>
          <t>Standards of addictions nursing practice with selected diagnoses and criteria / American Nurses's Association [and] National Nurses Society on Addictions.</t>
        </is>
      </c>
      <c r="H1765" t="inlineStr">
        <is>
          <t>No</t>
        </is>
      </c>
      <c r="I1765" t="inlineStr">
        <is>
          <t>1</t>
        </is>
      </c>
      <c r="J1765" t="inlineStr">
        <is>
          <t>No</t>
        </is>
      </c>
      <c r="K1765" t="inlineStr">
        <is>
          <t>No</t>
        </is>
      </c>
      <c r="L1765" t="inlineStr">
        <is>
          <t>0</t>
        </is>
      </c>
      <c r="M1765" t="inlineStr">
        <is>
          <t>Task Force on Standards of Addictions Nursing Practice.</t>
        </is>
      </c>
      <c r="N1765" t="inlineStr">
        <is>
          <t>Kansas City, Mo. (2420 Pershing Rd., Kansas City 64108) : The Association, c1988.</t>
        </is>
      </c>
      <c r="O1765" t="inlineStr">
        <is>
          <t>1988</t>
        </is>
      </c>
      <c r="Q1765" t="inlineStr">
        <is>
          <t>eng</t>
        </is>
      </c>
      <c r="R1765" t="inlineStr">
        <is>
          <t>xxu</t>
        </is>
      </c>
      <c r="S1765" t="inlineStr">
        <is>
          <t>ANA pub ; no. PMH-10</t>
        </is>
      </c>
      <c r="T1765" t="inlineStr">
        <is>
          <t xml:space="preserve">WY </t>
        </is>
      </c>
      <c r="U1765" t="n">
        <v>1</v>
      </c>
      <c r="V1765" t="n">
        <v>1</v>
      </c>
      <c r="W1765" t="inlineStr">
        <is>
          <t>1991-09-07</t>
        </is>
      </c>
      <c r="X1765" t="inlineStr">
        <is>
          <t>1991-09-07</t>
        </is>
      </c>
      <c r="Y1765" t="inlineStr">
        <is>
          <t>1988-06-10</t>
        </is>
      </c>
      <c r="Z1765" t="inlineStr">
        <is>
          <t>1988-06-10</t>
        </is>
      </c>
      <c r="AA1765" t="n">
        <v>247</v>
      </c>
      <c r="AB1765" t="n">
        <v>236</v>
      </c>
      <c r="AC1765" t="n">
        <v>241</v>
      </c>
      <c r="AD1765" t="n">
        <v>1</v>
      </c>
      <c r="AE1765" t="n">
        <v>1</v>
      </c>
      <c r="AF1765" t="n">
        <v>8</v>
      </c>
      <c r="AG1765" t="n">
        <v>8</v>
      </c>
      <c r="AH1765" t="n">
        <v>3</v>
      </c>
      <c r="AI1765" t="n">
        <v>3</v>
      </c>
      <c r="AJ1765" t="n">
        <v>2</v>
      </c>
      <c r="AK1765" t="n">
        <v>2</v>
      </c>
      <c r="AL1765" t="n">
        <v>6</v>
      </c>
      <c r="AM1765" t="n">
        <v>6</v>
      </c>
      <c r="AN1765" t="n">
        <v>0</v>
      </c>
      <c r="AO1765" t="n">
        <v>0</v>
      </c>
      <c r="AP1765" t="n">
        <v>0</v>
      </c>
      <c r="AQ1765" t="n">
        <v>0</v>
      </c>
      <c r="AR1765" t="inlineStr">
        <is>
          <t>No</t>
        </is>
      </c>
      <c r="AS1765" t="inlineStr">
        <is>
          <t>Yes</t>
        </is>
      </c>
      <c r="AT1765">
        <f>HYPERLINK("http://catalog.hathitrust.org/Record/004400540","HathiTrust Record")</f>
        <v/>
      </c>
      <c r="AU1765">
        <f>HYPERLINK("https://creighton-primo.hosted.exlibrisgroup.com/primo-explore/search?tab=default_tab&amp;search_scope=EVERYTHING&amp;vid=01CRU&amp;lang=en_US&amp;offset=0&amp;query=any,contains,991001415019702656","Catalog Record")</f>
        <v/>
      </c>
      <c r="AV1765">
        <f>HYPERLINK("http://www.worldcat.org/oclc/17300925","WorldCat Record")</f>
        <v/>
      </c>
      <c r="AW1765" t="inlineStr">
        <is>
          <t>998658:eng</t>
        </is>
      </c>
      <c r="AX1765" t="inlineStr">
        <is>
          <t>17300925</t>
        </is>
      </c>
      <c r="AY1765" t="inlineStr">
        <is>
          <t>991001415019702656</t>
        </is>
      </c>
      <c r="AZ1765" t="inlineStr">
        <is>
          <t>991001415019702656</t>
        </is>
      </c>
      <c r="BA1765" t="inlineStr">
        <is>
          <t>2270609760002656</t>
        </is>
      </c>
      <c r="BB1765" t="inlineStr">
        <is>
          <t>BOOK</t>
        </is>
      </c>
      <c r="BE1765" t="inlineStr">
        <is>
          <t>30001001180209</t>
        </is>
      </c>
      <c r="BF1765" t="inlineStr">
        <is>
          <t>893465504</t>
        </is>
      </c>
    </row>
    <row r="1766">
      <c r="A1766" t="inlineStr">
        <is>
          <t>No</t>
        </is>
      </c>
      <c r="B1766" t="inlineStr">
        <is>
          <t>CUHSL</t>
        </is>
      </c>
      <c r="C1766" t="inlineStr">
        <is>
          <t>SHELVES</t>
        </is>
      </c>
      <c r="D1766" t="inlineStr">
        <is>
          <t>WY 160 T243 1980</t>
        </is>
      </c>
      <c r="E1766" t="inlineStr">
        <is>
          <t>0                      WY 0160000T  243         1980</t>
        </is>
      </c>
      <c r="F1766" t="inlineStr">
        <is>
          <t>Neurological dysfunctions and nursing intervention / Joyce W. Taylor, Sally Ballenger.</t>
        </is>
      </c>
      <c r="H1766" t="inlineStr">
        <is>
          <t>No</t>
        </is>
      </c>
      <c r="I1766" t="inlineStr">
        <is>
          <t>1</t>
        </is>
      </c>
      <c r="J1766" t="inlineStr">
        <is>
          <t>No</t>
        </is>
      </c>
      <c r="K1766" t="inlineStr">
        <is>
          <t>No</t>
        </is>
      </c>
      <c r="L1766" t="inlineStr">
        <is>
          <t>0</t>
        </is>
      </c>
      <c r="M1766" t="inlineStr">
        <is>
          <t>Taylor, Joyce W.</t>
        </is>
      </c>
      <c r="N1766" t="inlineStr">
        <is>
          <t>New York : McGraw-Hill, c1980.</t>
        </is>
      </c>
      <c r="O1766" t="inlineStr">
        <is>
          <t>1980</t>
        </is>
      </c>
      <c r="Q1766" t="inlineStr">
        <is>
          <t>eng</t>
        </is>
      </c>
      <c r="R1766" t="inlineStr">
        <is>
          <t>nyu</t>
        </is>
      </c>
      <c r="T1766" t="inlineStr">
        <is>
          <t xml:space="preserve">WY </t>
        </is>
      </c>
      <c r="U1766" t="n">
        <v>4</v>
      </c>
      <c r="V1766" t="n">
        <v>4</v>
      </c>
      <c r="W1766" t="inlineStr">
        <is>
          <t>1996-03-28</t>
        </is>
      </c>
      <c r="X1766" t="inlineStr">
        <is>
          <t>1996-03-28</t>
        </is>
      </c>
      <c r="Y1766" t="inlineStr">
        <is>
          <t>1987-12-29</t>
        </is>
      </c>
      <c r="Z1766" t="inlineStr">
        <is>
          <t>1987-12-29</t>
        </is>
      </c>
      <c r="AA1766" t="n">
        <v>288</v>
      </c>
      <c r="AB1766" t="n">
        <v>240</v>
      </c>
      <c r="AC1766" t="n">
        <v>242</v>
      </c>
      <c r="AD1766" t="n">
        <v>4</v>
      </c>
      <c r="AE1766" t="n">
        <v>4</v>
      </c>
      <c r="AF1766" t="n">
        <v>11</v>
      </c>
      <c r="AG1766" t="n">
        <v>11</v>
      </c>
      <c r="AH1766" t="n">
        <v>3</v>
      </c>
      <c r="AI1766" t="n">
        <v>3</v>
      </c>
      <c r="AJ1766" t="n">
        <v>2</v>
      </c>
      <c r="AK1766" t="n">
        <v>2</v>
      </c>
      <c r="AL1766" t="n">
        <v>6</v>
      </c>
      <c r="AM1766" t="n">
        <v>6</v>
      </c>
      <c r="AN1766" t="n">
        <v>2</v>
      </c>
      <c r="AO1766" t="n">
        <v>2</v>
      </c>
      <c r="AP1766" t="n">
        <v>0</v>
      </c>
      <c r="AQ1766" t="n">
        <v>0</v>
      </c>
      <c r="AR1766" t="inlineStr">
        <is>
          <t>No</t>
        </is>
      </c>
      <c r="AS1766" t="inlineStr">
        <is>
          <t>Yes</t>
        </is>
      </c>
      <c r="AT1766">
        <f>HYPERLINK("http://catalog.hathitrust.org/Record/000022236","HathiTrust Record")</f>
        <v/>
      </c>
      <c r="AU1766">
        <f>HYPERLINK("https://creighton-primo.hosted.exlibrisgroup.com/primo-explore/search?tab=default_tab&amp;search_scope=EVERYTHING&amp;vid=01CRU&amp;lang=en_US&amp;offset=0&amp;query=any,contains,991000927489702656","Catalog Record")</f>
        <v/>
      </c>
      <c r="AV1766">
        <f>HYPERLINK("http://www.worldcat.org/oclc/5029553","WorldCat Record")</f>
        <v/>
      </c>
      <c r="AW1766" t="inlineStr">
        <is>
          <t>15208076:eng</t>
        </is>
      </c>
      <c r="AX1766" t="inlineStr">
        <is>
          <t>5029553</t>
        </is>
      </c>
      <c r="AY1766" t="inlineStr">
        <is>
          <t>991000927489702656</t>
        </is>
      </c>
      <c r="AZ1766" t="inlineStr">
        <is>
          <t>991000927489702656</t>
        </is>
      </c>
      <c r="BA1766" t="inlineStr">
        <is>
          <t>2271600970002656</t>
        </is>
      </c>
      <c r="BB1766" t="inlineStr">
        <is>
          <t>BOOK</t>
        </is>
      </c>
      <c r="BD1766" t="inlineStr">
        <is>
          <t>9780070631700</t>
        </is>
      </c>
      <c r="BE1766" t="inlineStr">
        <is>
          <t>30001000183899</t>
        </is>
      </c>
      <c r="BF1766" t="inlineStr">
        <is>
          <t>893450620</t>
        </is>
      </c>
    </row>
    <row r="1767">
      <c r="A1767" t="inlineStr">
        <is>
          <t>No</t>
        </is>
      </c>
      <c r="B1767" t="inlineStr">
        <is>
          <t>CUHSL</t>
        </is>
      </c>
      <c r="C1767" t="inlineStr">
        <is>
          <t>SHELVES</t>
        </is>
      </c>
      <c r="D1767" t="inlineStr">
        <is>
          <t>WY160 T749e 2002</t>
        </is>
      </c>
      <c r="E1767" t="inlineStr">
        <is>
          <t>0                      WY 0160000T  749e        2002</t>
        </is>
      </c>
      <c r="F1767" t="inlineStr">
        <is>
          <t>Essentials of psychiatric mental health nursing / Mary C. Townsend.</t>
        </is>
      </c>
      <c r="H1767" t="inlineStr">
        <is>
          <t>No</t>
        </is>
      </c>
      <c r="I1767" t="inlineStr">
        <is>
          <t>1</t>
        </is>
      </c>
      <c r="J1767" t="inlineStr">
        <is>
          <t>No</t>
        </is>
      </c>
      <c r="K1767" t="inlineStr">
        <is>
          <t>Yes</t>
        </is>
      </c>
      <c r="L1767" t="inlineStr">
        <is>
          <t>4</t>
        </is>
      </c>
      <c r="M1767" t="inlineStr">
        <is>
          <t>Townsend, Mary C., 1941-</t>
        </is>
      </c>
      <c r="N1767" t="inlineStr">
        <is>
          <t>Philadelphia : F.A. Davis, c2002.</t>
        </is>
      </c>
      <c r="O1767" t="inlineStr">
        <is>
          <t>2002</t>
        </is>
      </c>
      <c r="P1767" t="inlineStr">
        <is>
          <t>2nd ed.</t>
        </is>
      </c>
      <c r="Q1767" t="inlineStr">
        <is>
          <t>eng</t>
        </is>
      </c>
      <c r="R1767" t="inlineStr">
        <is>
          <t>pau</t>
        </is>
      </c>
      <c r="T1767" t="inlineStr">
        <is>
          <t xml:space="preserve">WY </t>
        </is>
      </c>
      <c r="U1767" t="n">
        <v>2</v>
      </c>
      <c r="V1767" t="n">
        <v>2</v>
      </c>
      <c r="W1767" t="inlineStr">
        <is>
          <t>2003-05-27</t>
        </is>
      </c>
      <c r="X1767" t="inlineStr">
        <is>
          <t>2003-05-27</t>
        </is>
      </c>
      <c r="Y1767" t="inlineStr">
        <is>
          <t>2002-10-14</t>
        </is>
      </c>
      <c r="Z1767" t="inlineStr">
        <is>
          <t>2002-10-14</t>
        </is>
      </c>
      <c r="AA1767" t="n">
        <v>206</v>
      </c>
      <c r="AB1767" t="n">
        <v>172</v>
      </c>
      <c r="AC1767" t="n">
        <v>1217</v>
      </c>
      <c r="AD1767" t="n">
        <v>1</v>
      </c>
      <c r="AE1767" t="n">
        <v>18</v>
      </c>
      <c r="AF1767" t="n">
        <v>5</v>
      </c>
      <c r="AG1767" t="n">
        <v>36</v>
      </c>
      <c r="AH1767" t="n">
        <v>1</v>
      </c>
      <c r="AI1767" t="n">
        <v>11</v>
      </c>
      <c r="AJ1767" t="n">
        <v>1</v>
      </c>
      <c r="AK1767" t="n">
        <v>7</v>
      </c>
      <c r="AL1767" t="n">
        <v>4</v>
      </c>
      <c r="AM1767" t="n">
        <v>10</v>
      </c>
      <c r="AN1767" t="n">
        <v>0</v>
      </c>
      <c r="AO1767" t="n">
        <v>12</v>
      </c>
      <c r="AP1767" t="n">
        <v>0</v>
      </c>
      <c r="AQ1767" t="n">
        <v>1</v>
      </c>
      <c r="AR1767" t="inlineStr">
        <is>
          <t>No</t>
        </is>
      </c>
      <c r="AS1767" t="inlineStr">
        <is>
          <t>No</t>
        </is>
      </c>
      <c r="AU1767">
        <f>HYPERLINK("https://creighton-primo.hosted.exlibrisgroup.com/primo-explore/search?tab=default_tab&amp;search_scope=EVERYTHING&amp;vid=01CRU&amp;lang=en_US&amp;offset=0&amp;query=any,contains,991000330759702656","Catalog Record")</f>
        <v/>
      </c>
      <c r="AV1767">
        <f>HYPERLINK("http://www.worldcat.org/oclc/48249350","WorldCat Record")</f>
        <v/>
      </c>
      <c r="AW1767" t="inlineStr">
        <is>
          <t>156174692:eng</t>
        </is>
      </c>
      <c r="AX1767" t="inlineStr">
        <is>
          <t>48249350</t>
        </is>
      </c>
      <c r="AY1767" t="inlineStr">
        <is>
          <t>991000330759702656</t>
        </is>
      </c>
      <c r="AZ1767" t="inlineStr">
        <is>
          <t>991000330759702656</t>
        </is>
      </c>
      <c r="BA1767" t="inlineStr">
        <is>
          <t>2262274700002656</t>
        </is>
      </c>
      <c r="BB1767" t="inlineStr">
        <is>
          <t>BOOK</t>
        </is>
      </c>
      <c r="BD1767" t="inlineStr">
        <is>
          <t>9780803609204</t>
        </is>
      </c>
      <c r="BE1767" t="inlineStr">
        <is>
          <t>30001004440253</t>
        </is>
      </c>
      <c r="BF1767" t="inlineStr">
        <is>
          <t>893274969</t>
        </is>
      </c>
    </row>
    <row r="1768">
      <c r="A1768" t="inlineStr">
        <is>
          <t>No</t>
        </is>
      </c>
      <c r="B1768" t="inlineStr">
        <is>
          <t>CUHSL</t>
        </is>
      </c>
      <c r="C1768" t="inlineStr">
        <is>
          <t>SHELVES</t>
        </is>
      </c>
      <c r="D1768" t="inlineStr">
        <is>
          <t>WY 160 T749p 2000</t>
        </is>
      </c>
      <c r="E1768" t="inlineStr">
        <is>
          <t>0                      WY 0160000T  749p        2000</t>
        </is>
      </c>
      <c r="F1768" t="inlineStr">
        <is>
          <t>Psychiatric mental health nursing : concepts of care / Mary C. Townsend.</t>
        </is>
      </c>
      <c r="H1768" t="inlineStr">
        <is>
          <t>No</t>
        </is>
      </c>
      <c r="I1768" t="inlineStr">
        <is>
          <t>1</t>
        </is>
      </c>
      <c r="J1768" t="inlineStr">
        <is>
          <t>No</t>
        </is>
      </c>
      <c r="K1768" t="inlineStr">
        <is>
          <t>Yes</t>
        </is>
      </c>
      <c r="L1768" t="inlineStr">
        <is>
          <t>0</t>
        </is>
      </c>
      <c r="M1768" t="inlineStr">
        <is>
          <t>Townsend, Mary C., 1941-</t>
        </is>
      </c>
      <c r="N1768" t="inlineStr">
        <is>
          <t>Philadelphia : F.A. Davis, c2000.</t>
        </is>
      </c>
      <c r="O1768" t="inlineStr">
        <is>
          <t>2000</t>
        </is>
      </c>
      <c r="P1768" t="inlineStr">
        <is>
          <t>3rd ed.</t>
        </is>
      </c>
      <c r="Q1768" t="inlineStr">
        <is>
          <t>eng</t>
        </is>
      </c>
      <c r="R1768" t="inlineStr">
        <is>
          <t>pau</t>
        </is>
      </c>
      <c r="T1768" t="inlineStr">
        <is>
          <t xml:space="preserve">WY </t>
        </is>
      </c>
      <c r="U1768" t="n">
        <v>3</v>
      </c>
      <c r="V1768" t="n">
        <v>3</v>
      </c>
      <c r="W1768" t="inlineStr">
        <is>
          <t>2000-02-11</t>
        </is>
      </c>
      <c r="X1768" t="inlineStr">
        <is>
          <t>2000-02-11</t>
        </is>
      </c>
      <c r="Y1768" t="inlineStr">
        <is>
          <t>2000-02-10</t>
        </is>
      </c>
      <c r="Z1768" t="inlineStr">
        <is>
          <t>2000-02-10</t>
        </is>
      </c>
      <c r="AA1768" t="n">
        <v>245</v>
      </c>
      <c r="AB1768" t="n">
        <v>199</v>
      </c>
      <c r="AC1768" t="n">
        <v>1274</v>
      </c>
      <c r="AD1768" t="n">
        <v>1</v>
      </c>
      <c r="AE1768" t="n">
        <v>10</v>
      </c>
      <c r="AF1768" t="n">
        <v>6</v>
      </c>
      <c r="AG1768" t="n">
        <v>43</v>
      </c>
      <c r="AH1768" t="n">
        <v>4</v>
      </c>
      <c r="AI1768" t="n">
        <v>17</v>
      </c>
      <c r="AJ1768" t="n">
        <v>1</v>
      </c>
      <c r="AK1768" t="n">
        <v>9</v>
      </c>
      <c r="AL1768" t="n">
        <v>4</v>
      </c>
      <c r="AM1768" t="n">
        <v>15</v>
      </c>
      <c r="AN1768" t="n">
        <v>0</v>
      </c>
      <c r="AO1768" t="n">
        <v>8</v>
      </c>
      <c r="AP1768" t="n">
        <v>0</v>
      </c>
      <c r="AQ1768" t="n">
        <v>1</v>
      </c>
      <c r="AR1768" t="inlineStr">
        <is>
          <t>No</t>
        </is>
      </c>
      <c r="AS1768" t="inlineStr">
        <is>
          <t>Yes</t>
        </is>
      </c>
      <c r="AT1768">
        <f>HYPERLINK("http://catalog.hathitrust.org/Record/003445819","HathiTrust Record")</f>
        <v/>
      </c>
      <c r="AU1768">
        <f>HYPERLINK("https://creighton-primo.hosted.exlibrisgroup.com/primo-explore/search?tab=default_tab&amp;search_scope=EVERYTHING&amp;vid=01CRU&amp;lang=en_US&amp;offset=0&amp;query=any,contains,991001412369702656","Catalog Record")</f>
        <v/>
      </c>
      <c r="AV1768">
        <f>HYPERLINK("http://www.worldcat.org/oclc/41646948","WorldCat Record")</f>
        <v/>
      </c>
      <c r="AW1768" t="inlineStr">
        <is>
          <t>408557:eng</t>
        </is>
      </c>
      <c r="AX1768" t="inlineStr">
        <is>
          <t>41646948</t>
        </is>
      </c>
      <c r="AY1768" t="inlineStr">
        <is>
          <t>991001412369702656</t>
        </is>
      </c>
      <c r="AZ1768" t="inlineStr">
        <is>
          <t>991001412369702656</t>
        </is>
      </c>
      <c r="BA1768" t="inlineStr">
        <is>
          <t>2261664810002656</t>
        </is>
      </c>
      <c r="BB1768" t="inlineStr">
        <is>
          <t>BOOK</t>
        </is>
      </c>
      <c r="BD1768" t="inlineStr">
        <is>
          <t>9780803604834</t>
        </is>
      </c>
      <c r="BE1768" t="inlineStr">
        <is>
          <t>30001003832443</t>
        </is>
      </c>
      <c r="BF1768" t="inlineStr">
        <is>
          <t>893652008</t>
        </is>
      </c>
    </row>
    <row r="1769">
      <c r="A1769" t="inlineStr">
        <is>
          <t>No</t>
        </is>
      </c>
      <c r="B1769" t="inlineStr">
        <is>
          <t>CUHSL</t>
        </is>
      </c>
      <c r="C1769" t="inlineStr">
        <is>
          <t>SHELVES</t>
        </is>
      </c>
      <c r="D1769" t="inlineStr">
        <is>
          <t>WY 160 W748p 1992</t>
        </is>
      </c>
      <c r="E1769" t="inlineStr">
        <is>
          <t>0                      WY 0160000W  748p        1992</t>
        </is>
      </c>
      <c r="F1769" t="inlineStr">
        <is>
          <t>Psychiatric nursing / Holly Skodol Wilson, Carol Ren Kneisl.</t>
        </is>
      </c>
      <c r="H1769" t="inlineStr">
        <is>
          <t>No</t>
        </is>
      </c>
      <c r="I1769" t="inlineStr">
        <is>
          <t>1</t>
        </is>
      </c>
      <c r="J1769" t="inlineStr">
        <is>
          <t>No</t>
        </is>
      </c>
      <c r="K1769" t="inlineStr">
        <is>
          <t>Yes</t>
        </is>
      </c>
      <c r="L1769" t="inlineStr">
        <is>
          <t>0</t>
        </is>
      </c>
      <c r="M1769" t="inlineStr">
        <is>
          <t>Wilson, Holly Skodol.</t>
        </is>
      </c>
      <c r="N1769" t="inlineStr">
        <is>
          <t>Redwood City, Calif. : Addison-Wesley Nursing, c1992.</t>
        </is>
      </c>
      <c r="O1769" t="inlineStr">
        <is>
          <t>1992</t>
        </is>
      </c>
      <c r="P1769" t="inlineStr">
        <is>
          <t>4th ed.</t>
        </is>
      </c>
      <c r="Q1769" t="inlineStr">
        <is>
          <t>eng</t>
        </is>
      </c>
      <c r="R1769" t="inlineStr">
        <is>
          <t>xxu</t>
        </is>
      </c>
      <c r="T1769" t="inlineStr">
        <is>
          <t xml:space="preserve">WY </t>
        </is>
      </c>
      <c r="U1769" t="n">
        <v>53</v>
      </c>
      <c r="V1769" t="n">
        <v>53</v>
      </c>
      <c r="W1769" t="inlineStr">
        <is>
          <t>1996-08-12</t>
        </is>
      </c>
      <c r="X1769" t="inlineStr">
        <is>
          <t>1996-08-12</t>
        </is>
      </c>
      <c r="Y1769" t="inlineStr">
        <is>
          <t>1992-08-06</t>
        </is>
      </c>
      <c r="Z1769" t="inlineStr">
        <is>
          <t>1992-08-06</t>
        </is>
      </c>
      <c r="AA1769" t="n">
        <v>342</v>
      </c>
      <c r="AB1769" t="n">
        <v>247</v>
      </c>
      <c r="AC1769" t="n">
        <v>684</v>
      </c>
      <c r="AD1769" t="n">
        <v>3</v>
      </c>
      <c r="AE1769" t="n">
        <v>6</v>
      </c>
      <c r="AF1769" t="n">
        <v>5</v>
      </c>
      <c r="AG1769" t="n">
        <v>21</v>
      </c>
      <c r="AH1769" t="n">
        <v>1</v>
      </c>
      <c r="AI1769" t="n">
        <v>9</v>
      </c>
      <c r="AJ1769" t="n">
        <v>2</v>
      </c>
      <c r="AK1769" t="n">
        <v>4</v>
      </c>
      <c r="AL1769" t="n">
        <v>5</v>
      </c>
      <c r="AM1769" t="n">
        <v>12</v>
      </c>
      <c r="AN1769" t="n">
        <v>0</v>
      </c>
      <c r="AO1769" t="n">
        <v>1</v>
      </c>
      <c r="AP1769" t="n">
        <v>0</v>
      </c>
      <c r="AQ1769" t="n">
        <v>0</v>
      </c>
      <c r="AR1769" t="inlineStr">
        <is>
          <t>No</t>
        </is>
      </c>
      <c r="AS1769" t="inlineStr">
        <is>
          <t>Yes</t>
        </is>
      </c>
      <c r="AT1769">
        <f>HYPERLINK("http://catalog.hathitrust.org/Record/002511222","HathiTrust Record")</f>
        <v/>
      </c>
      <c r="AU1769">
        <f>HYPERLINK("https://creighton-primo.hosted.exlibrisgroup.com/primo-explore/search?tab=default_tab&amp;search_scope=EVERYTHING&amp;vid=01CRU&amp;lang=en_US&amp;offset=0&amp;query=any,contains,991001338599702656","Catalog Record")</f>
        <v/>
      </c>
      <c r="AV1769">
        <f>HYPERLINK("http://www.worldcat.org/oclc/24504234","WorldCat Record")</f>
        <v/>
      </c>
      <c r="AW1769" t="inlineStr">
        <is>
          <t>14775015:eng</t>
        </is>
      </c>
      <c r="AX1769" t="inlineStr">
        <is>
          <t>24504234</t>
        </is>
      </c>
      <c r="AY1769" t="inlineStr">
        <is>
          <t>991001338599702656</t>
        </is>
      </c>
      <c r="AZ1769" t="inlineStr">
        <is>
          <t>991001338599702656</t>
        </is>
      </c>
      <c r="BA1769" t="inlineStr">
        <is>
          <t>2266500380002656</t>
        </is>
      </c>
      <c r="BB1769" t="inlineStr">
        <is>
          <t>BOOK</t>
        </is>
      </c>
      <c r="BD1769" t="inlineStr">
        <is>
          <t>9780805394009</t>
        </is>
      </c>
      <c r="BE1769" t="inlineStr">
        <is>
          <t>30001002455022</t>
        </is>
      </c>
      <c r="BF1769" t="inlineStr">
        <is>
          <t>893727484</t>
        </is>
      </c>
    </row>
    <row r="1770">
      <c r="A1770" t="inlineStr">
        <is>
          <t>No</t>
        </is>
      </c>
      <c r="B1770" t="inlineStr">
        <is>
          <t>CUHSL</t>
        </is>
      </c>
      <c r="C1770" t="inlineStr">
        <is>
          <t>SHELVES</t>
        </is>
      </c>
      <c r="D1770" t="inlineStr">
        <is>
          <t>WY 160 W748p 1996</t>
        </is>
      </c>
      <c r="E1770" t="inlineStr">
        <is>
          <t>0                      WY 0160000W  748p        1996</t>
        </is>
      </c>
      <c r="F1770" t="inlineStr">
        <is>
          <t>Psychiatric nursing / Holly Skodol Wilson, Carol Ren Kneisl.</t>
        </is>
      </c>
      <c r="H1770" t="inlineStr">
        <is>
          <t>No</t>
        </is>
      </c>
      <c r="I1770" t="inlineStr">
        <is>
          <t>1</t>
        </is>
      </c>
      <c r="J1770" t="inlineStr">
        <is>
          <t>No</t>
        </is>
      </c>
      <c r="K1770" t="inlineStr">
        <is>
          <t>Yes</t>
        </is>
      </c>
      <c r="L1770" t="inlineStr">
        <is>
          <t>0</t>
        </is>
      </c>
      <c r="M1770" t="inlineStr">
        <is>
          <t>Wilson, Holly Skodol.</t>
        </is>
      </c>
      <c r="N1770" t="inlineStr">
        <is>
          <t>Menlo Park, Calif. : Addison-Wesley Nursing, c1996.</t>
        </is>
      </c>
      <c r="O1770" t="inlineStr">
        <is>
          <t>1996</t>
        </is>
      </c>
      <c r="P1770" t="inlineStr">
        <is>
          <t>5th ed.</t>
        </is>
      </c>
      <c r="Q1770" t="inlineStr">
        <is>
          <t>eng</t>
        </is>
      </c>
      <c r="R1770" t="inlineStr">
        <is>
          <t>cau</t>
        </is>
      </c>
      <c r="T1770" t="inlineStr">
        <is>
          <t xml:space="preserve">WY </t>
        </is>
      </c>
      <c r="U1770" t="n">
        <v>19</v>
      </c>
      <c r="V1770" t="n">
        <v>19</v>
      </c>
      <c r="W1770" t="inlineStr">
        <is>
          <t>2004-12-05</t>
        </is>
      </c>
      <c r="X1770" t="inlineStr">
        <is>
          <t>2004-12-05</t>
        </is>
      </c>
      <c r="Y1770" t="inlineStr">
        <is>
          <t>1996-08-20</t>
        </is>
      </c>
      <c r="Z1770" t="inlineStr">
        <is>
          <t>1996-08-20</t>
        </is>
      </c>
      <c r="AA1770" t="n">
        <v>369</v>
      </c>
      <c r="AB1770" t="n">
        <v>266</v>
      </c>
      <c r="AC1770" t="n">
        <v>684</v>
      </c>
      <c r="AD1770" t="n">
        <v>2</v>
      </c>
      <c r="AE1770" t="n">
        <v>6</v>
      </c>
      <c r="AF1770" t="n">
        <v>11</v>
      </c>
      <c r="AG1770" t="n">
        <v>21</v>
      </c>
      <c r="AH1770" t="n">
        <v>5</v>
      </c>
      <c r="AI1770" t="n">
        <v>9</v>
      </c>
      <c r="AJ1770" t="n">
        <v>1</v>
      </c>
      <c r="AK1770" t="n">
        <v>4</v>
      </c>
      <c r="AL1770" t="n">
        <v>7</v>
      </c>
      <c r="AM1770" t="n">
        <v>12</v>
      </c>
      <c r="AN1770" t="n">
        <v>0</v>
      </c>
      <c r="AO1770" t="n">
        <v>1</v>
      </c>
      <c r="AP1770" t="n">
        <v>0</v>
      </c>
      <c r="AQ1770" t="n">
        <v>0</v>
      </c>
      <c r="AR1770" t="inlineStr">
        <is>
          <t>No</t>
        </is>
      </c>
      <c r="AS1770" t="inlineStr">
        <is>
          <t>No</t>
        </is>
      </c>
      <c r="AU1770">
        <f>HYPERLINK("https://creighton-primo.hosted.exlibrisgroup.com/primo-explore/search?tab=default_tab&amp;search_scope=EVERYTHING&amp;vid=01CRU&amp;lang=en_US&amp;offset=0&amp;query=any,contains,991000834589702656","Catalog Record")</f>
        <v/>
      </c>
      <c r="AV1770">
        <f>HYPERLINK("http://www.worldcat.org/oclc/33105359","WorldCat Record")</f>
        <v/>
      </c>
      <c r="AW1770" t="inlineStr">
        <is>
          <t>14775015:eng</t>
        </is>
      </c>
      <c r="AX1770" t="inlineStr">
        <is>
          <t>33105359</t>
        </is>
      </c>
      <c r="AY1770" t="inlineStr">
        <is>
          <t>991000834589702656</t>
        </is>
      </c>
      <c r="AZ1770" t="inlineStr">
        <is>
          <t>991000834589702656</t>
        </is>
      </c>
      <c r="BA1770" t="inlineStr">
        <is>
          <t>2263231570002656</t>
        </is>
      </c>
      <c r="BB1770" t="inlineStr">
        <is>
          <t>BOOK</t>
        </is>
      </c>
      <c r="BD1770" t="inlineStr">
        <is>
          <t>9780805394085</t>
        </is>
      </c>
      <c r="BE1770" t="inlineStr">
        <is>
          <t>30001003441088</t>
        </is>
      </c>
      <c r="BF1770" t="inlineStr">
        <is>
          <t>893831512</t>
        </is>
      </c>
    </row>
    <row r="1771">
      <c r="A1771" t="inlineStr">
        <is>
          <t>No</t>
        </is>
      </c>
      <c r="B1771" t="inlineStr">
        <is>
          <t>CUHSL</t>
        </is>
      </c>
      <c r="C1771" t="inlineStr">
        <is>
          <t>SHELVES</t>
        </is>
      </c>
      <c r="D1771" t="inlineStr">
        <is>
          <t>WY 161 A189 1992</t>
        </is>
      </c>
      <c r="E1771" t="inlineStr">
        <is>
          <t>0                      WY 0161000A  189         1992</t>
        </is>
      </c>
      <c r="F1771" t="inlineStr">
        <is>
          <t>Acute and chronic wounds : nursing management / edited by Ruth A. Bryant.</t>
        </is>
      </c>
      <c r="H1771" t="inlineStr">
        <is>
          <t>No</t>
        </is>
      </c>
      <c r="I1771" t="inlineStr">
        <is>
          <t>1</t>
        </is>
      </c>
      <c r="J1771" t="inlineStr">
        <is>
          <t>No</t>
        </is>
      </c>
      <c r="K1771" t="inlineStr">
        <is>
          <t>No</t>
        </is>
      </c>
      <c r="L1771" t="inlineStr">
        <is>
          <t>0</t>
        </is>
      </c>
      <c r="N1771" t="inlineStr">
        <is>
          <t>St. Louis : Mosby Year Book, c1992.</t>
        </is>
      </c>
      <c r="O1771" t="inlineStr">
        <is>
          <t>1992</t>
        </is>
      </c>
      <c r="Q1771" t="inlineStr">
        <is>
          <t>eng</t>
        </is>
      </c>
      <c r="R1771" t="inlineStr">
        <is>
          <t>mou</t>
        </is>
      </c>
      <c r="T1771" t="inlineStr">
        <is>
          <t xml:space="preserve">WY </t>
        </is>
      </c>
      <c r="U1771" t="n">
        <v>8</v>
      </c>
      <c r="V1771" t="n">
        <v>8</v>
      </c>
      <c r="W1771" t="inlineStr">
        <is>
          <t>2001-07-15</t>
        </is>
      </c>
      <c r="X1771" t="inlineStr">
        <is>
          <t>2001-07-15</t>
        </is>
      </c>
      <c r="Y1771" t="inlineStr">
        <is>
          <t>1992-04-23</t>
        </is>
      </c>
      <c r="Z1771" t="inlineStr">
        <is>
          <t>1992-04-23</t>
        </is>
      </c>
      <c r="AA1771" t="n">
        <v>253</v>
      </c>
      <c r="AB1771" t="n">
        <v>197</v>
      </c>
      <c r="AC1771" t="n">
        <v>367</v>
      </c>
      <c r="AD1771" t="n">
        <v>2</v>
      </c>
      <c r="AE1771" t="n">
        <v>2</v>
      </c>
      <c r="AF1771" t="n">
        <v>4</v>
      </c>
      <c r="AG1771" t="n">
        <v>11</v>
      </c>
      <c r="AH1771" t="n">
        <v>1</v>
      </c>
      <c r="AI1771" t="n">
        <v>5</v>
      </c>
      <c r="AJ1771" t="n">
        <v>2</v>
      </c>
      <c r="AK1771" t="n">
        <v>3</v>
      </c>
      <c r="AL1771" t="n">
        <v>3</v>
      </c>
      <c r="AM1771" t="n">
        <v>5</v>
      </c>
      <c r="AN1771" t="n">
        <v>0</v>
      </c>
      <c r="AO1771" t="n">
        <v>0</v>
      </c>
      <c r="AP1771" t="n">
        <v>0</v>
      </c>
      <c r="AQ1771" t="n">
        <v>0</v>
      </c>
      <c r="AR1771" t="inlineStr">
        <is>
          <t>No</t>
        </is>
      </c>
      <c r="AS1771" t="inlineStr">
        <is>
          <t>Yes</t>
        </is>
      </c>
      <c r="AT1771">
        <f>HYPERLINK("http://catalog.hathitrust.org/Record/002600344","HathiTrust Record")</f>
        <v/>
      </c>
      <c r="AU1771">
        <f>HYPERLINK("https://creighton-primo.hosted.exlibrisgroup.com/primo-explore/search?tab=default_tab&amp;search_scope=EVERYTHING&amp;vid=01CRU&amp;lang=en_US&amp;offset=0&amp;query=any,contains,991001303089702656","Catalog Record")</f>
        <v/>
      </c>
      <c r="AV1771">
        <f>HYPERLINK("http://www.worldcat.org/oclc/24547044","WorldCat Record")</f>
        <v/>
      </c>
      <c r="AW1771" t="inlineStr">
        <is>
          <t>3943618310:eng</t>
        </is>
      </c>
      <c r="AX1771" t="inlineStr">
        <is>
          <t>24547044</t>
        </is>
      </c>
      <c r="AY1771" t="inlineStr">
        <is>
          <t>991001303089702656</t>
        </is>
      </c>
      <c r="AZ1771" t="inlineStr">
        <is>
          <t>991001303089702656</t>
        </is>
      </c>
      <c r="BA1771" t="inlineStr">
        <is>
          <t>2267833270002656</t>
        </is>
      </c>
      <c r="BB1771" t="inlineStr">
        <is>
          <t>BOOK</t>
        </is>
      </c>
      <c r="BD1771" t="inlineStr">
        <is>
          <t>9780801608964</t>
        </is>
      </c>
      <c r="BE1771" t="inlineStr">
        <is>
          <t>30001002412601</t>
        </is>
      </c>
      <c r="BF1771" t="inlineStr">
        <is>
          <t>893632933</t>
        </is>
      </c>
    </row>
    <row r="1772">
      <c r="A1772" t="inlineStr">
        <is>
          <t>No</t>
        </is>
      </c>
      <c r="B1772" t="inlineStr">
        <is>
          <t>CUHSL</t>
        </is>
      </c>
      <c r="C1772" t="inlineStr">
        <is>
          <t>SHELVES</t>
        </is>
      </c>
      <c r="D1772" t="inlineStr">
        <is>
          <t>WY 161 A3756 1995</t>
        </is>
      </c>
      <c r="E1772" t="inlineStr">
        <is>
          <t>0                      WY 0161000A  3756        1995</t>
        </is>
      </c>
      <c r="F1772" t="inlineStr">
        <is>
          <t>Alexander's care of the patient in surgery.</t>
        </is>
      </c>
      <c r="H1772" t="inlineStr">
        <is>
          <t>No</t>
        </is>
      </c>
      <c r="I1772" t="inlineStr">
        <is>
          <t>1</t>
        </is>
      </c>
      <c r="J1772" t="inlineStr">
        <is>
          <t>No</t>
        </is>
      </c>
      <c r="K1772" t="inlineStr">
        <is>
          <t>Yes</t>
        </is>
      </c>
      <c r="L1772" t="inlineStr">
        <is>
          <t>0</t>
        </is>
      </c>
      <c r="N1772" t="inlineStr">
        <is>
          <t>St Louis : Mosby, c1995.</t>
        </is>
      </c>
      <c r="O1772" t="inlineStr">
        <is>
          <t>1995</t>
        </is>
      </c>
      <c r="P1772" t="inlineStr">
        <is>
          <t>10th ed. / [edited by] Margaret Huth Meeker, Jane C. Rothrock.</t>
        </is>
      </c>
      <c r="Q1772" t="inlineStr">
        <is>
          <t>eng</t>
        </is>
      </c>
      <c r="R1772" t="inlineStr">
        <is>
          <t>xxu</t>
        </is>
      </c>
      <c r="T1772" t="inlineStr">
        <is>
          <t xml:space="preserve">WY </t>
        </is>
      </c>
      <c r="U1772" t="n">
        <v>19</v>
      </c>
      <c r="V1772" t="n">
        <v>19</v>
      </c>
      <c r="W1772" t="inlineStr">
        <is>
          <t>2002-09-23</t>
        </is>
      </c>
      <c r="X1772" t="inlineStr">
        <is>
          <t>2002-09-23</t>
        </is>
      </c>
      <c r="Y1772" t="inlineStr">
        <is>
          <t>1996-01-23</t>
        </is>
      </c>
      <c r="Z1772" t="inlineStr">
        <is>
          <t>1996-01-23</t>
        </is>
      </c>
      <c r="AA1772" t="n">
        <v>329</v>
      </c>
      <c r="AB1772" t="n">
        <v>251</v>
      </c>
      <c r="AC1772" t="n">
        <v>1296</v>
      </c>
      <c r="AD1772" t="n">
        <v>3</v>
      </c>
      <c r="AE1772" t="n">
        <v>9</v>
      </c>
      <c r="AF1772" t="n">
        <v>4</v>
      </c>
      <c r="AG1772" t="n">
        <v>35</v>
      </c>
      <c r="AH1772" t="n">
        <v>1</v>
      </c>
      <c r="AI1772" t="n">
        <v>12</v>
      </c>
      <c r="AJ1772" t="n">
        <v>1</v>
      </c>
      <c r="AK1772" t="n">
        <v>7</v>
      </c>
      <c r="AL1772" t="n">
        <v>3</v>
      </c>
      <c r="AM1772" t="n">
        <v>14</v>
      </c>
      <c r="AN1772" t="n">
        <v>0</v>
      </c>
      <c r="AO1772" t="n">
        <v>6</v>
      </c>
      <c r="AP1772" t="n">
        <v>0</v>
      </c>
      <c r="AQ1772" t="n">
        <v>0</v>
      </c>
      <c r="AR1772" t="inlineStr">
        <is>
          <t>No</t>
        </is>
      </c>
      <c r="AS1772" t="inlineStr">
        <is>
          <t>No</t>
        </is>
      </c>
      <c r="AU1772">
        <f>HYPERLINK("https://creighton-primo.hosted.exlibrisgroup.com/primo-explore/search?tab=default_tab&amp;search_scope=EVERYTHING&amp;vid=01CRU&amp;lang=en_US&amp;offset=0&amp;query=any,contains,991001502949702656","Catalog Record")</f>
        <v/>
      </c>
      <c r="AV1772">
        <f>HYPERLINK("http://www.worldcat.org/oclc/32351602","WorldCat Record")</f>
        <v/>
      </c>
      <c r="AW1772" t="inlineStr">
        <is>
          <t>364024595:eng</t>
        </is>
      </c>
      <c r="AX1772" t="inlineStr">
        <is>
          <t>32351602</t>
        </is>
      </c>
      <c r="AY1772" t="inlineStr">
        <is>
          <t>991001502949702656</t>
        </is>
      </c>
      <c r="AZ1772" t="inlineStr">
        <is>
          <t>991001502949702656</t>
        </is>
      </c>
      <c r="BA1772" t="inlineStr">
        <is>
          <t>2272685620002656</t>
        </is>
      </c>
      <c r="BB1772" t="inlineStr">
        <is>
          <t>BOOK</t>
        </is>
      </c>
      <c r="BD1772" t="inlineStr">
        <is>
          <t>9780801679247</t>
        </is>
      </c>
      <c r="BE1772" t="inlineStr">
        <is>
          <t>30001003263144</t>
        </is>
      </c>
      <c r="BF1772" t="inlineStr">
        <is>
          <t>893633150</t>
        </is>
      </c>
    </row>
    <row r="1773">
      <c r="A1773" t="inlineStr">
        <is>
          <t>No</t>
        </is>
      </c>
      <c r="B1773" t="inlineStr">
        <is>
          <t>CUHSL</t>
        </is>
      </c>
      <c r="C1773" t="inlineStr">
        <is>
          <t>SHELVES</t>
        </is>
      </c>
      <c r="D1773" t="inlineStr">
        <is>
          <t>WY 161 A3756 1999</t>
        </is>
      </c>
      <c r="E1773" t="inlineStr">
        <is>
          <t>0                      WY 0161000A  3756        1999</t>
        </is>
      </c>
      <c r="F1773" t="inlineStr">
        <is>
          <t>Alexander's care of the patient in surgery / [edited by] Margaret H. Meeker, Jane C. Rothrock.</t>
        </is>
      </c>
      <c r="H1773" t="inlineStr">
        <is>
          <t>No</t>
        </is>
      </c>
      <c r="I1773" t="inlineStr">
        <is>
          <t>1</t>
        </is>
      </c>
      <c r="J1773" t="inlineStr">
        <is>
          <t>No</t>
        </is>
      </c>
      <c r="K1773" t="inlineStr">
        <is>
          <t>Yes</t>
        </is>
      </c>
      <c r="L1773" t="inlineStr">
        <is>
          <t>0</t>
        </is>
      </c>
      <c r="N1773" t="inlineStr">
        <is>
          <t>St. Louis : Mosby, c1999.</t>
        </is>
      </c>
      <c r="O1773" t="inlineStr">
        <is>
          <t>1999</t>
        </is>
      </c>
      <c r="P1773" t="inlineStr">
        <is>
          <t>11th ed.</t>
        </is>
      </c>
      <c r="Q1773" t="inlineStr">
        <is>
          <t>eng</t>
        </is>
      </c>
      <c r="R1773" t="inlineStr">
        <is>
          <t>mou</t>
        </is>
      </c>
      <c r="T1773" t="inlineStr">
        <is>
          <t xml:space="preserve">WY </t>
        </is>
      </c>
      <c r="U1773" t="n">
        <v>4</v>
      </c>
      <c r="V1773" t="n">
        <v>4</v>
      </c>
      <c r="W1773" t="inlineStr">
        <is>
          <t>2003-05-23</t>
        </is>
      </c>
      <c r="X1773" t="inlineStr">
        <is>
          <t>2003-05-23</t>
        </is>
      </c>
      <c r="Y1773" t="inlineStr">
        <is>
          <t>1999-02-11</t>
        </is>
      </c>
      <c r="Z1773" t="inlineStr">
        <is>
          <t>1999-02-11</t>
        </is>
      </c>
      <c r="AA1773" t="n">
        <v>382</v>
      </c>
      <c r="AB1773" t="n">
        <v>305</v>
      </c>
      <c r="AC1773" t="n">
        <v>1296</v>
      </c>
      <c r="AD1773" t="n">
        <v>2</v>
      </c>
      <c r="AE1773" t="n">
        <v>9</v>
      </c>
      <c r="AF1773" t="n">
        <v>7</v>
      </c>
      <c r="AG1773" t="n">
        <v>35</v>
      </c>
      <c r="AH1773" t="n">
        <v>2</v>
      </c>
      <c r="AI1773" t="n">
        <v>12</v>
      </c>
      <c r="AJ1773" t="n">
        <v>1</v>
      </c>
      <c r="AK1773" t="n">
        <v>7</v>
      </c>
      <c r="AL1773" t="n">
        <v>4</v>
      </c>
      <c r="AM1773" t="n">
        <v>14</v>
      </c>
      <c r="AN1773" t="n">
        <v>1</v>
      </c>
      <c r="AO1773" t="n">
        <v>6</v>
      </c>
      <c r="AP1773" t="n">
        <v>0</v>
      </c>
      <c r="AQ1773" t="n">
        <v>0</v>
      </c>
      <c r="AR1773" t="inlineStr">
        <is>
          <t>No</t>
        </is>
      </c>
      <c r="AS1773" t="inlineStr">
        <is>
          <t>No</t>
        </is>
      </c>
      <c r="AU1773">
        <f>HYPERLINK("https://creighton-primo.hosted.exlibrisgroup.com/primo-explore/search?tab=default_tab&amp;search_scope=EVERYTHING&amp;vid=01CRU&amp;lang=en_US&amp;offset=0&amp;query=any,contains,991000876219702656","Catalog Record")</f>
        <v/>
      </c>
      <c r="AV1773">
        <f>HYPERLINK("http://www.worldcat.org/oclc/39811647","WorldCat Record")</f>
        <v/>
      </c>
      <c r="AW1773" t="inlineStr">
        <is>
          <t>364024595:eng</t>
        </is>
      </c>
      <c r="AX1773" t="inlineStr">
        <is>
          <t>39811647</t>
        </is>
      </c>
      <c r="AY1773" t="inlineStr">
        <is>
          <t>991000876219702656</t>
        </is>
      </c>
      <c r="AZ1773" t="inlineStr">
        <is>
          <t>991000876219702656</t>
        </is>
      </c>
      <c r="BA1773" t="inlineStr">
        <is>
          <t>2269962850002656</t>
        </is>
      </c>
      <c r="BB1773" t="inlineStr">
        <is>
          <t>BOOK</t>
        </is>
      </c>
      <c r="BD1773" t="inlineStr">
        <is>
          <t>9780323001342</t>
        </is>
      </c>
      <c r="BE1773" t="inlineStr">
        <is>
          <t>30001004159358</t>
        </is>
      </c>
      <c r="BF1773" t="inlineStr">
        <is>
          <t>893374058</t>
        </is>
      </c>
    </row>
    <row r="1774">
      <c r="A1774" t="inlineStr">
        <is>
          <t>No</t>
        </is>
      </c>
      <c r="B1774" t="inlineStr">
        <is>
          <t>CUHSL</t>
        </is>
      </c>
      <c r="C1774" t="inlineStr">
        <is>
          <t>SHELVES</t>
        </is>
      </c>
      <c r="D1774" t="inlineStr">
        <is>
          <t>WY 161 A3756 2003</t>
        </is>
      </c>
      <c r="E1774" t="inlineStr">
        <is>
          <t>0                      WY 0161000A  3756        2003</t>
        </is>
      </c>
      <c r="F1774" t="inlineStr">
        <is>
          <t>Alexander's care of the patient in surgery / [edited by] Jane C. Rothrock ; associate editors, Dale A. Smith, Donna R. McEwen.</t>
        </is>
      </c>
      <c r="H1774" t="inlineStr">
        <is>
          <t>No</t>
        </is>
      </c>
      <c r="I1774" t="inlineStr">
        <is>
          <t>1</t>
        </is>
      </c>
      <c r="J1774" t="inlineStr">
        <is>
          <t>No</t>
        </is>
      </c>
      <c r="K1774" t="inlineStr">
        <is>
          <t>Yes</t>
        </is>
      </c>
      <c r="L1774" t="inlineStr">
        <is>
          <t>0</t>
        </is>
      </c>
      <c r="N1774" t="inlineStr">
        <is>
          <t>St. Louis, Mo. : Mosby, c2003.</t>
        </is>
      </c>
      <c r="O1774" t="inlineStr">
        <is>
          <t>2003</t>
        </is>
      </c>
      <c r="P1774" t="inlineStr">
        <is>
          <t>12th ed.</t>
        </is>
      </c>
      <c r="Q1774" t="inlineStr">
        <is>
          <t>eng</t>
        </is>
      </c>
      <c r="R1774" t="inlineStr">
        <is>
          <t>mou</t>
        </is>
      </c>
      <c r="T1774" t="inlineStr">
        <is>
          <t xml:space="preserve">WY </t>
        </is>
      </c>
      <c r="U1774" t="n">
        <v>3</v>
      </c>
      <c r="V1774" t="n">
        <v>3</v>
      </c>
      <c r="W1774" t="inlineStr">
        <is>
          <t>2009-07-27</t>
        </is>
      </c>
      <c r="X1774" t="inlineStr">
        <is>
          <t>2009-07-27</t>
        </is>
      </c>
      <c r="Y1774" t="inlineStr">
        <is>
          <t>2003-06-06</t>
        </is>
      </c>
      <c r="Z1774" t="inlineStr">
        <is>
          <t>2003-06-06</t>
        </is>
      </c>
      <c r="AA1774" t="n">
        <v>468</v>
      </c>
      <c r="AB1774" t="n">
        <v>354</v>
      </c>
      <c r="AC1774" t="n">
        <v>1296</v>
      </c>
      <c r="AD1774" t="n">
        <v>2</v>
      </c>
      <c r="AE1774" t="n">
        <v>9</v>
      </c>
      <c r="AF1774" t="n">
        <v>12</v>
      </c>
      <c r="AG1774" t="n">
        <v>35</v>
      </c>
      <c r="AH1774" t="n">
        <v>4</v>
      </c>
      <c r="AI1774" t="n">
        <v>12</v>
      </c>
      <c r="AJ1774" t="n">
        <v>2</v>
      </c>
      <c r="AK1774" t="n">
        <v>7</v>
      </c>
      <c r="AL1774" t="n">
        <v>5</v>
      </c>
      <c r="AM1774" t="n">
        <v>14</v>
      </c>
      <c r="AN1774" t="n">
        <v>2</v>
      </c>
      <c r="AO1774" t="n">
        <v>6</v>
      </c>
      <c r="AP1774" t="n">
        <v>0</v>
      </c>
      <c r="AQ1774" t="n">
        <v>0</v>
      </c>
      <c r="AR1774" t="inlineStr">
        <is>
          <t>No</t>
        </is>
      </c>
      <c r="AS1774" t="inlineStr">
        <is>
          <t>No</t>
        </is>
      </c>
      <c r="AU1774">
        <f>HYPERLINK("https://creighton-primo.hosted.exlibrisgroup.com/primo-explore/search?tab=default_tab&amp;search_scope=EVERYTHING&amp;vid=01CRU&amp;lang=en_US&amp;offset=0&amp;query=any,contains,991001721589702656","Catalog Record")</f>
        <v/>
      </c>
      <c r="AV1774">
        <f>HYPERLINK("http://www.worldcat.org/oclc/50333760","WorldCat Record")</f>
        <v/>
      </c>
      <c r="AW1774" t="inlineStr">
        <is>
          <t>364024595:eng</t>
        </is>
      </c>
      <c r="AX1774" t="inlineStr">
        <is>
          <t>50333760</t>
        </is>
      </c>
      <c r="AY1774" t="inlineStr">
        <is>
          <t>991001721589702656</t>
        </is>
      </c>
      <c r="AZ1774" t="inlineStr">
        <is>
          <t>991001721589702656</t>
        </is>
      </c>
      <c r="BA1774" t="inlineStr">
        <is>
          <t>2261294120002656</t>
        </is>
      </c>
      <c r="BB1774" t="inlineStr">
        <is>
          <t>BOOK</t>
        </is>
      </c>
      <c r="BD1774" t="inlineStr">
        <is>
          <t>9780323016223</t>
        </is>
      </c>
      <c r="BE1774" t="inlineStr">
        <is>
          <t>30001004501443</t>
        </is>
      </c>
      <c r="BF1774" t="inlineStr">
        <is>
          <t>893149395</t>
        </is>
      </c>
    </row>
    <row r="1775">
      <c r="A1775" t="inlineStr">
        <is>
          <t>No</t>
        </is>
      </c>
      <c r="B1775" t="inlineStr">
        <is>
          <t>CUHSL</t>
        </is>
      </c>
      <c r="C1775" t="inlineStr">
        <is>
          <t>SHELVES</t>
        </is>
      </c>
      <c r="D1775" t="inlineStr">
        <is>
          <t>WY 161 A497 1983</t>
        </is>
      </c>
      <c r="E1775" t="inlineStr">
        <is>
          <t>0                      WY 0161000A  497         1983</t>
        </is>
      </c>
      <c r="F1775" t="inlineStr">
        <is>
          <t>Ambulatory surgery : a guide to perioperative nursing care / edited by Brenda Cole Mauldin.</t>
        </is>
      </c>
      <c r="H1775" t="inlineStr">
        <is>
          <t>No</t>
        </is>
      </c>
      <c r="I1775" t="inlineStr">
        <is>
          <t>1</t>
        </is>
      </c>
      <c r="J1775" t="inlineStr">
        <is>
          <t>No</t>
        </is>
      </c>
      <c r="K1775" t="inlineStr">
        <is>
          <t>No</t>
        </is>
      </c>
      <c r="L1775" t="inlineStr">
        <is>
          <t>0</t>
        </is>
      </c>
      <c r="N1775" t="inlineStr">
        <is>
          <t>New York : Grune &amp; Stratton, c1983.</t>
        </is>
      </c>
      <c r="O1775" t="inlineStr">
        <is>
          <t>1983</t>
        </is>
      </c>
      <c r="Q1775" t="inlineStr">
        <is>
          <t>eng</t>
        </is>
      </c>
      <c r="R1775" t="inlineStr">
        <is>
          <t>xxu</t>
        </is>
      </c>
      <c r="T1775" t="inlineStr">
        <is>
          <t xml:space="preserve">WY </t>
        </is>
      </c>
      <c r="U1775" t="n">
        <v>2</v>
      </c>
      <c r="V1775" t="n">
        <v>2</v>
      </c>
      <c r="W1775" t="inlineStr">
        <is>
          <t>2002-03-12</t>
        </is>
      </c>
      <c r="X1775" t="inlineStr">
        <is>
          <t>2002-03-12</t>
        </is>
      </c>
      <c r="Y1775" t="inlineStr">
        <is>
          <t>1987-12-29</t>
        </is>
      </c>
      <c r="Z1775" t="inlineStr">
        <is>
          <t>1987-12-29</t>
        </is>
      </c>
      <c r="AA1775" t="n">
        <v>171</v>
      </c>
      <c r="AB1775" t="n">
        <v>155</v>
      </c>
      <c r="AC1775" t="n">
        <v>157</v>
      </c>
      <c r="AD1775" t="n">
        <v>1</v>
      </c>
      <c r="AE1775" t="n">
        <v>1</v>
      </c>
      <c r="AF1775" t="n">
        <v>2</v>
      </c>
      <c r="AG1775" t="n">
        <v>2</v>
      </c>
      <c r="AH1775" t="n">
        <v>0</v>
      </c>
      <c r="AI1775" t="n">
        <v>0</v>
      </c>
      <c r="AJ1775" t="n">
        <v>1</v>
      </c>
      <c r="AK1775" t="n">
        <v>1</v>
      </c>
      <c r="AL1775" t="n">
        <v>2</v>
      </c>
      <c r="AM1775" t="n">
        <v>2</v>
      </c>
      <c r="AN1775" t="n">
        <v>0</v>
      </c>
      <c r="AO1775" t="n">
        <v>0</v>
      </c>
      <c r="AP1775" t="n">
        <v>0</v>
      </c>
      <c r="AQ1775" t="n">
        <v>0</v>
      </c>
      <c r="AR1775" t="inlineStr">
        <is>
          <t>No</t>
        </is>
      </c>
      <c r="AS1775" t="inlineStr">
        <is>
          <t>Yes</t>
        </is>
      </c>
      <c r="AT1775">
        <f>HYPERLINK("http://catalog.hathitrust.org/Record/000161534","HathiTrust Record")</f>
        <v/>
      </c>
      <c r="AU1775">
        <f>HYPERLINK("https://creighton-primo.hosted.exlibrisgroup.com/primo-explore/search?tab=default_tab&amp;search_scope=EVERYTHING&amp;vid=01CRU&amp;lang=en_US&amp;offset=0&amp;query=any,contains,991000927649702656","Catalog Record")</f>
        <v/>
      </c>
      <c r="AV1775">
        <f>HYPERLINK("http://www.worldcat.org/oclc/9412167","WorldCat Record")</f>
        <v/>
      </c>
      <c r="AW1775" t="inlineStr">
        <is>
          <t>43531653:eng</t>
        </is>
      </c>
      <c r="AX1775" t="inlineStr">
        <is>
          <t>9412167</t>
        </is>
      </c>
      <c r="AY1775" t="inlineStr">
        <is>
          <t>991000927649702656</t>
        </is>
      </c>
      <c r="AZ1775" t="inlineStr">
        <is>
          <t>991000927649702656</t>
        </is>
      </c>
      <c r="BA1775" t="inlineStr">
        <is>
          <t>2263565090002656</t>
        </is>
      </c>
      <c r="BB1775" t="inlineStr">
        <is>
          <t>BOOK</t>
        </is>
      </c>
      <c r="BD1775" t="inlineStr">
        <is>
          <t>9780808915690</t>
        </is>
      </c>
      <c r="BE1775" t="inlineStr">
        <is>
          <t>30001000184020</t>
        </is>
      </c>
      <c r="BF1775" t="inlineStr">
        <is>
          <t>893740589</t>
        </is>
      </c>
    </row>
    <row r="1776">
      <c r="A1776" t="inlineStr">
        <is>
          <t>No</t>
        </is>
      </c>
      <c r="B1776" t="inlineStr">
        <is>
          <t>CUHSL</t>
        </is>
      </c>
      <c r="C1776" t="inlineStr">
        <is>
          <t>SHELVES</t>
        </is>
      </c>
      <c r="D1776" t="inlineStr">
        <is>
          <t>WY 161 F849h 1978</t>
        </is>
      </c>
      <c r="E1776" t="inlineStr">
        <is>
          <t>0                      WY 0161000F  849h        1978</t>
        </is>
      </c>
      <c r="F1776" t="inlineStr">
        <is>
          <t>Notes on surgical nursing / William C. Fream.</t>
        </is>
      </c>
      <c r="H1776" t="inlineStr">
        <is>
          <t>No</t>
        </is>
      </c>
      <c r="I1776" t="inlineStr">
        <is>
          <t>1</t>
        </is>
      </c>
      <c r="J1776" t="inlineStr">
        <is>
          <t>No</t>
        </is>
      </c>
      <c r="K1776" t="inlineStr">
        <is>
          <t>No</t>
        </is>
      </c>
      <c r="L1776" t="inlineStr">
        <is>
          <t>0</t>
        </is>
      </c>
      <c r="M1776" t="inlineStr">
        <is>
          <t>Fream, William C. (William Charles)</t>
        </is>
      </c>
      <c r="N1776" t="inlineStr">
        <is>
          <t>Edinburgh ; New York : Churchill Livingstone ; New York : distributed by Longman, 1978.</t>
        </is>
      </c>
      <c r="O1776" t="inlineStr">
        <is>
          <t>1978</t>
        </is>
      </c>
      <c r="P1776" t="inlineStr">
        <is>
          <t>2d ed.</t>
        </is>
      </c>
      <c r="Q1776" t="inlineStr">
        <is>
          <t>eng</t>
        </is>
      </c>
      <c r="R1776" t="inlineStr">
        <is>
          <t>stk</t>
        </is>
      </c>
      <c r="T1776" t="inlineStr">
        <is>
          <t xml:space="preserve">WY </t>
        </is>
      </c>
      <c r="U1776" t="n">
        <v>1</v>
      </c>
      <c r="V1776" t="n">
        <v>1</v>
      </c>
      <c r="W1776" t="inlineStr">
        <is>
          <t>1997-04-08</t>
        </is>
      </c>
      <c r="X1776" t="inlineStr">
        <is>
          <t>1997-04-08</t>
        </is>
      </c>
      <c r="Y1776" t="inlineStr">
        <is>
          <t>1987-12-29</t>
        </is>
      </c>
      <c r="Z1776" t="inlineStr">
        <is>
          <t>1987-12-29</t>
        </is>
      </c>
      <c r="AA1776" t="n">
        <v>73</v>
      </c>
      <c r="AB1776" t="n">
        <v>38</v>
      </c>
      <c r="AC1776" t="n">
        <v>66</v>
      </c>
      <c r="AD1776" t="n">
        <v>1</v>
      </c>
      <c r="AE1776" t="n">
        <v>1</v>
      </c>
      <c r="AF1776" t="n">
        <v>0</v>
      </c>
      <c r="AG1776" t="n">
        <v>0</v>
      </c>
      <c r="AH1776" t="n">
        <v>0</v>
      </c>
      <c r="AI1776" t="n">
        <v>0</v>
      </c>
      <c r="AJ1776" t="n">
        <v>0</v>
      </c>
      <c r="AK1776" t="n">
        <v>0</v>
      </c>
      <c r="AL1776" t="n">
        <v>0</v>
      </c>
      <c r="AM1776" t="n">
        <v>0</v>
      </c>
      <c r="AN1776" t="n">
        <v>0</v>
      </c>
      <c r="AO1776" t="n">
        <v>0</v>
      </c>
      <c r="AP1776" t="n">
        <v>0</v>
      </c>
      <c r="AQ1776" t="n">
        <v>0</v>
      </c>
      <c r="AR1776" t="inlineStr">
        <is>
          <t>No</t>
        </is>
      </c>
      <c r="AS1776" t="inlineStr">
        <is>
          <t>No</t>
        </is>
      </c>
      <c r="AU1776">
        <f>HYPERLINK("https://creighton-primo.hosted.exlibrisgroup.com/primo-explore/search?tab=default_tab&amp;search_scope=EVERYTHING&amp;vid=01CRU&amp;lang=en_US&amp;offset=0&amp;query=any,contains,991000927819702656","Catalog Record")</f>
        <v/>
      </c>
      <c r="AV1776">
        <f>HYPERLINK("http://www.worldcat.org/oclc/3223487","WorldCat Record")</f>
        <v/>
      </c>
      <c r="AW1776" t="inlineStr">
        <is>
          <t>1386192:eng</t>
        </is>
      </c>
      <c r="AX1776" t="inlineStr">
        <is>
          <t>3223487</t>
        </is>
      </c>
      <c r="AY1776" t="inlineStr">
        <is>
          <t>991000927819702656</t>
        </is>
      </c>
      <c r="AZ1776" t="inlineStr">
        <is>
          <t>991000927819702656</t>
        </is>
      </c>
      <c r="BA1776" t="inlineStr">
        <is>
          <t>2259289280002656</t>
        </is>
      </c>
      <c r="BB1776" t="inlineStr">
        <is>
          <t>BOOK</t>
        </is>
      </c>
      <c r="BD1776" t="inlineStr">
        <is>
          <t>9780443016820</t>
        </is>
      </c>
      <c r="BE1776" t="inlineStr">
        <is>
          <t>30001000184152</t>
        </is>
      </c>
      <c r="BF1776" t="inlineStr">
        <is>
          <t>893727097</t>
        </is>
      </c>
    </row>
    <row r="1777">
      <c r="A1777" t="inlineStr">
        <is>
          <t>No</t>
        </is>
      </c>
      <c r="B1777" t="inlineStr">
        <is>
          <t>CUHSL</t>
        </is>
      </c>
      <c r="C1777" t="inlineStr">
        <is>
          <t>SHELVES</t>
        </is>
      </c>
      <c r="D1777" t="inlineStr">
        <is>
          <t>WY 161 I24m 1991</t>
        </is>
      </c>
      <c r="E1777" t="inlineStr">
        <is>
          <t>0                      WY 0161000I  24m         1991</t>
        </is>
      </c>
      <c r="F1777" t="inlineStr">
        <is>
          <t>Medical-surgical nursing : a nursing process approach / by Donna D. Ignatavicius and Marilyn Varner Bayne.</t>
        </is>
      </c>
      <c r="H1777" t="inlineStr">
        <is>
          <t>No</t>
        </is>
      </c>
      <c r="I1777" t="inlineStr">
        <is>
          <t>1</t>
        </is>
      </c>
      <c r="J1777" t="inlineStr">
        <is>
          <t>No</t>
        </is>
      </c>
      <c r="K1777" t="inlineStr">
        <is>
          <t>No</t>
        </is>
      </c>
      <c r="L1777" t="inlineStr">
        <is>
          <t>0</t>
        </is>
      </c>
      <c r="M1777" t="inlineStr">
        <is>
          <t>Ignatavicius, Donna D.</t>
        </is>
      </c>
      <c r="N1777" t="inlineStr">
        <is>
          <t>Philadelphia, PA : W.B. Saunders, c1991.</t>
        </is>
      </c>
      <c r="O1777" t="inlineStr">
        <is>
          <t>1991</t>
        </is>
      </c>
      <c r="Q1777" t="inlineStr">
        <is>
          <t>eng</t>
        </is>
      </c>
      <c r="R1777" t="inlineStr">
        <is>
          <t>pau</t>
        </is>
      </c>
      <c r="T1777" t="inlineStr">
        <is>
          <t xml:space="preserve">WY </t>
        </is>
      </c>
      <c r="U1777" t="n">
        <v>40</v>
      </c>
      <c r="V1777" t="n">
        <v>40</v>
      </c>
      <c r="W1777" t="inlineStr">
        <is>
          <t>1997-09-09</t>
        </is>
      </c>
      <c r="X1777" t="inlineStr">
        <is>
          <t>1997-09-09</t>
        </is>
      </c>
      <c r="Y1777" t="inlineStr">
        <is>
          <t>1991-05-03</t>
        </is>
      </c>
      <c r="Z1777" t="inlineStr">
        <is>
          <t>1991-05-03</t>
        </is>
      </c>
      <c r="AA1777" t="n">
        <v>225</v>
      </c>
      <c r="AB1777" t="n">
        <v>165</v>
      </c>
      <c r="AC1777" t="n">
        <v>293</v>
      </c>
      <c r="AD1777" t="n">
        <v>2</v>
      </c>
      <c r="AE1777" t="n">
        <v>2</v>
      </c>
      <c r="AF1777" t="n">
        <v>3</v>
      </c>
      <c r="AG1777" t="n">
        <v>5</v>
      </c>
      <c r="AH1777" t="n">
        <v>2</v>
      </c>
      <c r="AI1777" t="n">
        <v>2</v>
      </c>
      <c r="AJ1777" t="n">
        <v>0</v>
      </c>
      <c r="AK1777" t="n">
        <v>0</v>
      </c>
      <c r="AL1777" t="n">
        <v>2</v>
      </c>
      <c r="AM1777" t="n">
        <v>4</v>
      </c>
      <c r="AN1777" t="n">
        <v>0</v>
      </c>
      <c r="AO1777" t="n">
        <v>0</v>
      </c>
      <c r="AP1777" t="n">
        <v>0</v>
      </c>
      <c r="AQ1777" t="n">
        <v>0</v>
      </c>
      <c r="AR1777" t="inlineStr">
        <is>
          <t>No</t>
        </is>
      </c>
      <c r="AS1777" t="inlineStr">
        <is>
          <t>Yes</t>
        </is>
      </c>
      <c r="AT1777">
        <f>HYPERLINK("http://catalog.hathitrust.org/Record/004507327","HathiTrust Record")</f>
        <v/>
      </c>
      <c r="AU1777">
        <f>HYPERLINK("https://creighton-primo.hosted.exlibrisgroup.com/primo-explore/search?tab=default_tab&amp;search_scope=EVERYTHING&amp;vid=01CRU&amp;lang=en_US&amp;offset=0&amp;query=any,contains,991000935769702656","Catalog Record")</f>
        <v/>
      </c>
      <c r="AV1777">
        <f>HYPERLINK("http://www.worldcat.org/oclc/22184172","WorldCat Record")</f>
        <v/>
      </c>
      <c r="AW1777" t="inlineStr">
        <is>
          <t>3372665788:eng</t>
        </is>
      </c>
      <c r="AX1777" t="inlineStr">
        <is>
          <t>22184172</t>
        </is>
      </c>
      <c r="AY1777" t="inlineStr">
        <is>
          <t>991000935769702656</t>
        </is>
      </c>
      <c r="AZ1777" t="inlineStr">
        <is>
          <t>991000935769702656</t>
        </is>
      </c>
      <c r="BA1777" t="inlineStr">
        <is>
          <t>2259382600002656</t>
        </is>
      </c>
      <c r="BB1777" t="inlineStr">
        <is>
          <t>BOOK</t>
        </is>
      </c>
      <c r="BD1777" t="inlineStr">
        <is>
          <t>9780721619743</t>
        </is>
      </c>
      <c r="BE1777" t="inlineStr">
        <is>
          <t>30001002190769</t>
        </is>
      </c>
      <c r="BF1777" t="inlineStr">
        <is>
          <t>893450624</t>
        </is>
      </c>
    </row>
    <row r="1778">
      <c r="A1778" t="inlineStr">
        <is>
          <t>No</t>
        </is>
      </c>
      <c r="B1778" t="inlineStr">
        <is>
          <t>CUHSL</t>
        </is>
      </c>
      <c r="C1778" t="inlineStr">
        <is>
          <t>SHELVES</t>
        </is>
      </c>
      <c r="D1778" t="inlineStr">
        <is>
          <t>WY161 M328c 2003</t>
        </is>
      </c>
      <c r="E1778" t="inlineStr">
        <is>
          <t>0                      WY 0161000M  328c        2003</t>
        </is>
      </c>
      <c r="F1778" t="inlineStr">
        <is>
          <t>Cardiothoracic surgical nursing / Carl Margereson, Jillian Riley.</t>
        </is>
      </c>
      <c r="H1778" t="inlineStr">
        <is>
          <t>No</t>
        </is>
      </c>
      <c r="I1778" t="inlineStr">
        <is>
          <t>1</t>
        </is>
      </c>
      <c r="J1778" t="inlineStr">
        <is>
          <t>No</t>
        </is>
      </c>
      <c r="K1778" t="inlineStr">
        <is>
          <t>No</t>
        </is>
      </c>
      <c r="L1778" t="inlineStr">
        <is>
          <t>0</t>
        </is>
      </c>
      <c r="M1778" t="inlineStr">
        <is>
          <t>Margereson, Carl.</t>
        </is>
      </c>
      <c r="N1778" t="inlineStr">
        <is>
          <t>Oxford, OX ; Malden, MA : Blackwell Science, c2003.</t>
        </is>
      </c>
      <c r="O1778" t="inlineStr">
        <is>
          <t>2003</t>
        </is>
      </c>
      <c r="P1778" t="inlineStr">
        <is>
          <t>1st ed.</t>
        </is>
      </c>
      <c r="Q1778" t="inlineStr">
        <is>
          <t>eng</t>
        </is>
      </c>
      <c r="R1778" t="inlineStr">
        <is>
          <t>enk</t>
        </is>
      </c>
      <c r="T1778" t="inlineStr">
        <is>
          <t xml:space="preserve">WY </t>
        </is>
      </c>
      <c r="U1778" t="n">
        <v>0</v>
      </c>
      <c r="V1778" t="n">
        <v>0</v>
      </c>
      <c r="W1778" t="inlineStr">
        <is>
          <t>2005-04-10</t>
        </is>
      </c>
      <c r="X1778" t="inlineStr">
        <is>
          <t>2005-04-10</t>
        </is>
      </c>
      <c r="Y1778" t="inlineStr">
        <is>
          <t>2005-04-08</t>
        </is>
      </c>
      <c r="Z1778" t="inlineStr">
        <is>
          <t>2005-04-08</t>
        </is>
      </c>
      <c r="AA1778" t="n">
        <v>152</v>
      </c>
      <c r="AB1778" t="n">
        <v>87</v>
      </c>
      <c r="AC1778" t="n">
        <v>525</v>
      </c>
      <c r="AD1778" t="n">
        <v>1</v>
      </c>
      <c r="AE1778" t="n">
        <v>5</v>
      </c>
      <c r="AF1778" t="n">
        <v>3</v>
      </c>
      <c r="AG1778" t="n">
        <v>23</v>
      </c>
      <c r="AH1778" t="n">
        <v>0</v>
      </c>
      <c r="AI1778" t="n">
        <v>8</v>
      </c>
      <c r="AJ1778" t="n">
        <v>1</v>
      </c>
      <c r="AK1778" t="n">
        <v>6</v>
      </c>
      <c r="AL1778" t="n">
        <v>2</v>
      </c>
      <c r="AM1778" t="n">
        <v>6</v>
      </c>
      <c r="AN1778" t="n">
        <v>0</v>
      </c>
      <c r="AO1778" t="n">
        <v>4</v>
      </c>
      <c r="AP1778" t="n">
        <v>0</v>
      </c>
      <c r="AQ1778" t="n">
        <v>1</v>
      </c>
      <c r="AR1778" t="inlineStr">
        <is>
          <t>No</t>
        </is>
      </c>
      <c r="AS1778" t="inlineStr">
        <is>
          <t>No</t>
        </is>
      </c>
      <c r="AU1778">
        <f>HYPERLINK("https://creighton-primo.hosted.exlibrisgroup.com/primo-explore/search?tab=default_tab&amp;search_scope=EVERYTHING&amp;vid=01CRU&amp;lang=en_US&amp;offset=0&amp;query=any,contains,991000435799702656","Catalog Record")</f>
        <v/>
      </c>
      <c r="AV1778">
        <f>HYPERLINK("http://www.worldcat.org/oclc/52208987","WorldCat Record")</f>
        <v/>
      </c>
      <c r="AW1778" t="inlineStr">
        <is>
          <t>1032449:eng</t>
        </is>
      </c>
      <c r="AX1778" t="inlineStr">
        <is>
          <t>52208987</t>
        </is>
      </c>
      <c r="AY1778" t="inlineStr">
        <is>
          <t>991000435799702656</t>
        </is>
      </c>
      <c r="AZ1778" t="inlineStr">
        <is>
          <t>991000435799702656</t>
        </is>
      </c>
      <c r="BA1778" t="inlineStr">
        <is>
          <t>2255558660002656</t>
        </is>
      </c>
      <c r="BB1778" t="inlineStr">
        <is>
          <t>BOOK</t>
        </is>
      </c>
      <c r="BD1778" t="inlineStr">
        <is>
          <t>9780632059041</t>
        </is>
      </c>
      <c r="BE1778" t="inlineStr">
        <is>
          <t>30001004929206</t>
        </is>
      </c>
      <c r="BF1778" t="inlineStr">
        <is>
          <t>893452099</t>
        </is>
      </c>
    </row>
    <row r="1779">
      <c r="A1779" t="inlineStr">
        <is>
          <t>No</t>
        </is>
      </c>
      <c r="B1779" t="inlineStr">
        <is>
          <t>CUHSL</t>
        </is>
      </c>
      <c r="C1779" t="inlineStr">
        <is>
          <t>SHELVES</t>
        </is>
      </c>
      <c r="D1779" t="inlineStr">
        <is>
          <t>WY 161 M478c 1987</t>
        </is>
      </c>
      <c r="E1779" t="inlineStr">
        <is>
          <t>0                      WY 0161000M  478c        1987</t>
        </is>
      </c>
      <c r="F1779" t="inlineStr">
        <is>
          <t>Clinical considerations in perioperative nursing : preventive aspects of care / Edwina A. McConnell.</t>
        </is>
      </c>
      <c r="H1779" t="inlineStr">
        <is>
          <t>No</t>
        </is>
      </c>
      <c r="I1779" t="inlineStr">
        <is>
          <t>1</t>
        </is>
      </c>
      <c r="J1779" t="inlineStr">
        <is>
          <t>No</t>
        </is>
      </c>
      <c r="K1779" t="inlineStr">
        <is>
          <t>No</t>
        </is>
      </c>
      <c r="L1779" t="inlineStr">
        <is>
          <t>0</t>
        </is>
      </c>
      <c r="M1779" t="inlineStr">
        <is>
          <t>McConnell, Edwina A.</t>
        </is>
      </c>
      <c r="N1779" t="inlineStr">
        <is>
          <t>Philadelphia : Lippincott, c1987.</t>
        </is>
      </c>
      <c r="O1779" t="inlineStr">
        <is>
          <t>1987</t>
        </is>
      </c>
      <c r="Q1779" t="inlineStr">
        <is>
          <t>eng</t>
        </is>
      </c>
      <c r="R1779" t="inlineStr">
        <is>
          <t>xxu</t>
        </is>
      </c>
      <c r="T1779" t="inlineStr">
        <is>
          <t xml:space="preserve">WY </t>
        </is>
      </c>
      <c r="U1779" t="n">
        <v>2</v>
      </c>
      <c r="V1779" t="n">
        <v>2</v>
      </c>
      <c r="W1779" t="inlineStr">
        <is>
          <t>1992-01-03</t>
        </is>
      </c>
      <c r="X1779" t="inlineStr">
        <is>
          <t>1992-01-03</t>
        </is>
      </c>
      <c r="Y1779" t="inlineStr">
        <is>
          <t>1987-12-01</t>
        </is>
      </c>
      <c r="Z1779" t="inlineStr">
        <is>
          <t>1987-12-01</t>
        </is>
      </c>
      <c r="AA1779" t="n">
        <v>194</v>
      </c>
      <c r="AB1779" t="n">
        <v>160</v>
      </c>
      <c r="AC1779" t="n">
        <v>162</v>
      </c>
      <c r="AD1779" t="n">
        <v>2</v>
      </c>
      <c r="AE1779" t="n">
        <v>2</v>
      </c>
      <c r="AF1779" t="n">
        <v>6</v>
      </c>
      <c r="AG1779" t="n">
        <v>6</v>
      </c>
      <c r="AH1779" t="n">
        <v>3</v>
      </c>
      <c r="AI1779" t="n">
        <v>3</v>
      </c>
      <c r="AJ1779" t="n">
        <v>1</v>
      </c>
      <c r="AK1779" t="n">
        <v>1</v>
      </c>
      <c r="AL1779" t="n">
        <v>4</v>
      </c>
      <c r="AM1779" t="n">
        <v>4</v>
      </c>
      <c r="AN1779" t="n">
        <v>0</v>
      </c>
      <c r="AO1779" t="n">
        <v>0</v>
      </c>
      <c r="AP1779" t="n">
        <v>0</v>
      </c>
      <c r="AQ1779" t="n">
        <v>0</v>
      </c>
      <c r="AR1779" t="inlineStr">
        <is>
          <t>No</t>
        </is>
      </c>
      <c r="AS1779" t="inlineStr">
        <is>
          <t>Yes</t>
        </is>
      </c>
      <c r="AT1779">
        <f>HYPERLINK("http://catalog.hathitrust.org/Record/000814985","HathiTrust Record")</f>
        <v/>
      </c>
      <c r="AU1779">
        <f>HYPERLINK("https://creighton-primo.hosted.exlibrisgroup.com/primo-explore/search?tab=default_tab&amp;search_scope=EVERYTHING&amp;vid=01CRU&amp;lang=en_US&amp;offset=0&amp;query=any,contains,991000765959702656","Catalog Record")</f>
        <v/>
      </c>
      <c r="AV1779">
        <f>HYPERLINK("http://www.worldcat.org/oclc/13821747","WorldCat Record")</f>
        <v/>
      </c>
      <c r="AW1779" t="inlineStr">
        <is>
          <t>363419407:eng</t>
        </is>
      </c>
      <c r="AX1779" t="inlineStr">
        <is>
          <t>13821747</t>
        </is>
      </c>
      <c r="AY1779" t="inlineStr">
        <is>
          <t>991000765959702656</t>
        </is>
      </c>
      <c r="AZ1779" t="inlineStr">
        <is>
          <t>991000765959702656</t>
        </is>
      </c>
      <c r="BA1779" t="inlineStr">
        <is>
          <t>2270251060002656</t>
        </is>
      </c>
      <c r="BB1779" t="inlineStr">
        <is>
          <t>BOOK</t>
        </is>
      </c>
      <c r="BD1779" t="inlineStr">
        <is>
          <t>9780397544943</t>
        </is>
      </c>
      <c r="BE1779" t="inlineStr">
        <is>
          <t>30001000057036</t>
        </is>
      </c>
      <c r="BF1779" t="inlineStr">
        <is>
          <t>893820223</t>
        </is>
      </c>
    </row>
    <row r="1780">
      <c r="A1780" t="inlineStr">
        <is>
          <t>No</t>
        </is>
      </c>
      <c r="B1780" t="inlineStr">
        <is>
          <t>CUHSL</t>
        </is>
      </c>
      <c r="C1780" t="inlineStr">
        <is>
          <t>SHELVES</t>
        </is>
      </c>
      <c r="D1780" t="inlineStr">
        <is>
          <t>WY161 M489 2006 V.1</t>
        </is>
      </c>
      <c r="E1780" t="inlineStr">
        <is>
          <t>0                      WY 0161000M  489         2006                                        V.1</t>
        </is>
      </c>
      <c r="F1780" t="inlineStr">
        <is>
          <t>Medical-surgical nursing : critical thinking for collaborative care / [edited by] Donna D. Ignatavicius, M. Linda Workman.</t>
        </is>
      </c>
      <c r="G1780" t="inlineStr">
        <is>
          <t>V.2</t>
        </is>
      </c>
      <c r="H1780" t="inlineStr">
        <is>
          <t>Yes</t>
        </is>
      </c>
      <c r="I1780" t="inlineStr">
        <is>
          <t>1</t>
        </is>
      </c>
      <c r="J1780" t="inlineStr">
        <is>
          <t>No</t>
        </is>
      </c>
      <c r="K1780" t="inlineStr">
        <is>
          <t>No</t>
        </is>
      </c>
      <c r="L1780" t="inlineStr">
        <is>
          <t>0</t>
        </is>
      </c>
      <c r="N1780" t="inlineStr">
        <is>
          <t>Philadelphia : Elsevier Saunders, c2006.</t>
        </is>
      </c>
      <c r="O1780" t="inlineStr">
        <is>
          <t>2006</t>
        </is>
      </c>
      <c r="P1780" t="inlineStr">
        <is>
          <t>5th ed.</t>
        </is>
      </c>
      <c r="Q1780" t="inlineStr">
        <is>
          <t>eng</t>
        </is>
      </c>
      <c r="R1780" t="inlineStr">
        <is>
          <t>pau</t>
        </is>
      </c>
      <c r="T1780" t="inlineStr">
        <is>
          <t xml:space="preserve">WY </t>
        </is>
      </c>
      <c r="U1780" t="n">
        <v>3</v>
      </c>
      <c r="V1780" t="n">
        <v>4</v>
      </c>
      <c r="W1780" t="inlineStr">
        <is>
          <t>2008-05-25</t>
        </is>
      </c>
      <c r="X1780" t="inlineStr">
        <is>
          <t>2008-05-25</t>
        </is>
      </c>
      <c r="Y1780" t="inlineStr">
        <is>
          <t>2006-01-24</t>
        </is>
      </c>
      <c r="Z1780" t="inlineStr">
        <is>
          <t>2006-01-24</t>
        </is>
      </c>
      <c r="AA1780" t="n">
        <v>382</v>
      </c>
      <c r="AB1780" t="n">
        <v>305</v>
      </c>
      <c r="AC1780" t="n">
        <v>478</v>
      </c>
      <c r="AD1780" t="n">
        <v>2</v>
      </c>
      <c r="AE1780" t="n">
        <v>2</v>
      </c>
      <c r="AF1780" t="n">
        <v>7</v>
      </c>
      <c r="AG1780" t="n">
        <v>12</v>
      </c>
      <c r="AH1780" t="n">
        <v>2</v>
      </c>
      <c r="AI1780" t="n">
        <v>4</v>
      </c>
      <c r="AJ1780" t="n">
        <v>1</v>
      </c>
      <c r="AK1780" t="n">
        <v>2</v>
      </c>
      <c r="AL1780" t="n">
        <v>3</v>
      </c>
      <c r="AM1780" t="n">
        <v>6</v>
      </c>
      <c r="AN1780" t="n">
        <v>1</v>
      </c>
      <c r="AO1780" t="n">
        <v>1</v>
      </c>
      <c r="AP1780" t="n">
        <v>0</v>
      </c>
      <c r="AQ1780" t="n">
        <v>0</v>
      </c>
      <c r="AR1780" t="inlineStr">
        <is>
          <t>No</t>
        </is>
      </c>
      <c r="AS1780" t="inlineStr">
        <is>
          <t>Yes</t>
        </is>
      </c>
      <c r="AT1780">
        <f>HYPERLINK("http://catalog.hathitrust.org/Record/004995162","HathiTrust Record")</f>
        <v/>
      </c>
      <c r="AU1780">
        <f>HYPERLINK("https://creighton-primo.hosted.exlibrisgroup.com/primo-explore/search?tab=default_tab&amp;search_scope=EVERYTHING&amp;vid=01CRU&amp;lang=en_US&amp;offset=0&amp;query=any,contains,991000457999702656","Catalog Record")</f>
        <v/>
      </c>
      <c r="AV1780">
        <f>HYPERLINK("http://www.worldcat.org/oclc/60755878","WorldCat Record")</f>
        <v/>
      </c>
      <c r="AW1780" t="inlineStr">
        <is>
          <t>3901223241:eng</t>
        </is>
      </c>
      <c r="AX1780" t="inlineStr">
        <is>
          <t>60755878</t>
        </is>
      </c>
      <c r="AY1780" t="inlineStr">
        <is>
          <t>991000457999702656</t>
        </is>
      </c>
      <c r="AZ1780" t="inlineStr">
        <is>
          <t>991000457999702656</t>
        </is>
      </c>
      <c r="BA1780" t="inlineStr">
        <is>
          <t>2269050570002656</t>
        </is>
      </c>
      <c r="BB1780" t="inlineStr">
        <is>
          <t>BOOK</t>
        </is>
      </c>
      <c r="BD1780" t="inlineStr">
        <is>
          <t>9780721604466</t>
        </is>
      </c>
      <c r="BE1780" t="inlineStr">
        <is>
          <t>30001004910438</t>
        </is>
      </c>
      <c r="BF1780" t="inlineStr">
        <is>
          <t>893456754</t>
        </is>
      </c>
    </row>
    <row r="1781">
      <c r="A1781" t="inlineStr">
        <is>
          <t>No</t>
        </is>
      </c>
      <c r="B1781" t="inlineStr">
        <is>
          <t>CUHSL</t>
        </is>
      </c>
      <c r="C1781" t="inlineStr">
        <is>
          <t>SHELVES</t>
        </is>
      </c>
      <c r="D1781" t="inlineStr">
        <is>
          <t>WY161 M489 2006 V.1</t>
        </is>
      </c>
      <c r="E1781" t="inlineStr">
        <is>
          <t>0                      WY 0161000M  489         2006                                        V.1</t>
        </is>
      </c>
      <c r="F1781" t="inlineStr">
        <is>
          <t>Medical-surgical nursing : critical thinking for collaborative care / [edited by] Donna D. Ignatavicius, M. Linda Workman.</t>
        </is>
      </c>
      <c r="G1781" t="inlineStr">
        <is>
          <t>V.1</t>
        </is>
      </c>
      <c r="H1781" t="inlineStr">
        <is>
          <t>Yes</t>
        </is>
      </c>
      <c r="I1781" t="inlineStr">
        <is>
          <t>1</t>
        </is>
      </c>
      <c r="J1781" t="inlineStr">
        <is>
          <t>No</t>
        </is>
      </c>
      <c r="K1781" t="inlineStr">
        <is>
          <t>No</t>
        </is>
      </c>
      <c r="L1781" t="inlineStr">
        <is>
          <t>0</t>
        </is>
      </c>
      <c r="N1781" t="inlineStr">
        <is>
          <t>Philadelphia : Elsevier Saunders, c2006.</t>
        </is>
      </c>
      <c r="O1781" t="inlineStr">
        <is>
          <t>2006</t>
        </is>
      </c>
      <c r="P1781" t="inlineStr">
        <is>
          <t>5th ed.</t>
        </is>
      </c>
      <c r="Q1781" t="inlineStr">
        <is>
          <t>eng</t>
        </is>
      </c>
      <c r="R1781" t="inlineStr">
        <is>
          <t>pau</t>
        </is>
      </c>
      <c r="T1781" t="inlineStr">
        <is>
          <t xml:space="preserve">WY </t>
        </is>
      </c>
      <c r="U1781" t="n">
        <v>1</v>
      </c>
      <c r="V1781" t="n">
        <v>4</v>
      </c>
      <c r="W1781" t="inlineStr">
        <is>
          <t>2006-01-30</t>
        </is>
      </c>
      <c r="X1781" t="inlineStr">
        <is>
          <t>2008-05-25</t>
        </is>
      </c>
      <c r="Y1781" t="inlineStr">
        <is>
          <t>2006-01-24</t>
        </is>
      </c>
      <c r="Z1781" t="inlineStr">
        <is>
          <t>2006-01-24</t>
        </is>
      </c>
      <c r="AA1781" t="n">
        <v>382</v>
      </c>
      <c r="AB1781" t="n">
        <v>305</v>
      </c>
      <c r="AC1781" t="n">
        <v>478</v>
      </c>
      <c r="AD1781" t="n">
        <v>2</v>
      </c>
      <c r="AE1781" t="n">
        <v>2</v>
      </c>
      <c r="AF1781" t="n">
        <v>7</v>
      </c>
      <c r="AG1781" t="n">
        <v>12</v>
      </c>
      <c r="AH1781" t="n">
        <v>2</v>
      </c>
      <c r="AI1781" t="n">
        <v>4</v>
      </c>
      <c r="AJ1781" t="n">
        <v>1</v>
      </c>
      <c r="AK1781" t="n">
        <v>2</v>
      </c>
      <c r="AL1781" t="n">
        <v>3</v>
      </c>
      <c r="AM1781" t="n">
        <v>6</v>
      </c>
      <c r="AN1781" t="n">
        <v>1</v>
      </c>
      <c r="AO1781" t="n">
        <v>1</v>
      </c>
      <c r="AP1781" t="n">
        <v>0</v>
      </c>
      <c r="AQ1781" t="n">
        <v>0</v>
      </c>
      <c r="AR1781" t="inlineStr">
        <is>
          <t>No</t>
        </is>
      </c>
      <c r="AS1781" t="inlineStr">
        <is>
          <t>Yes</t>
        </is>
      </c>
      <c r="AT1781">
        <f>HYPERLINK("http://catalog.hathitrust.org/Record/004995162","HathiTrust Record")</f>
        <v/>
      </c>
      <c r="AU1781">
        <f>HYPERLINK("https://creighton-primo.hosted.exlibrisgroup.com/primo-explore/search?tab=default_tab&amp;search_scope=EVERYTHING&amp;vid=01CRU&amp;lang=en_US&amp;offset=0&amp;query=any,contains,991000457999702656","Catalog Record")</f>
        <v/>
      </c>
      <c r="AV1781">
        <f>HYPERLINK("http://www.worldcat.org/oclc/60755878","WorldCat Record")</f>
        <v/>
      </c>
      <c r="AW1781" t="inlineStr">
        <is>
          <t>3901223241:eng</t>
        </is>
      </c>
      <c r="AX1781" t="inlineStr">
        <is>
          <t>60755878</t>
        </is>
      </c>
      <c r="AY1781" t="inlineStr">
        <is>
          <t>991000457999702656</t>
        </is>
      </c>
      <c r="AZ1781" t="inlineStr">
        <is>
          <t>991000457999702656</t>
        </is>
      </c>
      <c r="BA1781" t="inlineStr">
        <is>
          <t>2269050570002656</t>
        </is>
      </c>
      <c r="BB1781" t="inlineStr">
        <is>
          <t>BOOK</t>
        </is>
      </c>
      <c r="BD1781" t="inlineStr">
        <is>
          <t>9780721604466</t>
        </is>
      </c>
      <c r="BE1781" t="inlineStr">
        <is>
          <t>30001004910446</t>
        </is>
      </c>
      <c r="BF1781" t="inlineStr">
        <is>
          <t>893456755</t>
        </is>
      </c>
    </row>
    <row r="1782">
      <c r="A1782" t="inlineStr">
        <is>
          <t>No</t>
        </is>
      </c>
      <c r="B1782" t="inlineStr">
        <is>
          <t>CUHSL</t>
        </is>
      </c>
      <c r="C1782" t="inlineStr">
        <is>
          <t>SHELVES</t>
        </is>
      </c>
      <c r="D1782" t="inlineStr">
        <is>
          <t>WY161 M4894 2003</t>
        </is>
      </c>
      <c r="E1782" t="inlineStr">
        <is>
          <t>0                      WY 0161000M  4894        2003</t>
        </is>
      </c>
      <c r="F1782" t="inlineStr">
        <is>
          <t>Medical-surgical nursing : health and illness perspectives / [edited by] Wilma J. Phipps ... [et al.].</t>
        </is>
      </c>
      <c r="H1782" t="inlineStr">
        <is>
          <t>No</t>
        </is>
      </c>
      <c r="I1782" t="inlineStr">
        <is>
          <t>1</t>
        </is>
      </c>
      <c r="J1782" t="inlineStr">
        <is>
          <t>No</t>
        </is>
      </c>
      <c r="K1782" t="inlineStr">
        <is>
          <t>No</t>
        </is>
      </c>
      <c r="L1782" t="inlineStr">
        <is>
          <t>0</t>
        </is>
      </c>
      <c r="N1782" t="inlineStr">
        <is>
          <t>St. Louis : Mosby, c2003.</t>
        </is>
      </c>
      <c r="O1782" t="inlineStr">
        <is>
          <t>2003</t>
        </is>
      </c>
      <c r="P1782" t="inlineStr">
        <is>
          <t>7th ed.</t>
        </is>
      </c>
      <c r="Q1782" t="inlineStr">
        <is>
          <t>eng</t>
        </is>
      </c>
      <c r="R1782" t="inlineStr">
        <is>
          <t>mou</t>
        </is>
      </c>
      <c r="T1782" t="inlineStr">
        <is>
          <t xml:space="preserve">WY </t>
        </is>
      </c>
      <c r="U1782" t="n">
        <v>3</v>
      </c>
      <c r="V1782" t="n">
        <v>3</v>
      </c>
      <c r="W1782" t="inlineStr">
        <is>
          <t>2008-07-14</t>
        </is>
      </c>
      <c r="X1782" t="inlineStr">
        <is>
          <t>2008-07-14</t>
        </is>
      </c>
      <c r="Y1782" t="inlineStr">
        <is>
          <t>2003-06-06</t>
        </is>
      </c>
      <c r="Z1782" t="inlineStr">
        <is>
          <t>2003-06-06</t>
        </is>
      </c>
      <c r="AA1782" t="n">
        <v>271</v>
      </c>
      <c r="AB1782" t="n">
        <v>217</v>
      </c>
      <c r="AC1782" t="n">
        <v>222</v>
      </c>
      <c r="AD1782" t="n">
        <v>1</v>
      </c>
      <c r="AE1782" t="n">
        <v>1</v>
      </c>
      <c r="AF1782" t="n">
        <v>6</v>
      </c>
      <c r="AG1782" t="n">
        <v>7</v>
      </c>
      <c r="AH1782" t="n">
        <v>2</v>
      </c>
      <c r="AI1782" t="n">
        <v>2</v>
      </c>
      <c r="AJ1782" t="n">
        <v>2</v>
      </c>
      <c r="AK1782" t="n">
        <v>2</v>
      </c>
      <c r="AL1782" t="n">
        <v>3</v>
      </c>
      <c r="AM1782" t="n">
        <v>4</v>
      </c>
      <c r="AN1782" t="n">
        <v>0</v>
      </c>
      <c r="AO1782" t="n">
        <v>0</v>
      </c>
      <c r="AP1782" t="n">
        <v>0</v>
      </c>
      <c r="AQ1782" t="n">
        <v>0</v>
      </c>
      <c r="AR1782" t="inlineStr">
        <is>
          <t>No</t>
        </is>
      </c>
      <c r="AS1782" t="inlineStr">
        <is>
          <t>No</t>
        </is>
      </c>
      <c r="AU1782">
        <f>HYPERLINK("https://creighton-primo.hosted.exlibrisgroup.com/primo-explore/search?tab=default_tab&amp;search_scope=EVERYTHING&amp;vid=01CRU&amp;lang=en_US&amp;offset=0&amp;query=any,contains,991000349259702656","Catalog Record")</f>
        <v/>
      </c>
      <c r="AV1782">
        <f>HYPERLINK("http://www.worldcat.org/oclc/50244328","WorldCat Record")</f>
        <v/>
      </c>
      <c r="AW1782" t="inlineStr">
        <is>
          <t>3856589299:eng</t>
        </is>
      </c>
      <c r="AX1782" t="inlineStr">
        <is>
          <t>50244328</t>
        </is>
      </c>
      <c r="AY1782" t="inlineStr">
        <is>
          <t>991000349259702656</t>
        </is>
      </c>
      <c r="AZ1782" t="inlineStr">
        <is>
          <t>991000349259702656</t>
        </is>
      </c>
      <c r="BA1782" t="inlineStr">
        <is>
          <t>2268554800002656</t>
        </is>
      </c>
      <c r="BB1782" t="inlineStr">
        <is>
          <t>BOOK</t>
        </is>
      </c>
      <c r="BD1782" t="inlineStr">
        <is>
          <t>9780323018043</t>
        </is>
      </c>
      <c r="BE1782" t="inlineStr">
        <is>
          <t>30001004501419</t>
        </is>
      </c>
      <c r="BF1782" t="inlineStr">
        <is>
          <t>893123010</t>
        </is>
      </c>
    </row>
    <row r="1783">
      <c r="A1783" t="inlineStr">
        <is>
          <t>No</t>
        </is>
      </c>
      <c r="B1783" t="inlineStr">
        <is>
          <t>CUHSL</t>
        </is>
      </c>
      <c r="C1783" t="inlineStr">
        <is>
          <t>SHELVES</t>
        </is>
      </c>
      <c r="D1783" t="inlineStr">
        <is>
          <t>WY 161 M494a 1991</t>
        </is>
      </c>
      <c r="E1783" t="inlineStr">
        <is>
          <t>0                      WY 0161000M  494a        1991</t>
        </is>
      </c>
      <c r="F1783" t="inlineStr">
        <is>
          <t>Alexander's care of the patient in surgery / Margaret Huth Meeker, Jane C. Rothrock.</t>
        </is>
      </c>
      <c r="H1783" t="inlineStr">
        <is>
          <t>No</t>
        </is>
      </c>
      <c r="I1783" t="inlineStr">
        <is>
          <t>1</t>
        </is>
      </c>
      <c r="J1783" t="inlineStr">
        <is>
          <t>No</t>
        </is>
      </c>
      <c r="K1783" t="inlineStr">
        <is>
          <t>No</t>
        </is>
      </c>
      <c r="L1783" t="inlineStr">
        <is>
          <t>0</t>
        </is>
      </c>
      <c r="M1783" t="inlineStr">
        <is>
          <t>Meeker, Margaret Huth.</t>
        </is>
      </c>
      <c r="N1783" t="inlineStr">
        <is>
          <t>St. Louis : Mosby-Year Book, c1991.</t>
        </is>
      </c>
      <c r="O1783" t="inlineStr">
        <is>
          <t>1991</t>
        </is>
      </c>
      <c r="P1783" t="inlineStr">
        <is>
          <t>9th ed.</t>
        </is>
      </c>
      <c r="Q1783" t="inlineStr">
        <is>
          <t>eng</t>
        </is>
      </c>
      <c r="R1783" t="inlineStr">
        <is>
          <t>mou</t>
        </is>
      </c>
      <c r="T1783" t="inlineStr">
        <is>
          <t xml:space="preserve">WY </t>
        </is>
      </c>
      <c r="U1783" t="n">
        <v>117</v>
      </c>
      <c r="V1783" t="n">
        <v>117</v>
      </c>
      <c r="W1783" t="inlineStr">
        <is>
          <t>1995-11-16</t>
        </is>
      </c>
      <c r="X1783" t="inlineStr">
        <is>
          <t>1995-11-16</t>
        </is>
      </c>
      <c r="Y1783" t="inlineStr">
        <is>
          <t>1991-01-31</t>
        </is>
      </c>
      <c r="Z1783" t="inlineStr">
        <is>
          <t>1991-01-31</t>
        </is>
      </c>
      <c r="AA1783" t="n">
        <v>378</v>
      </c>
      <c r="AB1783" t="n">
        <v>321</v>
      </c>
      <c r="AC1783" t="n">
        <v>323</v>
      </c>
      <c r="AD1783" t="n">
        <v>4</v>
      </c>
      <c r="AE1783" t="n">
        <v>4</v>
      </c>
      <c r="AF1783" t="n">
        <v>11</v>
      </c>
      <c r="AG1783" t="n">
        <v>11</v>
      </c>
      <c r="AH1783" t="n">
        <v>4</v>
      </c>
      <c r="AI1783" t="n">
        <v>4</v>
      </c>
      <c r="AJ1783" t="n">
        <v>3</v>
      </c>
      <c r="AK1783" t="n">
        <v>3</v>
      </c>
      <c r="AL1783" t="n">
        <v>5</v>
      </c>
      <c r="AM1783" t="n">
        <v>5</v>
      </c>
      <c r="AN1783" t="n">
        <v>2</v>
      </c>
      <c r="AO1783" t="n">
        <v>2</v>
      </c>
      <c r="AP1783" t="n">
        <v>0</v>
      </c>
      <c r="AQ1783" t="n">
        <v>0</v>
      </c>
      <c r="AR1783" t="inlineStr">
        <is>
          <t>No</t>
        </is>
      </c>
      <c r="AS1783" t="inlineStr">
        <is>
          <t>Yes</t>
        </is>
      </c>
      <c r="AT1783">
        <f>HYPERLINK("http://catalog.hathitrust.org/Record/002238709","HathiTrust Record")</f>
        <v/>
      </c>
      <c r="AU1783">
        <f>HYPERLINK("https://creighton-primo.hosted.exlibrisgroup.com/primo-explore/search?tab=default_tab&amp;search_scope=EVERYTHING&amp;vid=01CRU&amp;lang=en_US&amp;offset=0&amp;query=any,contains,991000816809702656","Catalog Record")</f>
        <v/>
      </c>
      <c r="AV1783">
        <f>HYPERLINK("http://www.worldcat.org/oclc/22422715","WorldCat Record")</f>
        <v/>
      </c>
      <c r="AW1783" t="inlineStr">
        <is>
          <t>4915320465:eng</t>
        </is>
      </c>
      <c r="AX1783" t="inlineStr">
        <is>
          <t>22422715</t>
        </is>
      </c>
      <c r="AY1783" t="inlineStr">
        <is>
          <t>991000816809702656</t>
        </is>
      </c>
      <c r="AZ1783" t="inlineStr">
        <is>
          <t>991000816809702656</t>
        </is>
      </c>
      <c r="BA1783" t="inlineStr">
        <is>
          <t>2269511050002656</t>
        </is>
      </c>
      <c r="BB1783" t="inlineStr">
        <is>
          <t>BOOK</t>
        </is>
      </c>
      <c r="BD1783" t="inlineStr">
        <is>
          <t>9780801633874</t>
        </is>
      </c>
      <c r="BE1783" t="inlineStr">
        <is>
          <t>30001002086579</t>
        </is>
      </c>
      <c r="BF1783" t="inlineStr">
        <is>
          <t>893557289</t>
        </is>
      </c>
    </row>
    <row r="1784">
      <c r="A1784" t="inlineStr">
        <is>
          <t>No</t>
        </is>
      </c>
      <c r="B1784" t="inlineStr">
        <is>
          <t>CUHSL</t>
        </is>
      </c>
      <c r="C1784" t="inlineStr">
        <is>
          <t>SHELVES</t>
        </is>
      </c>
      <c r="D1784" t="inlineStr">
        <is>
          <t>WY 161 N248p 1980</t>
        </is>
      </c>
      <c r="E1784" t="inlineStr">
        <is>
          <t>0                      WY 0161000N  248p        1980</t>
        </is>
      </c>
      <c r="F1784" t="inlineStr">
        <is>
          <t>The principles and practice of surgery for nurses and allied professions / D.F. Ellison Nash, assisted by Cynthia M. Gilling, Mary Gillman.</t>
        </is>
      </c>
      <c r="H1784" t="inlineStr">
        <is>
          <t>No</t>
        </is>
      </c>
      <c r="I1784" t="inlineStr">
        <is>
          <t>1</t>
        </is>
      </c>
      <c r="J1784" t="inlineStr">
        <is>
          <t>No</t>
        </is>
      </c>
      <c r="K1784" t="inlineStr">
        <is>
          <t>No</t>
        </is>
      </c>
      <c r="L1784" t="inlineStr">
        <is>
          <t>0</t>
        </is>
      </c>
      <c r="M1784" t="inlineStr">
        <is>
          <t>Nash, D. F. Ellison (Denis Frederic Ellison)</t>
        </is>
      </c>
      <c r="N1784" t="inlineStr">
        <is>
          <t>London : Arnold, c1980.</t>
        </is>
      </c>
      <c r="O1784" t="inlineStr">
        <is>
          <t>1980</t>
        </is>
      </c>
      <c r="P1784" t="inlineStr">
        <is>
          <t>7th ed.</t>
        </is>
      </c>
      <c r="Q1784" t="inlineStr">
        <is>
          <t>eng</t>
        </is>
      </c>
      <c r="R1784" t="inlineStr">
        <is>
          <t>enk</t>
        </is>
      </c>
      <c r="T1784" t="inlineStr">
        <is>
          <t xml:space="preserve">WY </t>
        </is>
      </c>
      <c r="U1784" t="n">
        <v>4</v>
      </c>
      <c r="V1784" t="n">
        <v>4</v>
      </c>
      <c r="W1784" t="inlineStr">
        <is>
          <t>1990-04-24</t>
        </is>
      </c>
      <c r="X1784" t="inlineStr">
        <is>
          <t>1990-04-24</t>
        </is>
      </c>
      <c r="Y1784" t="inlineStr">
        <is>
          <t>1987-12-29</t>
        </is>
      </c>
      <c r="Z1784" t="inlineStr">
        <is>
          <t>1987-12-29</t>
        </is>
      </c>
      <c r="AA1784" t="n">
        <v>62</v>
      </c>
      <c r="AB1784" t="n">
        <v>22</v>
      </c>
      <c r="AC1784" t="n">
        <v>67</v>
      </c>
      <c r="AD1784" t="n">
        <v>1</v>
      </c>
      <c r="AE1784" t="n">
        <v>1</v>
      </c>
      <c r="AF1784" t="n">
        <v>0</v>
      </c>
      <c r="AG1784" t="n">
        <v>1</v>
      </c>
      <c r="AH1784" t="n">
        <v>0</v>
      </c>
      <c r="AI1784" t="n">
        <v>0</v>
      </c>
      <c r="AJ1784" t="n">
        <v>0</v>
      </c>
      <c r="AK1784" t="n">
        <v>1</v>
      </c>
      <c r="AL1784" t="n">
        <v>0</v>
      </c>
      <c r="AM1784" t="n">
        <v>0</v>
      </c>
      <c r="AN1784" t="n">
        <v>0</v>
      </c>
      <c r="AO1784" t="n">
        <v>0</v>
      </c>
      <c r="AP1784" t="n">
        <v>0</v>
      </c>
      <c r="AQ1784" t="n">
        <v>0</v>
      </c>
      <c r="AR1784" t="inlineStr">
        <is>
          <t>No</t>
        </is>
      </c>
      <c r="AS1784" t="inlineStr">
        <is>
          <t>No</t>
        </is>
      </c>
      <c r="AU1784">
        <f>HYPERLINK("https://creighton-primo.hosted.exlibrisgroup.com/primo-explore/search?tab=default_tab&amp;search_scope=EVERYTHING&amp;vid=01CRU&amp;lang=en_US&amp;offset=0&amp;query=any,contains,991000928089702656","Catalog Record")</f>
        <v/>
      </c>
      <c r="AV1784">
        <f>HYPERLINK("http://www.worldcat.org/oclc/7737509","WorldCat Record")</f>
        <v/>
      </c>
      <c r="AW1784" t="inlineStr">
        <is>
          <t>1236552:eng</t>
        </is>
      </c>
      <c r="AX1784" t="inlineStr">
        <is>
          <t>7737509</t>
        </is>
      </c>
      <c r="AY1784" t="inlineStr">
        <is>
          <t>991000928089702656</t>
        </is>
      </c>
      <c r="AZ1784" t="inlineStr">
        <is>
          <t>991000928089702656</t>
        </is>
      </c>
      <c r="BA1784" t="inlineStr">
        <is>
          <t>2257259570002656</t>
        </is>
      </c>
      <c r="BB1784" t="inlineStr">
        <is>
          <t>BOOK</t>
        </is>
      </c>
      <c r="BD1784" t="inlineStr">
        <is>
          <t>9780713143669</t>
        </is>
      </c>
      <c r="BE1784" t="inlineStr">
        <is>
          <t>30001000184335</t>
        </is>
      </c>
      <c r="BF1784" t="inlineStr">
        <is>
          <t>893278491</t>
        </is>
      </c>
    </row>
    <row r="1785">
      <c r="A1785" t="inlineStr">
        <is>
          <t>No</t>
        </is>
      </c>
      <c r="B1785" t="inlineStr">
        <is>
          <t>CUHSL</t>
        </is>
      </c>
      <c r="C1785" t="inlineStr">
        <is>
          <t>SHELVES</t>
        </is>
      </c>
      <c r="D1785" t="inlineStr">
        <is>
          <t>WY 161 P4445 1990</t>
        </is>
      </c>
      <c r="E1785" t="inlineStr">
        <is>
          <t>0                      WY 0161000P  4445        1990</t>
        </is>
      </c>
      <c r="F1785" t="inlineStr">
        <is>
          <t>Perioperative nursing care planning / [edited by] Jane C. Rothrock.</t>
        </is>
      </c>
      <c r="H1785" t="inlineStr">
        <is>
          <t>No</t>
        </is>
      </c>
      <c r="I1785" t="inlineStr">
        <is>
          <t>1</t>
        </is>
      </c>
      <c r="J1785" t="inlineStr">
        <is>
          <t>No</t>
        </is>
      </c>
      <c r="K1785" t="inlineStr">
        <is>
          <t>No</t>
        </is>
      </c>
      <c r="L1785" t="inlineStr">
        <is>
          <t>0</t>
        </is>
      </c>
      <c r="N1785" t="inlineStr">
        <is>
          <t>St. Louis : Mosby, c1990.</t>
        </is>
      </c>
      <c r="O1785" t="inlineStr">
        <is>
          <t>1990</t>
        </is>
      </c>
      <c r="Q1785" t="inlineStr">
        <is>
          <t>eng</t>
        </is>
      </c>
      <c r="R1785" t="inlineStr">
        <is>
          <t>xxu</t>
        </is>
      </c>
      <c r="T1785" t="inlineStr">
        <is>
          <t xml:space="preserve">WY </t>
        </is>
      </c>
      <c r="U1785" t="n">
        <v>3</v>
      </c>
      <c r="V1785" t="n">
        <v>3</v>
      </c>
      <c r="W1785" t="inlineStr">
        <is>
          <t>1992-03-30</t>
        </is>
      </c>
      <c r="X1785" t="inlineStr">
        <is>
          <t>1992-03-30</t>
        </is>
      </c>
      <c r="Y1785" t="inlineStr">
        <is>
          <t>1990-08-16</t>
        </is>
      </c>
      <c r="Z1785" t="inlineStr">
        <is>
          <t>1990-08-16</t>
        </is>
      </c>
      <c r="AA1785" t="n">
        <v>243</v>
      </c>
      <c r="AB1785" t="n">
        <v>190</v>
      </c>
      <c r="AC1785" t="n">
        <v>307</v>
      </c>
      <c r="AD1785" t="n">
        <v>2</v>
      </c>
      <c r="AE1785" t="n">
        <v>2</v>
      </c>
      <c r="AF1785" t="n">
        <v>6</v>
      </c>
      <c r="AG1785" t="n">
        <v>10</v>
      </c>
      <c r="AH1785" t="n">
        <v>3</v>
      </c>
      <c r="AI1785" t="n">
        <v>3</v>
      </c>
      <c r="AJ1785" t="n">
        <v>2</v>
      </c>
      <c r="AK1785" t="n">
        <v>3</v>
      </c>
      <c r="AL1785" t="n">
        <v>4</v>
      </c>
      <c r="AM1785" t="n">
        <v>7</v>
      </c>
      <c r="AN1785" t="n">
        <v>0</v>
      </c>
      <c r="AO1785" t="n">
        <v>0</v>
      </c>
      <c r="AP1785" t="n">
        <v>0</v>
      </c>
      <c r="AQ1785" t="n">
        <v>0</v>
      </c>
      <c r="AR1785" t="inlineStr">
        <is>
          <t>No</t>
        </is>
      </c>
      <c r="AS1785" t="inlineStr">
        <is>
          <t>Yes</t>
        </is>
      </c>
      <c r="AT1785">
        <f>HYPERLINK("http://catalog.hathitrust.org/Record/002422352","HathiTrust Record")</f>
        <v/>
      </c>
      <c r="AU1785">
        <f>HYPERLINK("https://creighton-primo.hosted.exlibrisgroup.com/primo-explore/search?tab=default_tab&amp;search_scope=EVERYTHING&amp;vid=01CRU&amp;lang=en_US&amp;offset=0&amp;query=any,contains,991001452889702656","Catalog Record")</f>
        <v/>
      </c>
      <c r="AV1785">
        <f>HYPERLINK("http://www.worldcat.org/oclc/20930504","WorldCat Record")</f>
        <v/>
      </c>
      <c r="AW1785" t="inlineStr">
        <is>
          <t>55291583:eng</t>
        </is>
      </c>
      <c r="AX1785" t="inlineStr">
        <is>
          <t>20930504</t>
        </is>
      </c>
      <c r="AY1785" t="inlineStr">
        <is>
          <t>991001452889702656</t>
        </is>
      </c>
      <c r="AZ1785" t="inlineStr">
        <is>
          <t>991001452889702656</t>
        </is>
      </c>
      <c r="BA1785" t="inlineStr">
        <is>
          <t>2266368640002656</t>
        </is>
      </c>
      <c r="BB1785" t="inlineStr">
        <is>
          <t>BOOK</t>
        </is>
      </c>
      <c r="BD1785" t="inlineStr">
        <is>
          <t>9780801655289</t>
        </is>
      </c>
      <c r="BE1785" t="inlineStr">
        <is>
          <t>30001001883828</t>
        </is>
      </c>
      <c r="BF1785" t="inlineStr">
        <is>
          <t>893358621</t>
        </is>
      </c>
    </row>
    <row r="1786">
      <c r="A1786" t="inlineStr">
        <is>
          <t>No</t>
        </is>
      </c>
      <c r="B1786" t="inlineStr">
        <is>
          <t>CUHSL</t>
        </is>
      </c>
      <c r="C1786" t="inlineStr">
        <is>
          <t>SHELVES</t>
        </is>
      </c>
      <c r="D1786" t="inlineStr">
        <is>
          <t>WY161 P573 2006</t>
        </is>
      </c>
      <c r="E1786" t="inlineStr">
        <is>
          <t>0                      WY 0161000P  573         2006</t>
        </is>
      </c>
      <c r="F1786" t="inlineStr">
        <is>
          <t>Phipps' medical-surgical nursing : health and illness perspectives / Frances Donovan Monahan ... [et al.].</t>
        </is>
      </c>
      <c r="H1786" t="inlineStr">
        <is>
          <t>No</t>
        </is>
      </c>
      <c r="I1786" t="inlineStr">
        <is>
          <t>1</t>
        </is>
      </c>
      <c r="J1786" t="inlineStr">
        <is>
          <t>No</t>
        </is>
      </c>
      <c r="K1786" t="inlineStr">
        <is>
          <t>No</t>
        </is>
      </c>
      <c r="L1786" t="inlineStr">
        <is>
          <t>0</t>
        </is>
      </c>
      <c r="N1786" t="inlineStr">
        <is>
          <t>St. Louis, Mo. : Elsevier Mosby, c2007.</t>
        </is>
      </c>
      <c r="O1786" t="inlineStr">
        <is>
          <t>2006</t>
        </is>
      </c>
      <c r="P1786" t="inlineStr">
        <is>
          <t>8th ed.</t>
        </is>
      </c>
      <c r="Q1786" t="inlineStr">
        <is>
          <t>eng</t>
        </is>
      </c>
      <c r="R1786" t="inlineStr">
        <is>
          <t>mou</t>
        </is>
      </c>
      <c r="T1786" t="inlineStr">
        <is>
          <t xml:space="preserve">WY </t>
        </is>
      </c>
      <c r="U1786" t="n">
        <v>0</v>
      </c>
      <c r="V1786" t="n">
        <v>0</v>
      </c>
      <c r="W1786" t="inlineStr">
        <is>
          <t>2006-12-12</t>
        </is>
      </c>
      <c r="X1786" t="inlineStr">
        <is>
          <t>2006-12-12</t>
        </is>
      </c>
      <c r="Y1786" t="inlineStr">
        <is>
          <t>2006-11-30</t>
        </is>
      </c>
      <c r="Z1786" t="inlineStr">
        <is>
          <t>2006-11-30</t>
        </is>
      </c>
      <c r="AA1786" t="n">
        <v>311</v>
      </c>
      <c r="AB1786" t="n">
        <v>238</v>
      </c>
      <c r="AC1786" t="n">
        <v>260</v>
      </c>
      <c r="AD1786" t="n">
        <v>1</v>
      </c>
      <c r="AE1786" t="n">
        <v>1</v>
      </c>
      <c r="AF1786" t="n">
        <v>8</v>
      </c>
      <c r="AG1786" t="n">
        <v>8</v>
      </c>
      <c r="AH1786" t="n">
        <v>0</v>
      </c>
      <c r="AI1786" t="n">
        <v>0</v>
      </c>
      <c r="AJ1786" t="n">
        <v>4</v>
      </c>
      <c r="AK1786" t="n">
        <v>4</v>
      </c>
      <c r="AL1786" t="n">
        <v>5</v>
      </c>
      <c r="AM1786" t="n">
        <v>5</v>
      </c>
      <c r="AN1786" t="n">
        <v>0</v>
      </c>
      <c r="AO1786" t="n">
        <v>0</v>
      </c>
      <c r="AP1786" t="n">
        <v>0</v>
      </c>
      <c r="AQ1786" t="n">
        <v>0</v>
      </c>
      <c r="AR1786" t="inlineStr">
        <is>
          <t>No</t>
        </is>
      </c>
      <c r="AS1786" t="inlineStr">
        <is>
          <t>No</t>
        </is>
      </c>
      <c r="AU1786">
        <f>HYPERLINK("https://creighton-primo.hosted.exlibrisgroup.com/primo-explore/search?tab=default_tab&amp;search_scope=EVERYTHING&amp;vid=01CRU&amp;lang=en_US&amp;offset=0&amp;query=any,contains,991000572519702656","Catalog Record")</f>
        <v/>
      </c>
      <c r="AV1786">
        <f>HYPERLINK("http://www.worldcat.org/oclc/68705566","WorldCat Record")</f>
        <v/>
      </c>
      <c r="AW1786" t="inlineStr">
        <is>
          <t>796519410:eng</t>
        </is>
      </c>
      <c r="AX1786" t="inlineStr">
        <is>
          <t>68705566</t>
        </is>
      </c>
      <c r="AY1786" t="inlineStr">
        <is>
          <t>991000572519702656</t>
        </is>
      </c>
      <c r="AZ1786" t="inlineStr">
        <is>
          <t>991000572519702656</t>
        </is>
      </c>
      <c r="BA1786" t="inlineStr">
        <is>
          <t>2267480320002656</t>
        </is>
      </c>
      <c r="BB1786" t="inlineStr">
        <is>
          <t>BOOK</t>
        </is>
      </c>
      <c r="BD1786" t="inlineStr">
        <is>
          <t>9780323031974</t>
        </is>
      </c>
      <c r="BE1786" t="inlineStr">
        <is>
          <t>30001005193406</t>
        </is>
      </c>
      <c r="BF1786" t="inlineStr">
        <is>
          <t>893734674</t>
        </is>
      </c>
    </row>
    <row r="1787">
      <c r="A1787" t="inlineStr">
        <is>
          <t>No</t>
        </is>
      </c>
      <c r="B1787" t="inlineStr">
        <is>
          <t>CUHSL</t>
        </is>
      </c>
      <c r="C1787" t="inlineStr">
        <is>
          <t>SHELVES</t>
        </is>
      </c>
      <c r="D1787" t="inlineStr">
        <is>
          <t>WY161 P943c 2005</t>
        </is>
      </c>
      <c r="E1787" t="inlineStr">
        <is>
          <t>0                      WY 0161000P  943c        2005</t>
        </is>
      </c>
      <c r="F1787" t="inlineStr">
        <is>
          <t>Critical thinking in medical-surgical settings : a case study approach / Barbara A. Preusser.</t>
        </is>
      </c>
      <c r="H1787" t="inlineStr">
        <is>
          <t>No</t>
        </is>
      </c>
      <c r="I1787" t="inlineStr">
        <is>
          <t>1</t>
        </is>
      </c>
      <c r="J1787" t="inlineStr">
        <is>
          <t>No</t>
        </is>
      </c>
      <c r="K1787" t="inlineStr">
        <is>
          <t>No</t>
        </is>
      </c>
      <c r="L1787" t="inlineStr">
        <is>
          <t>0</t>
        </is>
      </c>
      <c r="M1787" t="inlineStr">
        <is>
          <t>Preusser, Barbara A.</t>
        </is>
      </c>
      <c r="N1787" t="inlineStr">
        <is>
          <t>St. Louis : Elsevier Mosby, c2005.</t>
        </is>
      </c>
      <c r="O1787" t="inlineStr">
        <is>
          <t>2005</t>
        </is>
      </c>
      <c r="P1787" t="inlineStr">
        <is>
          <t>3rd ed.</t>
        </is>
      </c>
      <c r="Q1787" t="inlineStr">
        <is>
          <t>eng</t>
        </is>
      </c>
      <c r="R1787" t="inlineStr">
        <is>
          <t>mou</t>
        </is>
      </c>
      <c r="T1787" t="inlineStr">
        <is>
          <t xml:space="preserve">WY </t>
        </is>
      </c>
      <c r="U1787" t="n">
        <v>5</v>
      </c>
      <c r="V1787" t="n">
        <v>5</v>
      </c>
      <c r="W1787" t="inlineStr">
        <is>
          <t>2010-12-13</t>
        </is>
      </c>
      <c r="X1787" t="inlineStr">
        <is>
          <t>2010-12-13</t>
        </is>
      </c>
      <c r="Y1787" t="inlineStr">
        <is>
          <t>2005-12-08</t>
        </is>
      </c>
      <c r="Z1787" t="inlineStr">
        <is>
          <t>2005-12-08</t>
        </is>
      </c>
      <c r="AA1787" t="n">
        <v>215</v>
      </c>
      <c r="AB1787" t="n">
        <v>170</v>
      </c>
      <c r="AC1787" t="n">
        <v>170</v>
      </c>
      <c r="AD1787" t="n">
        <v>1</v>
      </c>
      <c r="AE1787" t="n">
        <v>1</v>
      </c>
      <c r="AF1787" t="n">
        <v>6</v>
      </c>
      <c r="AG1787" t="n">
        <v>6</v>
      </c>
      <c r="AH1787" t="n">
        <v>3</v>
      </c>
      <c r="AI1787" t="n">
        <v>3</v>
      </c>
      <c r="AJ1787" t="n">
        <v>1</v>
      </c>
      <c r="AK1787" t="n">
        <v>1</v>
      </c>
      <c r="AL1787" t="n">
        <v>4</v>
      </c>
      <c r="AM1787" t="n">
        <v>4</v>
      </c>
      <c r="AN1787" t="n">
        <v>0</v>
      </c>
      <c r="AO1787" t="n">
        <v>0</v>
      </c>
      <c r="AP1787" t="n">
        <v>0</v>
      </c>
      <c r="AQ1787" t="n">
        <v>0</v>
      </c>
      <c r="AR1787" t="inlineStr">
        <is>
          <t>No</t>
        </is>
      </c>
      <c r="AS1787" t="inlineStr">
        <is>
          <t>No</t>
        </is>
      </c>
      <c r="AU1787">
        <f>HYPERLINK("https://creighton-primo.hosted.exlibrisgroup.com/primo-explore/search?tab=default_tab&amp;search_scope=EVERYTHING&amp;vid=01CRU&amp;lang=en_US&amp;offset=0&amp;query=any,contains,991001736289702656","Catalog Record")</f>
        <v/>
      </c>
      <c r="AV1787">
        <f>HYPERLINK("http://www.worldcat.org/oclc/56056039","WorldCat Record")</f>
        <v/>
      </c>
      <c r="AW1787" t="inlineStr">
        <is>
          <t>5614881552:eng</t>
        </is>
      </c>
      <c r="AX1787" t="inlineStr">
        <is>
          <t>56056039</t>
        </is>
      </c>
      <c r="AY1787" t="inlineStr">
        <is>
          <t>991001736289702656</t>
        </is>
      </c>
      <c r="AZ1787" t="inlineStr">
        <is>
          <t>991001736289702656</t>
        </is>
      </c>
      <c r="BA1787" t="inlineStr">
        <is>
          <t>2271862860002656</t>
        </is>
      </c>
      <c r="BB1787" t="inlineStr">
        <is>
          <t>BOOK</t>
        </is>
      </c>
      <c r="BD1787" t="inlineStr">
        <is>
          <t>9780323025669</t>
        </is>
      </c>
      <c r="BE1787" t="inlineStr">
        <is>
          <t>30001004912111</t>
        </is>
      </c>
      <c r="BF1787" t="inlineStr">
        <is>
          <t>893633272</t>
        </is>
      </c>
    </row>
    <row r="1788">
      <c r="A1788" t="inlineStr">
        <is>
          <t>No</t>
        </is>
      </c>
      <c r="B1788" t="inlineStr">
        <is>
          <t>CUHSL</t>
        </is>
      </c>
      <c r="C1788" t="inlineStr">
        <is>
          <t>SHELVES</t>
        </is>
      </c>
      <c r="D1788" t="inlineStr">
        <is>
          <t>WY 161 S927 1981</t>
        </is>
      </c>
      <c r="E1788" t="inlineStr">
        <is>
          <t>0                      WY 0161000S  927         1981</t>
        </is>
      </c>
      <c r="F1788" t="inlineStr">
        <is>
          <t>Structured preoperative teaching / CURN Project, Conduct and Utilization of Research in Nursing Project, Michigan Nurses Association ; principal investigator, Jo Anne Horsley ; the protocol manuscript ... prepared by Margaret A. Reynolds, Janet D. Bingle.</t>
        </is>
      </c>
      <c r="H1788" t="inlineStr">
        <is>
          <t>No</t>
        </is>
      </c>
      <c r="I1788" t="inlineStr">
        <is>
          <t>1</t>
        </is>
      </c>
      <c r="J1788" t="inlineStr">
        <is>
          <t>No</t>
        </is>
      </c>
      <c r="K1788" t="inlineStr">
        <is>
          <t>No</t>
        </is>
      </c>
      <c r="L1788" t="inlineStr">
        <is>
          <t>0</t>
        </is>
      </c>
      <c r="N1788" t="inlineStr">
        <is>
          <t>New York : Grune &amp; Stratton, c1981.</t>
        </is>
      </c>
      <c r="O1788" t="inlineStr">
        <is>
          <t>1981</t>
        </is>
      </c>
      <c r="Q1788" t="inlineStr">
        <is>
          <t>eng</t>
        </is>
      </c>
      <c r="R1788" t="inlineStr">
        <is>
          <t>xxu</t>
        </is>
      </c>
      <c r="S1788" t="inlineStr">
        <is>
          <t>Using research to improve nursing practice</t>
        </is>
      </c>
      <c r="T1788" t="inlineStr">
        <is>
          <t xml:space="preserve">WY </t>
        </is>
      </c>
      <c r="U1788" t="n">
        <v>6</v>
      </c>
      <c r="V1788" t="n">
        <v>6</v>
      </c>
      <c r="W1788" t="inlineStr">
        <is>
          <t>1998-10-23</t>
        </is>
      </c>
      <c r="X1788" t="inlineStr">
        <is>
          <t>1998-10-23</t>
        </is>
      </c>
      <c r="Y1788" t="inlineStr">
        <is>
          <t>1987-12-29</t>
        </is>
      </c>
      <c r="Z1788" t="inlineStr">
        <is>
          <t>1987-12-29</t>
        </is>
      </c>
      <c r="AA1788" t="n">
        <v>168</v>
      </c>
      <c r="AB1788" t="n">
        <v>127</v>
      </c>
      <c r="AC1788" t="n">
        <v>127</v>
      </c>
      <c r="AD1788" t="n">
        <v>1</v>
      </c>
      <c r="AE1788" t="n">
        <v>1</v>
      </c>
      <c r="AF1788" t="n">
        <v>6</v>
      </c>
      <c r="AG1788" t="n">
        <v>6</v>
      </c>
      <c r="AH1788" t="n">
        <v>1</v>
      </c>
      <c r="AI1788" t="n">
        <v>1</v>
      </c>
      <c r="AJ1788" t="n">
        <v>3</v>
      </c>
      <c r="AK1788" t="n">
        <v>3</v>
      </c>
      <c r="AL1788" t="n">
        <v>4</v>
      </c>
      <c r="AM1788" t="n">
        <v>4</v>
      </c>
      <c r="AN1788" t="n">
        <v>0</v>
      </c>
      <c r="AO1788" t="n">
        <v>0</v>
      </c>
      <c r="AP1788" t="n">
        <v>0</v>
      </c>
      <c r="AQ1788" t="n">
        <v>0</v>
      </c>
      <c r="AR1788" t="inlineStr">
        <is>
          <t>No</t>
        </is>
      </c>
      <c r="AS1788" t="inlineStr">
        <is>
          <t>No</t>
        </is>
      </c>
      <c r="AU1788">
        <f>HYPERLINK("https://creighton-primo.hosted.exlibrisgroup.com/primo-explore/search?tab=default_tab&amp;search_scope=EVERYTHING&amp;vid=01CRU&amp;lang=en_US&amp;offset=0&amp;query=any,contains,991000928219702656","Catalog Record")</f>
        <v/>
      </c>
      <c r="AV1788">
        <f>HYPERLINK("http://www.worldcat.org/oclc/6943410","WorldCat Record")</f>
        <v/>
      </c>
      <c r="AW1788" t="inlineStr">
        <is>
          <t>465744:eng</t>
        </is>
      </c>
      <c r="AX1788" t="inlineStr">
        <is>
          <t>6943410</t>
        </is>
      </c>
      <c r="AY1788" t="inlineStr">
        <is>
          <t>991000928219702656</t>
        </is>
      </c>
      <c r="AZ1788" t="inlineStr">
        <is>
          <t>991000928219702656</t>
        </is>
      </c>
      <c r="BA1788" t="inlineStr">
        <is>
          <t>2271229350002656</t>
        </is>
      </c>
      <c r="BB1788" t="inlineStr">
        <is>
          <t>BOOK</t>
        </is>
      </c>
      <c r="BD1788" t="inlineStr">
        <is>
          <t>9780808913115</t>
        </is>
      </c>
      <c r="BE1788" t="inlineStr">
        <is>
          <t>30001000184368</t>
        </is>
      </c>
      <c r="BF1788" t="inlineStr">
        <is>
          <t>893273500</t>
        </is>
      </c>
    </row>
    <row r="1789">
      <c r="A1789" t="inlineStr">
        <is>
          <t>No</t>
        </is>
      </c>
      <c r="B1789" t="inlineStr">
        <is>
          <t>CUHSL</t>
        </is>
      </c>
      <c r="C1789" t="inlineStr">
        <is>
          <t>SHELVES</t>
        </is>
      </c>
      <c r="D1789" t="inlineStr">
        <is>
          <t>WY 162 A876b 1992</t>
        </is>
      </c>
      <c r="E1789" t="inlineStr">
        <is>
          <t>0                      WY 0162000A  876b        1992</t>
        </is>
      </c>
      <c r="F1789" t="inlineStr">
        <is>
          <t>Berry and Kohn's operating room technique.</t>
        </is>
      </c>
      <c r="H1789" t="inlineStr">
        <is>
          <t>No</t>
        </is>
      </c>
      <c r="I1789" t="inlineStr">
        <is>
          <t>1</t>
        </is>
      </c>
      <c r="J1789" t="inlineStr">
        <is>
          <t>No</t>
        </is>
      </c>
      <c r="K1789" t="inlineStr">
        <is>
          <t>Yes</t>
        </is>
      </c>
      <c r="L1789" t="inlineStr">
        <is>
          <t>0</t>
        </is>
      </c>
      <c r="M1789" t="inlineStr">
        <is>
          <t>Atkinson, Lucy Jo.</t>
        </is>
      </c>
      <c r="N1789" t="inlineStr">
        <is>
          <t>St. Louis : Mosby Year Book, c1992.</t>
        </is>
      </c>
      <c r="O1789" t="inlineStr">
        <is>
          <t>1992</t>
        </is>
      </c>
      <c r="P1789" t="inlineStr">
        <is>
          <t>7th ed. / Lucy Jo Atkinson, Mary Louise Kohn.</t>
        </is>
      </c>
      <c r="Q1789" t="inlineStr">
        <is>
          <t>eng</t>
        </is>
      </c>
      <c r="R1789" t="inlineStr">
        <is>
          <t>xxu</t>
        </is>
      </c>
      <c r="T1789" t="inlineStr">
        <is>
          <t xml:space="preserve">WY </t>
        </is>
      </c>
      <c r="U1789" t="n">
        <v>104</v>
      </c>
      <c r="V1789" t="n">
        <v>104</v>
      </c>
      <c r="W1789" t="inlineStr">
        <is>
          <t>1999-11-15</t>
        </is>
      </c>
      <c r="X1789" t="inlineStr">
        <is>
          <t>1999-11-15</t>
        </is>
      </c>
      <c r="Y1789" t="inlineStr">
        <is>
          <t>1992-02-18</t>
        </is>
      </c>
      <c r="Z1789" t="inlineStr">
        <is>
          <t>1992-02-18</t>
        </is>
      </c>
      <c r="AA1789" t="n">
        <v>314</v>
      </c>
      <c r="AB1789" t="n">
        <v>266</v>
      </c>
      <c r="AC1789" t="n">
        <v>1071</v>
      </c>
      <c r="AD1789" t="n">
        <v>3</v>
      </c>
      <c r="AE1789" t="n">
        <v>6</v>
      </c>
      <c r="AF1789" t="n">
        <v>6</v>
      </c>
      <c r="AG1789" t="n">
        <v>26</v>
      </c>
      <c r="AH1789" t="n">
        <v>3</v>
      </c>
      <c r="AI1789" t="n">
        <v>9</v>
      </c>
      <c r="AJ1789" t="n">
        <v>1</v>
      </c>
      <c r="AK1789" t="n">
        <v>6</v>
      </c>
      <c r="AL1789" t="n">
        <v>2</v>
      </c>
      <c r="AM1789" t="n">
        <v>12</v>
      </c>
      <c r="AN1789" t="n">
        <v>1</v>
      </c>
      <c r="AO1789" t="n">
        <v>3</v>
      </c>
      <c r="AP1789" t="n">
        <v>0</v>
      </c>
      <c r="AQ1789" t="n">
        <v>0</v>
      </c>
      <c r="AR1789" t="inlineStr">
        <is>
          <t>No</t>
        </is>
      </c>
      <c r="AS1789" t="inlineStr">
        <is>
          <t>Yes</t>
        </is>
      </c>
      <c r="AT1789">
        <f>HYPERLINK("http://catalog.hathitrust.org/Record/002499438","HathiTrust Record")</f>
        <v/>
      </c>
      <c r="AU1789">
        <f>HYPERLINK("https://creighton-primo.hosted.exlibrisgroup.com/primo-explore/search?tab=default_tab&amp;search_scope=EVERYTHING&amp;vid=01CRU&amp;lang=en_US&amp;offset=0&amp;query=any,contains,991001034359702656","Catalog Record")</f>
        <v/>
      </c>
      <c r="AV1789">
        <f>HYPERLINK("http://www.worldcat.org/oclc/24319415","WorldCat Record")</f>
        <v/>
      </c>
      <c r="AW1789" t="inlineStr">
        <is>
          <t>2637223:eng</t>
        </is>
      </c>
      <c r="AX1789" t="inlineStr">
        <is>
          <t>24319415</t>
        </is>
      </c>
      <c r="AY1789" t="inlineStr">
        <is>
          <t>991001034359702656</t>
        </is>
      </c>
      <c r="AZ1789" t="inlineStr">
        <is>
          <t>991001034359702656</t>
        </is>
      </c>
      <c r="BA1789" t="inlineStr">
        <is>
          <t>2261926160002656</t>
        </is>
      </c>
      <c r="BB1789" t="inlineStr">
        <is>
          <t>BOOK</t>
        </is>
      </c>
      <c r="BD1789" t="inlineStr">
        <is>
          <t>9780801660481</t>
        </is>
      </c>
      <c r="BE1789" t="inlineStr">
        <is>
          <t>30001002244434</t>
        </is>
      </c>
      <c r="BF1789" t="inlineStr">
        <is>
          <t>893546325</t>
        </is>
      </c>
    </row>
    <row r="1790">
      <c r="A1790" t="inlineStr">
        <is>
          <t>No</t>
        </is>
      </c>
      <c r="B1790" t="inlineStr">
        <is>
          <t>CUHSL</t>
        </is>
      </c>
      <c r="C1790" t="inlineStr">
        <is>
          <t>SHELVES</t>
        </is>
      </c>
      <c r="D1790" t="inlineStr">
        <is>
          <t>WY 162 A876b 1996</t>
        </is>
      </c>
      <c r="E1790" t="inlineStr">
        <is>
          <t>0                      WY 0162000A  876b        1996</t>
        </is>
      </c>
      <c r="F1790" t="inlineStr">
        <is>
          <t>Berry &amp; Kohn's operating room technique.</t>
        </is>
      </c>
      <c r="H1790" t="inlineStr">
        <is>
          <t>No</t>
        </is>
      </c>
      <c r="I1790" t="inlineStr">
        <is>
          <t>1</t>
        </is>
      </c>
      <c r="J1790" t="inlineStr">
        <is>
          <t>No</t>
        </is>
      </c>
      <c r="K1790" t="inlineStr">
        <is>
          <t>Yes</t>
        </is>
      </c>
      <c r="L1790" t="inlineStr">
        <is>
          <t>0</t>
        </is>
      </c>
      <c r="M1790" t="inlineStr">
        <is>
          <t>Atkinson, Lucy Jo.</t>
        </is>
      </c>
      <c r="N1790" t="inlineStr">
        <is>
          <t>St. Louis : Mosby, c1996.</t>
        </is>
      </c>
      <c r="O1790" t="inlineStr">
        <is>
          <t>1996</t>
        </is>
      </c>
      <c r="P1790" t="inlineStr">
        <is>
          <t>8th ed. / Lucy Jo Atkinson, Nancymarie Howard Fortunato.</t>
        </is>
      </c>
      <c r="Q1790" t="inlineStr">
        <is>
          <t>eng</t>
        </is>
      </c>
      <c r="R1790" t="inlineStr">
        <is>
          <t>mou</t>
        </is>
      </c>
      <c r="T1790" t="inlineStr">
        <is>
          <t xml:space="preserve">WY </t>
        </is>
      </c>
      <c r="U1790" t="n">
        <v>13</v>
      </c>
      <c r="V1790" t="n">
        <v>13</v>
      </c>
      <c r="W1790" t="inlineStr">
        <is>
          <t>1997-06-22</t>
        </is>
      </c>
      <c r="X1790" t="inlineStr">
        <is>
          <t>1997-06-22</t>
        </is>
      </c>
      <c r="Y1790" t="inlineStr">
        <is>
          <t>1997-01-17</t>
        </is>
      </c>
      <c r="Z1790" t="inlineStr">
        <is>
          <t>1997-01-17</t>
        </is>
      </c>
      <c r="AA1790" t="n">
        <v>276</v>
      </c>
      <c r="AB1790" t="n">
        <v>226</v>
      </c>
      <c r="AC1790" t="n">
        <v>1071</v>
      </c>
      <c r="AD1790" t="n">
        <v>2</v>
      </c>
      <c r="AE1790" t="n">
        <v>6</v>
      </c>
      <c r="AF1790" t="n">
        <v>4</v>
      </c>
      <c r="AG1790" t="n">
        <v>26</v>
      </c>
      <c r="AH1790" t="n">
        <v>1</v>
      </c>
      <c r="AI1790" t="n">
        <v>9</v>
      </c>
      <c r="AJ1790" t="n">
        <v>0</v>
      </c>
      <c r="AK1790" t="n">
        <v>6</v>
      </c>
      <c r="AL1790" t="n">
        <v>3</v>
      </c>
      <c r="AM1790" t="n">
        <v>12</v>
      </c>
      <c r="AN1790" t="n">
        <v>0</v>
      </c>
      <c r="AO1790" t="n">
        <v>3</v>
      </c>
      <c r="AP1790" t="n">
        <v>0</v>
      </c>
      <c r="AQ1790" t="n">
        <v>0</v>
      </c>
      <c r="AR1790" t="inlineStr">
        <is>
          <t>No</t>
        </is>
      </c>
      <c r="AS1790" t="inlineStr">
        <is>
          <t>No</t>
        </is>
      </c>
      <c r="AU1790">
        <f>HYPERLINK("https://creighton-primo.hosted.exlibrisgroup.com/primo-explore/search?tab=default_tab&amp;search_scope=EVERYTHING&amp;vid=01CRU&amp;lang=en_US&amp;offset=0&amp;query=any,contains,991000850849702656","Catalog Record")</f>
        <v/>
      </c>
      <c r="AV1790">
        <f>HYPERLINK("http://www.worldcat.org/oclc/33161922","WorldCat Record")</f>
        <v/>
      </c>
      <c r="AW1790" t="inlineStr">
        <is>
          <t>2637223:eng</t>
        </is>
      </c>
      <c r="AX1790" t="inlineStr">
        <is>
          <t>33161922</t>
        </is>
      </c>
      <c r="AY1790" t="inlineStr">
        <is>
          <t>991000850849702656</t>
        </is>
      </c>
      <c r="AZ1790" t="inlineStr">
        <is>
          <t>991000850849702656</t>
        </is>
      </c>
      <c r="BA1790" t="inlineStr">
        <is>
          <t>2261992620002656</t>
        </is>
      </c>
      <c r="BB1790" t="inlineStr">
        <is>
          <t>BOOK</t>
        </is>
      </c>
      <c r="BD1790" t="inlineStr">
        <is>
          <t>9780815101031</t>
        </is>
      </c>
      <c r="BE1790" t="inlineStr">
        <is>
          <t>30001003473677</t>
        </is>
      </c>
      <c r="BF1790" t="inlineStr">
        <is>
          <t>893743541</t>
        </is>
      </c>
    </row>
    <row r="1791">
      <c r="A1791" t="inlineStr">
        <is>
          <t>No</t>
        </is>
      </c>
      <c r="B1791" t="inlineStr">
        <is>
          <t>CUHSL</t>
        </is>
      </c>
      <c r="C1791" t="inlineStr">
        <is>
          <t>SHELVES</t>
        </is>
      </c>
      <c r="D1791" t="inlineStr">
        <is>
          <t>WY 162 B873f 1979</t>
        </is>
      </c>
      <c r="E1791" t="inlineStr">
        <is>
          <t>0                      WY 0162000B  873f        1979</t>
        </is>
      </c>
      <c r="F1791" t="inlineStr">
        <is>
          <t>Fundamentals of operating room nursing / Shirley M. Brooks.</t>
        </is>
      </c>
      <c r="H1791" t="inlineStr">
        <is>
          <t>No</t>
        </is>
      </c>
      <c r="I1791" t="inlineStr">
        <is>
          <t>1</t>
        </is>
      </c>
      <c r="J1791" t="inlineStr">
        <is>
          <t>No</t>
        </is>
      </c>
      <c r="K1791" t="inlineStr">
        <is>
          <t>No</t>
        </is>
      </c>
      <c r="L1791" t="inlineStr">
        <is>
          <t>0</t>
        </is>
      </c>
      <c r="M1791" t="inlineStr">
        <is>
          <t>Tighe, Shirley M., 1939-</t>
        </is>
      </c>
      <c r="N1791" t="inlineStr">
        <is>
          <t>St. Louis : Mosby, 1979.</t>
        </is>
      </c>
      <c r="O1791" t="inlineStr">
        <is>
          <t>1979</t>
        </is>
      </c>
      <c r="P1791" t="inlineStr">
        <is>
          <t>-- 2d ed. --</t>
        </is>
      </c>
      <c r="Q1791" t="inlineStr">
        <is>
          <t>eng</t>
        </is>
      </c>
      <c r="R1791" t="inlineStr">
        <is>
          <t>mou</t>
        </is>
      </c>
      <c r="T1791" t="inlineStr">
        <is>
          <t xml:space="preserve">WY </t>
        </is>
      </c>
      <c r="U1791" t="n">
        <v>3</v>
      </c>
      <c r="V1791" t="n">
        <v>3</v>
      </c>
      <c r="W1791" t="inlineStr">
        <is>
          <t>1989-07-18</t>
        </is>
      </c>
      <c r="X1791" t="inlineStr">
        <is>
          <t>1989-07-18</t>
        </is>
      </c>
      <c r="Y1791" t="inlineStr">
        <is>
          <t>1987-12-29</t>
        </is>
      </c>
      <c r="Z1791" t="inlineStr">
        <is>
          <t>1987-12-29</t>
        </is>
      </c>
      <c r="AA1791" t="n">
        <v>179</v>
      </c>
      <c r="AB1791" t="n">
        <v>150</v>
      </c>
      <c r="AC1791" t="n">
        <v>222</v>
      </c>
      <c r="AD1791" t="n">
        <v>3</v>
      </c>
      <c r="AE1791" t="n">
        <v>4</v>
      </c>
      <c r="AF1791" t="n">
        <v>4</v>
      </c>
      <c r="AG1791" t="n">
        <v>6</v>
      </c>
      <c r="AH1791" t="n">
        <v>1</v>
      </c>
      <c r="AI1791" t="n">
        <v>1</v>
      </c>
      <c r="AJ1791" t="n">
        <v>0</v>
      </c>
      <c r="AK1791" t="n">
        <v>0</v>
      </c>
      <c r="AL1791" t="n">
        <v>2</v>
      </c>
      <c r="AM1791" t="n">
        <v>3</v>
      </c>
      <c r="AN1791" t="n">
        <v>1</v>
      </c>
      <c r="AO1791" t="n">
        <v>2</v>
      </c>
      <c r="AP1791" t="n">
        <v>0</v>
      </c>
      <c r="AQ1791" t="n">
        <v>0</v>
      </c>
      <c r="AR1791" t="inlineStr">
        <is>
          <t>No</t>
        </is>
      </c>
      <c r="AS1791" t="inlineStr">
        <is>
          <t>Yes</t>
        </is>
      </c>
      <c r="AT1791">
        <f>HYPERLINK("http://catalog.hathitrust.org/Record/000717818","HathiTrust Record")</f>
        <v/>
      </c>
      <c r="AU1791">
        <f>HYPERLINK("https://creighton-primo.hosted.exlibrisgroup.com/primo-explore/search?tab=default_tab&amp;search_scope=EVERYTHING&amp;vid=01CRU&amp;lang=en_US&amp;offset=0&amp;query=any,contains,991000928479702656","Catalog Record")</f>
        <v/>
      </c>
      <c r="AV1791">
        <f>HYPERLINK("http://www.worldcat.org/oclc/4638958","WorldCat Record")</f>
        <v/>
      </c>
      <c r="AW1791" t="inlineStr">
        <is>
          <t>451186:eng</t>
        </is>
      </c>
      <c r="AX1791" t="inlineStr">
        <is>
          <t>4638958</t>
        </is>
      </c>
      <c r="AY1791" t="inlineStr">
        <is>
          <t>991000928479702656</t>
        </is>
      </c>
      <c r="AZ1791" t="inlineStr">
        <is>
          <t>991000928479702656</t>
        </is>
      </c>
      <c r="BA1791" t="inlineStr">
        <is>
          <t>2255822880002656</t>
        </is>
      </c>
      <c r="BB1791" t="inlineStr">
        <is>
          <t>BOOK</t>
        </is>
      </c>
      <c r="BD1791" t="inlineStr">
        <is>
          <t>9780801608148</t>
        </is>
      </c>
      <c r="BE1791" t="inlineStr">
        <is>
          <t>30001000184475</t>
        </is>
      </c>
      <c r="BF1791" t="inlineStr">
        <is>
          <t>893637842</t>
        </is>
      </c>
    </row>
    <row r="1792">
      <c r="A1792" t="inlineStr">
        <is>
          <t>No</t>
        </is>
      </c>
      <c r="B1792" t="inlineStr">
        <is>
          <t>CUHSL</t>
        </is>
      </c>
      <c r="C1792" t="inlineStr">
        <is>
          <t>SHELVES</t>
        </is>
      </c>
      <c r="D1792" t="inlineStr">
        <is>
          <t>WY 162 C795m 1982</t>
        </is>
      </c>
      <c r="E1792" t="inlineStr">
        <is>
          <t>0                      WY 0162000C  795m        1982</t>
        </is>
      </c>
      <c r="F1792" t="inlineStr">
        <is>
          <t>Manual of operating room management / Jacqueline Willingham Cordner.</t>
        </is>
      </c>
      <c r="H1792" t="inlineStr">
        <is>
          <t>No</t>
        </is>
      </c>
      <c r="I1792" t="inlineStr">
        <is>
          <t>1</t>
        </is>
      </c>
      <c r="J1792" t="inlineStr">
        <is>
          <t>No</t>
        </is>
      </c>
      <c r="K1792" t="inlineStr">
        <is>
          <t>No</t>
        </is>
      </c>
      <c r="L1792" t="inlineStr">
        <is>
          <t>0</t>
        </is>
      </c>
      <c r="M1792" t="inlineStr">
        <is>
          <t>Cordner, Jacqueline Willingham.</t>
        </is>
      </c>
      <c r="N1792" t="inlineStr">
        <is>
          <t>Oradell, N.J. : Medical Economics Books, c1982.</t>
        </is>
      </c>
      <c r="O1792" t="inlineStr">
        <is>
          <t>1982</t>
        </is>
      </c>
      <c r="Q1792" t="inlineStr">
        <is>
          <t>eng</t>
        </is>
      </c>
      <c r="R1792" t="inlineStr">
        <is>
          <t>xxu</t>
        </is>
      </c>
      <c r="T1792" t="inlineStr">
        <is>
          <t xml:space="preserve">WY </t>
        </is>
      </c>
      <c r="U1792" t="n">
        <v>2</v>
      </c>
      <c r="V1792" t="n">
        <v>2</v>
      </c>
      <c r="W1792" t="inlineStr">
        <is>
          <t>1988-04-12</t>
        </is>
      </c>
      <c r="X1792" t="inlineStr">
        <is>
          <t>1988-04-12</t>
        </is>
      </c>
      <c r="Y1792" t="inlineStr">
        <is>
          <t>1987-12-29</t>
        </is>
      </c>
      <c r="Z1792" t="inlineStr">
        <is>
          <t>1987-12-29</t>
        </is>
      </c>
      <c r="AA1792" t="n">
        <v>100</v>
      </c>
      <c r="AB1792" t="n">
        <v>85</v>
      </c>
      <c r="AC1792" t="n">
        <v>85</v>
      </c>
      <c r="AD1792" t="n">
        <v>2</v>
      </c>
      <c r="AE1792" t="n">
        <v>2</v>
      </c>
      <c r="AF1792" t="n">
        <v>4</v>
      </c>
      <c r="AG1792" t="n">
        <v>4</v>
      </c>
      <c r="AH1792" t="n">
        <v>1</v>
      </c>
      <c r="AI1792" t="n">
        <v>1</v>
      </c>
      <c r="AJ1792" t="n">
        <v>2</v>
      </c>
      <c r="AK1792" t="n">
        <v>2</v>
      </c>
      <c r="AL1792" t="n">
        <v>2</v>
      </c>
      <c r="AM1792" t="n">
        <v>2</v>
      </c>
      <c r="AN1792" t="n">
        <v>0</v>
      </c>
      <c r="AO1792" t="n">
        <v>0</v>
      </c>
      <c r="AP1792" t="n">
        <v>0</v>
      </c>
      <c r="AQ1792" t="n">
        <v>0</v>
      </c>
      <c r="AR1792" t="inlineStr">
        <is>
          <t>No</t>
        </is>
      </c>
      <c r="AS1792" t="inlineStr">
        <is>
          <t>No</t>
        </is>
      </c>
      <c r="AU1792">
        <f>HYPERLINK("https://creighton-primo.hosted.exlibrisgroup.com/primo-explore/search?tab=default_tab&amp;search_scope=EVERYTHING&amp;vid=01CRU&amp;lang=en_US&amp;offset=0&amp;query=any,contains,991000928519702656","Catalog Record")</f>
        <v/>
      </c>
      <c r="AV1792">
        <f>HYPERLINK("http://www.worldcat.org/oclc/7572659","WorldCat Record")</f>
        <v/>
      </c>
      <c r="AW1792" t="inlineStr">
        <is>
          <t>8847674514:eng</t>
        </is>
      </c>
      <c r="AX1792" t="inlineStr">
        <is>
          <t>7572659</t>
        </is>
      </c>
      <c r="AY1792" t="inlineStr">
        <is>
          <t>991000928519702656</t>
        </is>
      </c>
      <c r="AZ1792" t="inlineStr">
        <is>
          <t>991000928519702656</t>
        </is>
      </c>
      <c r="BA1792" t="inlineStr">
        <is>
          <t>2272684480002656</t>
        </is>
      </c>
      <c r="BB1792" t="inlineStr">
        <is>
          <t>BOOK</t>
        </is>
      </c>
      <c r="BD1792" t="inlineStr">
        <is>
          <t>9780874892604</t>
        </is>
      </c>
      <c r="BE1792" t="inlineStr">
        <is>
          <t>30001000184483</t>
        </is>
      </c>
      <c r="BF1792" t="inlineStr">
        <is>
          <t>893637843</t>
        </is>
      </c>
    </row>
    <row r="1793">
      <c r="A1793" t="inlineStr">
        <is>
          <t>No</t>
        </is>
      </c>
      <c r="B1793" t="inlineStr">
        <is>
          <t>CUHSL</t>
        </is>
      </c>
      <c r="C1793" t="inlineStr">
        <is>
          <t>SHELVES</t>
        </is>
      </c>
      <c r="D1793" t="inlineStr">
        <is>
          <t>WY 162 F165p 1996</t>
        </is>
      </c>
      <c r="E1793" t="inlineStr">
        <is>
          <t>0                      WY 0162000F  165p        1996</t>
        </is>
      </c>
      <c r="F1793" t="inlineStr">
        <is>
          <t>Perioperative nursing : principles and practice / Susan S. Fairchild.</t>
        </is>
      </c>
      <c r="H1793" t="inlineStr">
        <is>
          <t>No</t>
        </is>
      </c>
      <c r="I1793" t="inlineStr">
        <is>
          <t>1</t>
        </is>
      </c>
      <c r="J1793" t="inlineStr">
        <is>
          <t>No</t>
        </is>
      </c>
      <c r="K1793" t="inlineStr">
        <is>
          <t>No</t>
        </is>
      </c>
      <c r="L1793" t="inlineStr">
        <is>
          <t>0</t>
        </is>
      </c>
      <c r="M1793" t="inlineStr">
        <is>
          <t>Fairchild, Susan S.</t>
        </is>
      </c>
      <c r="N1793" t="inlineStr">
        <is>
          <t>Boston : Little, Brown, c1996.</t>
        </is>
      </c>
      <c r="O1793" t="inlineStr">
        <is>
          <t>1996</t>
        </is>
      </c>
      <c r="P1793" t="inlineStr">
        <is>
          <t>2nd ed.</t>
        </is>
      </c>
      <c r="Q1793" t="inlineStr">
        <is>
          <t>eng</t>
        </is>
      </c>
      <c r="R1793" t="inlineStr">
        <is>
          <t>mau</t>
        </is>
      </c>
      <c r="T1793" t="inlineStr">
        <is>
          <t xml:space="preserve">WY </t>
        </is>
      </c>
      <c r="U1793" t="n">
        <v>5</v>
      </c>
      <c r="V1793" t="n">
        <v>5</v>
      </c>
      <c r="W1793" t="inlineStr">
        <is>
          <t>1999-11-15</t>
        </is>
      </c>
      <c r="X1793" t="inlineStr">
        <is>
          <t>1999-11-15</t>
        </is>
      </c>
      <c r="Y1793" t="inlineStr">
        <is>
          <t>1997-05-28</t>
        </is>
      </c>
      <c r="Z1793" t="inlineStr">
        <is>
          <t>1997-05-28</t>
        </is>
      </c>
      <c r="AA1793" t="n">
        <v>229</v>
      </c>
      <c r="AB1793" t="n">
        <v>171</v>
      </c>
      <c r="AC1793" t="n">
        <v>313</v>
      </c>
      <c r="AD1793" t="n">
        <v>1</v>
      </c>
      <c r="AE1793" t="n">
        <v>1</v>
      </c>
      <c r="AF1793" t="n">
        <v>5</v>
      </c>
      <c r="AG1793" t="n">
        <v>11</v>
      </c>
      <c r="AH1793" t="n">
        <v>1</v>
      </c>
      <c r="AI1793" t="n">
        <v>4</v>
      </c>
      <c r="AJ1793" t="n">
        <v>2</v>
      </c>
      <c r="AK1793" t="n">
        <v>3</v>
      </c>
      <c r="AL1793" t="n">
        <v>3</v>
      </c>
      <c r="AM1793" t="n">
        <v>9</v>
      </c>
      <c r="AN1793" t="n">
        <v>0</v>
      </c>
      <c r="AO1793" t="n">
        <v>0</v>
      </c>
      <c r="AP1793" t="n">
        <v>0</v>
      </c>
      <c r="AQ1793" t="n">
        <v>0</v>
      </c>
      <c r="AR1793" t="inlineStr">
        <is>
          <t>No</t>
        </is>
      </c>
      <c r="AS1793" t="inlineStr">
        <is>
          <t>No</t>
        </is>
      </c>
      <c r="AU1793">
        <f>HYPERLINK("https://creighton-primo.hosted.exlibrisgroup.com/primo-explore/search?tab=default_tab&amp;search_scope=EVERYTHING&amp;vid=01CRU&amp;lang=en_US&amp;offset=0&amp;query=any,contains,991001556679702656","Catalog Record")</f>
        <v/>
      </c>
      <c r="AV1793">
        <f>HYPERLINK("http://www.worldcat.org/oclc/33838235","WorldCat Record")</f>
        <v/>
      </c>
      <c r="AW1793" t="inlineStr">
        <is>
          <t>912344039:eng</t>
        </is>
      </c>
      <c r="AX1793" t="inlineStr">
        <is>
          <t>33838235</t>
        </is>
      </c>
      <c r="AY1793" t="inlineStr">
        <is>
          <t>991001556679702656</t>
        </is>
      </c>
      <c r="AZ1793" t="inlineStr">
        <is>
          <t>991001556679702656</t>
        </is>
      </c>
      <c r="BA1793" t="inlineStr">
        <is>
          <t>2259441910002656</t>
        </is>
      </c>
      <c r="BB1793" t="inlineStr">
        <is>
          <t>BOOK</t>
        </is>
      </c>
      <c r="BD1793" t="inlineStr">
        <is>
          <t>9780316259699</t>
        </is>
      </c>
      <c r="BE1793" t="inlineStr">
        <is>
          <t>30001003672583</t>
        </is>
      </c>
      <c r="BF1793" t="inlineStr">
        <is>
          <t>893274292</t>
        </is>
      </c>
    </row>
    <row r="1794">
      <c r="A1794" t="inlineStr">
        <is>
          <t>No</t>
        </is>
      </c>
      <c r="B1794" t="inlineStr">
        <is>
          <t>CUHSL</t>
        </is>
      </c>
      <c r="C1794" t="inlineStr">
        <is>
          <t>SHELVES</t>
        </is>
      </c>
      <c r="D1794" t="inlineStr">
        <is>
          <t>WY 162 F966s 1994</t>
        </is>
      </c>
      <c r="E1794" t="inlineStr">
        <is>
          <t>0                      WY 0162000F  966s        1994</t>
        </is>
      </c>
      <c r="F1794" t="inlineStr">
        <is>
          <t>Surgical technology : principles and practice / Joanna Ruth Fuller ; technical and professional consultant, Linda K. Groah.</t>
        </is>
      </c>
      <c r="H1794" t="inlineStr">
        <is>
          <t>No</t>
        </is>
      </c>
      <c r="I1794" t="inlineStr">
        <is>
          <t>1</t>
        </is>
      </c>
      <c r="J1794" t="inlineStr">
        <is>
          <t>No</t>
        </is>
      </c>
      <c r="K1794" t="inlineStr">
        <is>
          <t>Yes</t>
        </is>
      </c>
      <c r="L1794" t="inlineStr">
        <is>
          <t>0</t>
        </is>
      </c>
      <c r="M1794" t="inlineStr">
        <is>
          <t>Fuller, Joanna Ruth.</t>
        </is>
      </c>
      <c r="N1794" t="inlineStr">
        <is>
          <t>Philadelphia : W.B. Saunders, c1994.</t>
        </is>
      </c>
      <c r="O1794" t="inlineStr">
        <is>
          <t>1994</t>
        </is>
      </c>
      <c r="P1794" t="inlineStr">
        <is>
          <t>3rd ed.</t>
        </is>
      </c>
      <c r="Q1794" t="inlineStr">
        <is>
          <t>eng</t>
        </is>
      </c>
      <c r="R1794" t="inlineStr">
        <is>
          <t>pau</t>
        </is>
      </c>
      <c r="T1794" t="inlineStr">
        <is>
          <t xml:space="preserve">WY </t>
        </is>
      </c>
      <c r="U1794" t="n">
        <v>7</v>
      </c>
      <c r="V1794" t="n">
        <v>7</v>
      </c>
      <c r="W1794" t="inlineStr">
        <is>
          <t>1999-11-15</t>
        </is>
      </c>
      <c r="X1794" t="inlineStr">
        <is>
          <t>1999-11-15</t>
        </is>
      </c>
      <c r="Y1794" t="inlineStr">
        <is>
          <t>1997-02-07</t>
        </is>
      </c>
      <c r="Z1794" t="inlineStr">
        <is>
          <t>1997-02-07</t>
        </is>
      </c>
      <c r="AA1794" t="n">
        <v>229</v>
      </c>
      <c r="AB1794" t="n">
        <v>198</v>
      </c>
      <c r="AC1794" t="n">
        <v>539</v>
      </c>
      <c r="AD1794" t="n">
        <v>2</v>
      </c>
      <c r="AE1794" t="n">
        <v>4</v>
      </c>
      <c r="AF1794" t="n">
        <v>5</v>
      </c>
      <c r="AG1794" t="n">
        <v>10</v>
      </c>
      <c r="AH1794" t="n">
        <v>2</v>
      </c>
      <c r="AI1794" t="n">
        <v>3</v>
      </c>
      <c r="AJ1794" t="n">
        <v>1</v>
      </c>
      <c r="AK1794" t="n">
        <v>3</v>
      </c>
      <c r="AL1794" t="n">
        <v>5</v>
      </c>
      <c r="AM1794" t="n">
        <v>5</v>
      </c>
      <c r="AN1794" t="n">
        <v>0</v>
      </c>
      <c r="AO1794" t="n">
        <v>2</v>
      </c>
      <c r="AP1794" t="n">
        <v>0</v>
      </c>
      <c r="AQ1794" t="n">
        <v>0</v>
      </c>
      <c r="AR1794" t="inlineStr">
        <is>
          <t>No</t>
        </is>
      </c>
      <c r="AS1794" t="inlineStr">
        <is>
          <t>Yes</t>
        </is>
      </c>
      <c r="AT1794">
        <f>HYPERLINK("http://catalog.hathitrust.org/Record/002710517","HathiTrust Record")</f>
        <v/>
      </c>
      <c r="AU1794">
        <f>HYPERLINK("https://creighton-primo.hosted.exlibrisgroup.com/primo-explore/search?tab=default_tab&amp;search_scope=EVERYTHING&amp;vid=01CRU&amp;lang=en_US&amp;offset=0&amp;query=any,contains,991001770409702656","Catalog Record")</f>
        <v/>
      </c>
      <c r="AV1794">
        <f>HYPERLINK("http://www.worldcat.org/oclc/27034789","WorldCat Record")</f>
        <v/>
      </c>
      <c r="AW1794" t="inlineStr">
        <is>
          <t>27884300:eng</t>
        </is>
      </c>
      <c r="AX1794" t="inlineStr">
        <is>
          <t>27034789</t>
        </is>
      </c>
      <c r="AY1794" t="inlineStr">
        <is>
          <t>991001770409702656</t>
        </is>
      </c>
      <c r="AZ1794" t="inlineStr">
        <is>
          <t>991001770409702656</t>
        </is>
      </c>
      <c r="BA1794" t="inlineStr">
        <is>
          <t>2269987750002656</t>
        </is>
      </c>
      <c r="BB1794" t="inlineStr">
        <is>
          <t>BOOK</t>
        </is>
      </c>
      <c r="BD1794" t="inlineStr">
        <is>
          <t>9780721640648</t>
        </is>
      </c>
      <c r="BE1794" t="inlineStr">
        <is>
          <t>30001003474758</t>
        </is>
      </c>
      <c r="BF1794" t="inlineStr">
        <is>
          <t>893122228</t>
        </is>
      </c>
    </row>
    <row r="1795">
      <c r="A1795" t="inlineStr">
        <is>
          <t>No</t>
        </is>
      </c>
      <c r="B1795" t="inlineStr">
        <is>
          <t>CUHSL</t>
        </is>
      </c>
      <c r="C1795" t="inlineStr">
        <is>
          <t>SHELVES</t>
        </is>
      </c>
      <c r="D1795" t="inlineStr">
        <is>
          <t>WY 162 G873o 1983</t>
        </is>
      </c>
      <c r="E1795" t="inlineStr">
        <is>
          <t>0                      WY 0162000G  873o        1983</t>
        </is>
      </c>
      <c r="F1795" t="inlineStr">
        <is>
          <t>Operating room nursing : the perioperative role / Linda K. Groah.</t>
        </is>
      </c>
      <c r="H1795" t="inlineStr">
        <is>
          <t>No</t>
        </is>
      </c>
      <c r="I1795" t="inlineStr">
        <is>
          <t>1</t>
        </is>
      </c>
      <c r="J1795" t="inlineStr">
        <is>
          <t>No</t>
        </is>
      </c>
      <c r="K1795" t="inlineStr">
        <is>
          <t>No</t>
        </is>
      </c>
      <c r="L1795" t="inlineStr">
        <is>
          <t>0</t>
        </is>
      </c>
      <c r="M1795" t="inlineStr">
        <is>
          <t>Groah, Linda K.</t>
        </is>
      </c>
      <c r="N1795" t="inlineStr">
        <is>
          <t>Reston, Va. : Reston Pub. Co., c1983.</t>
        </is>
      </c>
      <c r="O1795" t="inlineStr">
        <is>
          <t>1983</t>
        </is>
      </c>
      <c r="Q1795" t="inlineStr">
        <is>
          <t>eng</t>
        </is>
      </c>
      <c r="R1795" t="inlineStr">
        <is>
          <t>xxu</t>
        </is>
      </c>
      <c r="T1795" t="inlineStr">
        <is>
          <t xml:space="preserve">WY </t>
        </is>
      </c>
      <c r="U1795" t="n">
        <v>5</v>
      </c>
      <c r="V1795" t="n">
        <v>5</v>
      </c>
      <c r="W1795" t="inlineStr">
        <is>
          <t>1992-06-30</t>
        </is>
      </c>
      <c r="X1795" t="inlineStr">
        <is>
          <t>1992-06-30</t>
        </is>
      </c>
      <c r="Y1795" t="inlineStr">
        <is>
          <t>1987-12-29</t>
        </is>
      </c>
      <c r="Z1795" t="inlineStr">
        <is>
          <t>1987-12-29</t>
        </is>
      </c>
      <c r="AA1795" t="n">
        <v>214</v>
      </c>
      <c r="AB1795" t="n">
        <v>177</v>
      </c>
      <c r="AC1795" t="n">
        <v>179</v>
      </c>
      <c r="AD1795" t="n">
        <v>2</v>
      </c>
      <c r="AE1795" t="n">
        <v>2</v>
      </c>
      <c r="AF1795" t="n">
        <v>4</v>
      </c>
      <c r="AG1795" t="n">
        <v>4</v>
      </c>
      <c r="AH1795" t="n">
        <v>0</v>
      </c>
      <c r="AI1795" t="n">
        <v>0</v>
      </c>
      <c r="AJ1795" t="n">
        <v>2</v>
      </c>
      <c r="AK1795" t="n">
        <v>2</v>
      </c>
      <c r="AL1795" t="n">
        <v>3</v>
      </c>
      <c r="AM1795" t="n">
        <v>3</v>
      </c>
      <c r="AN1795" t="n">
        <v>0</v>
      </c>
      <c r="AO1795" t="n">
        <v>0</v>
      </c>
      <c r="AP1795" t="n">
        <v>0</v>
      </c>
      <c r="AQ1795" t="n">
        <v>0</v>
      </c>
      <c r="AR1795" t="inlineStr">
        <is>
          <t>No</t>
        </is>
      </c>
      <c r="AS1795" t="inlineStr">
        <is>
          <t>Yes</t>
        </is>
      </c>
      <c r="AT1795">
        <f>HYPERLINK("http://catalog.hathitrust.org/Record/000241759","HathiTrust Record")</f>
        <v/>
      </c>
      <c r="AU1795">
        <f>HYPERLINK("https://creighton-primo.hosted.exlibrisgroup.com/primo-explore/search?tab=default_tab&amp;search_scope=EVERYTHING&amp;vid=01CRU&amp;lang=en_US&amp;offset=0&amp;query=any,contains,991000928599702656","Catalog Record")</f>
        <v/>
      </c>
      <c r="AV1795">
        <f>HYPERLINK("http://www.worldcat.org/oclc/9111235","WorldCat Record")</f>
        <v/>
      </c>
      <c r="AW1795" t="inlineStr">
        <is>
          <t>3857456694:eng</t>
        </is>
      </c>
      <c r="AX1795" t="inlineStr">
        <is>
          <t>9111235</t>
        </is>
      </c>
      <c r="AY1795" t="inlineStr">
        <is>
          <t>991000928599702656</t>
        </is>
      </c>
      <c r="AZ1795" t="inlineStr">
        <is>
          <t>991000928599702656</t>
        </is>
      </c>
      <c r="BA1795" t="inlineStr">
        <is>
          <t>2269815310002656</t>
        </is>
      </c>
      <c r="BB1795" t="inlineStr">
        <is>
          <t>BOOK</t>
        </is>
      </c>
      <c r="BD1795" t="inlineStr">
        <is>
          <t>9780835952484</t>
        </is>
      </c>
      <c r="BE1795" t="inlineStr">
        <is>
          <t>30001000184517</t>
        </is>
      </c>
      <c r="BF1795" t="inlineStr">
        <is>
          <t>893368905</t>
        </is>
      </c>
    </row>
    <row r="1796">
      <c r="A1796" t="inlineStr">
        <is>
          <t>No</t>
        </is>
      </c>
      <c r="B1796" t="inlineStr">
        <is>
          <t>CUHSL</t>
        </is>
      </c>
      <c r="C1796" t="inlineStr">
        <is>
          <t>SHELVES</t>
        </is>
      </c>
      <c r="D1796" t="inlineStr">
        <is>
          <t>WY 163 H589n 1958</t>
        </is>
      </c>
      <c r="E1796" t="inlineStr">
        <is>
          <t>0                      WY 0163000H  589n        1958</t>
        </is>
      </c>
      <c r="F1796" t="inlineStr">
        <is>
          <t>Tuberculosis : prevention and control / by H.W. Hetherington and Fannie W. Eshleman.</t>
        </is>
      </c>
      <c r="H1796" t="inlineStr">
        <is>
          <t>No</t>
        </is>
      </c>
      <c r="I1796" t="inlineStr">
        <is>
          <t>1</t>
        </is>
      </c>
      <c r="J1796" t="inlineStr">
        <is>
          <t>No</t>
        </is>
      </c>
      <c r="K1796" t="inlineStr">
        <is>
          <t>No</t>
        </is>
      </c>
      <c r="L1796" t="inlineStr">
        <is>
          <t>0</t>
        </is>
      </c>
      <c r="M1796" t="inlineStr">
        <is>
          <t>Hetherington, Hubert Willows, 1901-</t>
        </is>
      </c>
      <c r="N1796" t="inlineStr">
        <is>
          <t>New York, NY : Putnam 1958.</t>
        </is>
      </c>
      <c r="O1796" t="inlineStr">
        <is>
          <t>1958</t>
        </is>
      </c>
      <c r="P1796" t="inlineStr">
        <is>
          <t>4th ed. rev., reset, and retitled.</t>
        </is>
      </c>
      <c r="Q1796" t="inlineStr">
        <is>
          <t>eng</t>
        </is>
      </c>
      <c r="R1796" t="inlineStr">
        <is>
          <t>nyu</t>
        </is>
      </c>
      <c r="T1796" t="inlineStr">
        <is>
          <t xml:space="preserve">WY </t>
        </is>
      </c>
      <c r="U1796" t="n">
        <v>1</v>
      </c>
      <c r="V1796" t="n">
        <v>1</v>
      </c>
      <c r="W1796" t="inlineStr">
        <is>
          <t>1998-02-22</t>
        </is>
      </c>
      <c r="X1796" t="inlineStr">
        <is>
          <t>1998-02-22</t>
        </is>
      </c>
      <c r="Y1796" t="inlineStr">
        <is>
          <t>1988-02-11</t>
        </is>
      </c>
      <c r="Z1796" t="inlineStr">
        <is>
          <t>1988-02-11</t>
        </is>
      </c>
      <c r="AA1796" t="n">
        <v>94</v>
      </c>
      <c r="AB1796" t="n">
        <v>87</v>
      </c>
      <c r="AC1796" t="n">
        <v>101</v>
      </c>
      <c r="AD1796" t="n">
        <v>1</v>
      </c>
      <c r="AE1796" t="n">
        <v>2</v>
      </c>
      <c r="AF1796" t="n">
        <v>3</v>
      </c>
      <c r="AG1796" t="n">
        <v>4</v>
      </c>
      <c r="AH1796" t="n">
        <v>1</v>
      </c>
      <c r="AI1796" t="n">
        <v>1</v>
      </c>
      <c r="AJ1796" t="n">
        <v>1</v>
      </c>
      <c r="AK1796" t="n">
        <v>1</v>
      </c>
      <c r="AL1796" t="n">
        <v>1</v>
      </c>
      <c r="AM1796" t="n">
        <v>2</v>
      </c>
      <c r="AN1796" t="n">
        <v>0</v>
      </c>
      <c r="AO1796" t="n">
        <v>0</v>
      </c>
      <c r="AP1796" t="n">
        <v>0</v>
      </c>
      <c r="AQ1796" t="n">
        <v>0</v>
      </c>
      <c r="AR1796" t="inlineStr">
        <is>
          <t>Yes</t>
        </is>
      </c>
      <c r="AS1796" t="inlineStr">
        <is>
          <t>No</t>
        </is>
      </c>
      <c r="AT1796">
        <f>HYPERLINK("http://catalog.hathitrust.org/Record/001562858","HathiTrust Record")</f>
        <v/>
      </c>
      <c r="AU1796">
        <f>HYPERLINK("https://creighton-primo.hosted.exlibrisgroup.com/primo-explore/search?tab=default_tab&amp;search_scope=EVERYTHING&amp;vid=01CRU&amp;lang=en_US&amp;offset=0&amp;query=any,contains,991000928719702656","Catalog Record")</f>
        <v/>
      </c>
      <c r="AV1796">
        <f>HYPERLINK("http://www.worldcat.org/oclc/1592089","WorldCat Record")</f>
        <v/>
      </c>
      <c r="AW1796" t="inlineStr">
        <is>
          <t>3768408198:eng</t>
        </is>
      </c>
      <c r="AX1796" t="inlineStr">
        <is>
          <t>1592089</t>
        </is>
      </c>
      <c r="AY1796" t="inlineStr">
        <is>
          <t>991000928719702656</t>
        </is>
      </c>
      <c r="AZ1796" t="inlineStr">
        <is>
          <t>991000928719702656</t>
        </is>
      </c>
      <c r="BA1796" t="inlineStr">
        <is>
          <t>2267513660002656</t>
        </is>
      </c>
      <c r="BB1796" t="inlineStr">
        <is>
          <t>BOOK</t>
        </is>
      </c>
      <c r="BE1796" t="inlineStr">
        <is>
          <t>30001000184566</t>
        </is>
      </c>
      <c r="BF1796" t="inlineStr">
        <is>
          <t>893826235</t>
        </is>
      </c>
    </row>
    <row r="1797">
      <c r="A1797" t="inlineStr">
        <is>
          <t>No</t>
        </is>
      </c>
      <c r="B1797" t="inlineStr">
        <is>
          <t>CUHSL</t>
        </is>
      </c>
      <c r="C1797" t="inlineStr">
        <is>
          <t>SHELVES</t>
        </is>
      </c>
      <c r="D1797" t="inlineStr">
        <is>
          <t>WY 163 K29r 1984</t>
        </is>
      </c>
      <c r="E1797" t="inlineStr">
        <is>
          <t>0                      WY 0163000K  29r         1984</t>
        </is>
      </c>
      <c r="F1797" t="inlineStr">
        <is>
          <t>Respiratory nursing care / Colleen Keller, Jacqueline Solomon, A. Virginia Reyes.</t>
        </is>
      </c>
      <c r="H1797" t="inlineStr">
        <is>
          <t>No</t>
        </is>
      </c>
      <c r="I1797" t="inlineStr">
        <is>
          <t>1</t>
        </is>
      </c>
      <c r="J1797" t="inlineStr">
        <is>
          <t>No</t>
        </is>
      </c>
      <c r="K1797" t="inlineStr">
        <is>
          <t>No</t>
        </is>
      </c>
      <c r="L1797" t="inlineStr">
        <is>
          <t>0</t>
        </is>
      </c>
      <c r="M1797" t="inlineStr">
        <is>
          <t>Keller, Colleen, 1949-</t>
        </is>
      </c>
      <c r="N1797" t="inlineStr">
        <is>
          <t>Englewood Cliffs, N.J. : Prentice-Hall, c1984.</t>
        </is>
      </c>
      <c r="O1797" t="inlineStr">
        <is>
          <t>1984</t>
        </is>
      </c>
      <c r="Q1797" t="inlineStr">
        <is>
          <t>eng</t>
        </is>
      </c>
      <c r="R1797" t="inlineStr">
        <is>
          <t>nju</t>
        </is>
      </c>
      <c r="T1797" t="inlineStr">
        <is>
          <t xml:space="preserve">WY </t>
        </is>
      </c>
      <c r="U1797" t="n">
        <v>3</v>
      </c>
      <c r="V1797" t="n">
        <v>3</v>
      </c>
      <c r="W1797" t="inlineStr">
        <is>
          <t>1990-10-17</t>
        </is>
      </c>
      <c r="X1797" t="inlineStr">
        <is>
          <t>1990-10-17</t>
        </is>
      </c>
      <c r="Y1797" t="inlineStr">
        <is>
          <t>1987-12-29</t>
        </is>
      </c>
      <c r="Z1797" t="inlineStr">
        <is>
          <t>1987-12-29</t>
        </is>
      </c>
      <c r="AA1797" t="n">
        <v>137</v>
      </c>
      <c r="AB1797" t="n">
        <v>111</v>
      </c>
      <c r="AC1797" t="n">
        <v>113</v>
      </c>
      <c r="AD1797" t="n">
        <v>1</v>
      </c>
      <c r="AE1797" t="n">
        <v>1</v>
      </c>
      <c r="AF1797" t="n">
        <v>2</v>
      </c>
      <c r="AG1797" t="n">
        <v>2</v>
      </c>
      <c r="AH1797" t="n">
        <v>1</v>
      </c>
      <c r="AI1797" t="n">
        <v>1</v>
      </c>
      <c r="AJ1797" t="n">
        <v>1</v>
      </c>
      <c r="AK1797" t="n">
        <v>1</v>
      </c>
      <c r="AL1797" t="n">
        <v>2</v>
      </c>
      <c r="AM1797" t="n">
        <v>2</v>
      </c>
      <c r="AN1797" t="n">
        <v>0</v>
      </c>
      <c r="AO1797" t="n">
        <v>0</v>
      </c>
      <c r="AP1797" t="n">
        <v>0</v>
      </c>
      <c r="AQ1797" t="n">
        <v>0</v>
      </c>
      <c r="AR1797" t="inlineStr">
        <is>
          <t>No</t>
        </is>
      </c>
      <c r="AS1797" t="inlineStr">
        <is>
          <t>Yes</t>
        </is>
      </c>
      <c r="AT1797">
        <f>HYPERLINK("http://catalog.hathitrust.org/Record/000333697","HathiTrust Record")</f>
        <v/>
      </c>
      <c r="AU1797">
        <f>HYPERLINK("https://creighton-primo.hosted.exlibrisgroup.com/primo-explore/search?tab=default_tab&amp;search_scope=EVERYTHING&amp;vid=01CRU&amp;lang=en_US&amp;offset=0&amp;query=any,contains,991000928769702656","Catalog Record")</f>
        <v/>
      </c>
      <c r="AV1797">
        <f>HYPERLINK("http://www.worldcat.org/oclc/9852781","WorldCat Record")</f>
        <v/>
      </c>
      <c r="AW1797" t="inlineStr">
        <is>
          <t>43766093:eng</t>
        </is>
      </c>
      <c r="AX1797" t="inlineStr">
        <is>
          <t>9852781</t>
        </is>
      </c>
      <c r="AY1797" t="inlineStr">
        <is>
          <t>991000928769702656</t>
        </is>
      </c>
      <c r="AZ1797" t="inlineStr">
        <is>
          <t>991000928769702656</t>
        </is>
      </c>
      <c r="BA1797" t="inlineStr">
        <is>
          <t>2264109050002656</t>
        </is>
      </c>
      <c r="BB1797" t="inlineStr">
        <is>
          <t>BOOK</t>
        </is>
      </c>
      <c r="BD1797" t="inlineStr">
        <is>
          <t>9780137746613</t>
        </is>
      </c>
      <c r="BE1797" t="inlineStr">
        <is>
          <t>30001000184574</t>
        </is>
      </c>
      <c r="BF1797" t="inlineStr">
        <is>
          <t>893540833</t>
        </is>
      </c>
    </row>
    <row r="1798">
      <c r="A1798" t="inlineStr">
        <is>
          <t>No</t>
        </is>
      </c>
      <c r="B1798" t="inlineStr">
        <is>
          <t>CUHSL</t>
        </is>
      </c>
      <c r="C1798" t="inlineStr">
        <is>
          <t>SHELVES</t>
        </is>
      </c>
      <c r="D1798" t="inlineStr">
        <is>
          <t>WY 163 K41c 1989</t>
        </is>
      </c>
      <c r="E1798" t="inlineStr">
        <is>
          <t>0                      WY 0163000K  41c         1989</t>
        </is>
      </c>
      <c r="F1798" t="inlineStr">
        <is>
          <t>Comprehensive respiratory nursing : a decision making approach / Laurel D. Kersten.</t>
        </is>
      </c>
      <c r="H1798" t="inlineStr">
        <is>
          <t>No</t>
        </is>
      </c>
      <c r="I1798" t="inlineStr">
        <is>
          <t>1</t>
        </is>
      </c>
      <c r="J1798" t="inlineStr">
        <is>
          <t>No</t>
        </is>
      </c>
      <c r="K1798" t="inlineStr">
        <is>
          <t>No</t>
        </is>
      </c>
      <c r="L1798" t="inlineStr">
        <is>
          <t>0</t>
        </is>
      </c>
      <c r="M1798" t="inlineStr">
        <is>
          <t>Kersten, Laurel D.</t>
        </is>
      </c>
      <c r="N1798" t="inlineStr">
        <is>
          <t>Philadelphia : Saunders, c1989.</t>
        </is>
      </c>
      <c r="O1798" t="inlineStr">
        <is>
          <t>1989</t>
        </is>
      </c>
      <c r="Q1798" t="inlineStr">
        <is>
          <t>eng</t>
        </is>
      </c>
      <c r="R1798" t="inlineStr">
        <is>
          <t>xxu</t>
        </is>
      </c>
      <c r="T1798" t="inlineStr">
        <is>
          <t xml:space="preserve">WY </t>
        </is>
      </c>
      <c r="U1798" t="n">
        <v>9</v>
      </c>
      <c r="V1798" t="n">
        <v>9</v>
      </c>
      <c r="W1798" t="inlineStr">
        <is>
          <t>2001-03-28</t>
        </is>
      </c>
      <c r="X1798" t="inlineStr">
        <is>
          <t>2001-03-28</t>
        </is>
      </c>
      <c r="Y1798" t="inlineStr">
        <is>
          <t>1989-07-22</t>
        </is>
      </c>
      <c r="Z1798" t="inlineStr">
        <is>
          <t>1989-07-22</t>
        </is>
      </c>
      <c r="AA1798" t="n">
        <v>372</v>
      </c>
      <c r="AB1798" t="n">
        <v>310</v>
      </c>
      <c r="AC1798" t="n">
        <v>318</v>
      </c>
      <c r="AD1798" t="n">
        <v>3</v>
      </c>
      <c r="AE1798" t="n">
        <v>3</v>
      </c>
      <c r="AF1798" t="n">
        <v>10</v>
      </c>
      <c r="AG1798" t="n">
        <v>10</v>
      </c>
      <c r="AH1798" t="n">
        <v>4</v>
      </c>
      <c r="AI1798" t="n">
        <v>4</v>
      </c>
      <c r="AJ1798" t="n">
        <v>2</v>
      </c>
      <c r="AK1798" t="n">
        <v>2</v>
      </c>
      <c r="AL1798" t="n">
        <v>7</v>
      </c>
      <c r="AM1798" t="n">
        <v>7</v>
      </c>
      <c r="AN1798" t="n">
        <v>1</v>
      </c>
      <c r="AO1798" t="n">
        <v>1</v>
      </c>
      <c r="AP1798" t="n">
        <v>0</v>
      </c>
      <c r="AQ1798" t="n">
        <v>0</v>
      </c>
      <c r="AR1798" t="inlineStr">
        <is>
          <t>No</t>
        </is>
      </c>
      <c r="AS1798" t="inlineStr">
        <is>
          <t>Yes</t>
        </is>
      </c>
      <c r="AT1798">
        <f>HYPERLINK("http://catalog.hathitrust.org/Record/001082542","HathiTrust Record")</f>
        <v/>
      </c>
      <c r="AU1798">
        <f>HYPERLINK("https://creighton-primo.hosted.exlibrisgroup.com/primo-explore/search?tab=default_tab&amp;search_scope=EVERYTHING&amp;vid=01CRU&amp;lang=en_US&amp;offset=0&amp;query=any,contains,991001312539702656","Catalog Record")</f>
        <v/>
      </c>
      <c r="AV1798">
        <f>HYPERLINK("http://www.worldcat.org/oclc/16831113","WorldCat Record")</f>
        <v/>
      </c>
      <c r="AW1798" t="inlineStr">
        <is>
          <t>325934430:eng</t>
        </is>
      </c>
      <c r="AX1798" t="inlineStr">
        <is>
          <t>16831113</t>
        </is>
      </c>
      <c r="AY1798" t="inlineStr">
        <is>
          <t>991001312539702656</t>
        </is>
      </c>
      <c r="AZ1798" t="inlineStr">
        <is>
          <t>991001312539702656</t>
        </is>
      </c>
      <c r="BA1798" t="inlineStr">
        <is>
          <t>2263521080002656</t>
        </is>
      </c>
      <c r="BB1798" t="inlineStr">
        <is>
          <t>BOOK</t>
        </is>
      </c>
      <c r="BD1798" t="inlineStr">
        <is>
          <t>9780721653952</t>
        </is>
      </c>
      <c r="BE1798" t="inlineStr">
        <is>
          <t>30001001751330</t>
        </is>
      </c>
      <c r="BF1798" t="inlineStr">
        <is>
          <t>893467908</t>
        </is>
      </c>
    </row>
    <row r="1799">
      <c r="A1799" t="inlineStr">
        <is>
          <t>No</t>
        </is>
      </c>
      <c r="B1799" t="inlineStr">
        <is>
          <t>CUHSL</t>
        </is>
      </c>
      <c r="C1799" t="inlineStr">
        <is>
          <t>SHELVES</t>
        </is>
      </c>
      <c r="D1799" t="inlineStr">
        <is>
          <t>WY 163 N974 1990</t>
        </is>
      </c>
      <c r="E1799" t="inlineStr">
        <is>
          <t>0                      WY 0163000N  974         1990</t>
        </is>
      </c>
      <c r="F1799" t="inlineStr">
        <is>
          <t>Nursing care of the respiratory patient / edited by Dorothy L. Sexton.</t>
        </is>
      </c>
      <c r="H1799" t="inlineStr">
        <is>
          <t>No</t>
        </is>
      </c>
      <c r="I1799" t="inlineStr">
        <is>
          <t>1</t>
        </is>
      </c>
      <c r="J1799" t="inlineStr">
        <is>
          <t>No</t>
        </is>
      </c>
      <c r="K1799" t="inlineStr">
        <is>
          <t>No</t>
        </is>
      </c>
      <c r="L1799" t="inlineStr">
        <is>
          <t>0</t>
        </is>
      </c>
      <c r="N1799" t="inlineStr">
        <is>
          <t>Norwalk, Conn. : Appleton &amp; Lange, c1990.</t>
        </is>
      </c>
      <c r="O1799" t="inlineStr">
        <is>
          <t>1990</t>
        </is>
      </c>
      <c r="Q1799" t="inlineStr">
        <is>
          <t>eng</t>
        </is>
      </c>
      <c r="R1799" t="inlineStr">
        <is>
          <t>ctu</t>
        </is>
      </c>
      <c r="T1799" t="inlineStr">
        <is>
          <t xml:space="preserve">WY </t>
        </is>
      </c>
      <c r="U1799" t="n">
        <v>5</v>
      </c>
      <c r="V1799" t="n">
        <v>5</v>
      </c>
      <c r="W1799" t="inlineStr">
        <is>
          <t>2001-03-28</t>
        </is>
      </c>
      <c r="X1799" t="inlineStr">
        <is>
          <t>2001-03-28</t>
        </is>
      </c>
      <c r="Y1799" t="inlineStr">
        <is>
          <t>1989-11-16</t>
        </is>
      </c>
      <c r="Z1799" t="inlineStr">
        <is>
          <t>1989-11-16</t>
        </is>
      </c>
      <c r="AA1799" t="n">
        <v>285</v>
      </c>
      <c r="AB1799" t="n">
        <v>233</v>
      </c>
      <c r="AC1799" t="n">
        <v>236</v>
      </c>
      <c r="AD1799" t="n">
        <v>1</v>
      </c>
      <c r="AE1799" t="n">
        <v>1</v>
      </c>
      <c r="AF1799" t="n">
        <v>9</v>
      </c>
      <c r="AG1799" t="n">
        <v>9</v>
      </c>
      <c r="AH1799" t="n">
        <v>4</v>
      </c>
      <c r="AI1799" t="n">
        <v>4</v>
      </c>
      <c r="AJ1799" t="n">
        <v>1</v>
      </c>
      <c r="AK1799" t="n">
        <v>1</v>
      </c>
      <c r="AL1799" t="n">
        <v>7</v>
      </c>
      <c r="AM1799" t="n">
        <v>7</v>
      </c>
      <c r="AN1799" t="n">
        <v>0</v>
      </c>
      <c r="AO1799" t="n">
        <v>0</v>
      </c>
      <c r="AP1799" t="n">
        <v>0</v>
      </c>
      <c r="AQ1799" t="n">
        <v>0</v>
      </c>
      <c r="AR1799" t="inlineStr">
        <is>
          <t>No</t>
        </is>
      </c>
      <c r="AS1799" t="inlineStr">
        <is>
          <t>Yes</t>
        </is>
      </c>
      <c r="AT1799">
        <f>HYPERLINK("http://catalog.hathitrust.org/Record/001538697","HathiTrust Record")</f>
        <v/>
      </c>
      <c r="AU1799">
        <f>HYPERLINK("https://creighton-primo.hosted.exlibrisgroup.com/primo-explore/search?tab=default_tab&amp;search_scope=EVERYTHING&amp;vid=01CRU&amp;lang=en_US&amp;offset=0&amp;query=any,contains,991001365719702656","Catalog Record")</f>
        <v/>
      </c>
      <c r="AV1799">
        <f>HYPERLINK("http://www.worldcat.org/oclc/19270775","WorldCat Record")</f>
        <v/>
      </c>
      <c r="AW1799" t="inlineStr">
        <is>
          <t>21452922:eng</t>
        </is>
      </c>
      <c r="AX1799" t="inlineStr">
        <is>
          <t>19270775</t>
        </is>
      </c>
      <c r="AY1799" t="inlineStr">
        <is>
          <t>991001365719702656</t>
        </is>
      </c>
      <c r="AZ1799" t="inlineStr">
        <is>
          <t>991001365719702656</t>
        </is>
      </c>
      <c r="BA1799" t="inlineStr">
        <is>
          <t>2268891760002656</t>
        </is>
      </c>
      <c r="BB1799" t="inlineStr">
        <is>
          <t>BOOK</t>
        </is>
      </c>
      <c r="BD1799" t="inlineStr">
        <is>
          <t>9780838570012</t>
        </is>
      </c>
      <c r="BE1799" t="inlineStr">
        <is>
          <t>30001001797234</t>
        </is>
      </c>
      <c r="BF1799" t="inlineStr">
        <is>
          <t>893560992</t>
        </is>
      </c>
    </row>
    <row r="1800">
      <c r="A1800" t="inlineStr">
        <is>
          <t>No</t>
        </is>
      </c>
      <c r="B1800" t="inlineStr">
        <is>
          <t>CUHSL</t>
        </is>
      </c>
      <c r="C1800" t="inlineStr">
        <is>
          <t>SHELVES</t>
        </is>
      </c>
      <c r="D1800" t="inlineStr">
        <is>
          <t>WY 163 P969 1979</t>
        </is>
      </c>
      <c r="E1800" t="inlineStr">
        <is>
          <t>0                      WY 0163000P  969         1979</t>
        </is>
      </c>
      <c r="F1800" t="inlineStr">
        <is>
          <t>Providing respiratory care.</t>
        </is>
      </c>
      <c r="H1800" t="inlineStr">
        <is>
          <t>No</t>
        </is>
      </c>
      <c r="I1800" t="inlineStr">
        <is>
          <t>1</t>
        </is>
      </c>
      <c r="J1800" t="inlineStr">
        <is>
          <t>No</t>
        </is>
      </c>
      <c r="K1800" t="inlineStr">
        <is>
          <t>No</t>
        </is>
      </c>
      <c r="L1800" t="inlineStr">
        <is>
          <t>0</t>
        </is>
      </c>
      <c r="N1800" t="inlineStr">
        <is>
          <t>Horsham, Pa. : Intermed Communications, c1979.</t>
        </is>
      </c>
      <c r="O1800" t="inlineStr">
        <is>
          <t>1979</t>
        </is>
      </c>
      <c r="Q1800" t="inlineStr">
        <is>
          <t>eng</t>
        </is>
      </c>
      <c r="R1800" t="inlineStr">
        <is>
          <t>pau</t>
        </is>
      </c>
      <c r="S1800" t="inlineStr">
        <is>
          <t>Nursing80 photobooks</t>
        </is>
      </c>
      <c r="T1800" t="inlineStr">
        <is>
          <t xml:space="preserve">WY </t>
        </is>
      </c>
      <c r="U1800" t="n">
        <v>4</v>
      </c>
      <c r="V1800" t="n">
        <v>4</v>
      </c>
      <c r="W1800" t="inlineStr">
        <is>
          <t>1994-12-01</t>
        </is>
      </c>
      <c r="X1800" t="inlineStr">
        <is>
          <t>1994-12-01</t>
        </is>
      </c>
      <c r="Y1800" t="inlineStr">
        <is>
          <t>1987-12-29</t>
        </is>
      </c>
      <c r="Z1800" t="inlineStr">
        <is>
          <t>1987-12-29</t>
        </is>
      </c>
      <c r="AA1800" t="n">
        <v>274</v>
      </c>
      <c r="AB1800" t="n">
        <v>248</v>
      </c>
      <c r="AC1800" t="n">
        <v>250</v>
      </c>
      <c r="AD1800" t="n">
        <v>3</v>
      </c>
      <c r="AE1800" t="n">
        <v>3</v>
      </c>
      <c r="AF1800" t="n">
        <v>9</v>
      </c>
      <c r="AG1800" t="n">
        <v>9</v>
      </c>
      <c r="AH1800" t="n">
        <v>3</v>
      </c>
      <c r="AI1800" t="n">
        <v>3</v>
      </c>
      <c r="AJ1800" t="n">
        <v>0</v>
      </c>
      <c r="AK1800" t="n">
        <v>0</v>
      </c>
      <c r="AL1800" t="n">
        <v>5</v>
      </c>
      <c r="AM1800" t="n">
        <v>5</v>
      </c>
      <c r="AN1800" t="n">
        <v>1</v>
      </c>
      <c r="AO1800" t="n">
        <v>1</v>
      </c>
      <c r="AP1800" t="n">
        <v>0</v>
      </c>
      <c r="AQ1800" t="n">
        <v>0</v>
      </c>
      <c r="AR1800" t="inlineStr">
        <is>
          <t>No</t>
        </is>
      </c>
      <c r="AS1800" t="inlineStr">
        <is>
          <t>Yes</t>
        </is>
      </c>
      <c r="AT1800">
        <f>HYPERLINK("http://catalog.hathitrust.org/Record/000731476","HathiTrust Record")</f>
        <v/>
      </c>
      <c r="AU1800">
        <f>HYPERLINK("https://creighton-primo.hosted.exlibrisgroup.com/primo-explore/search?tab=default_tab&amp;search_scope=EVERYTHING&amp;vid=01CRU&amp;lang=en_US&amp;offset=0&amp;query=any,contains,991000928799702656","Catalog Record")</f>
        <v/>
      </c>
      <c r="AV1800">
        <f>HYPERLINK("http://www.worldcat.org/oclc/5447662","WorldCat Record")</f>
        <v/>
      </c>
      <c r="AW1800" t="inlineStr">
        <is>
          <t>54785796:eng</t>
        </is>
      </c>
      <c r="AX1800" t="inlineStr">
        <is>
          <t>5447662</t>
        </is>
      </c>
      <c r="AY1800" t="inlineStr">
        <is>
          <t>991000928799702656</t>
        </is>
      </c>
      <c r="AZ1800" t="inlineStr">
        <is>
          <t>991000928799702656</t>
        </is>
      </c>
      <c r="BA1800" t="inlineStr">
        <is>
          <t>2259206440002656</t>
        </is>
      </c>
      <c r="BB1800" t="inlineStr">
        <is>
          <t>BOOK</t>
        </is>
      </c>
      <c r="BD1800" t="inlineStr">
        <is>
          <t>9780916730178</t>
        </is>
      </c>
      <c r="BE1800" t="inlineStr">
        <is>
          <t>30001000184582</t>
        </is>
      </c>
      <c r="BF1800" t="inlineStr">
        <is>
          <t>893740590</t>
        </is>
      </c>
    </row>
    <row r="1801">
      <c r="A1801" t="inlineStr">
        <is>
          <t>No</t>
        </is>
      </c>
      <c r="B1801" t="inlineStr">
        <is>
          <t>CUHSL</t>
        </is>
      </c>
      <c r="C1801" t="inlineStr">
        <is>
          <t>SHELVES</t>
        </is>
      </c>
      <c r="D1801" t="inlineStr">
        <is>
          <t>WY 163 R4335 1984</t>
        </is>
      </c>
      <c r="E1801" t="inlineStr">
        <is>
          <t>0                      WY 0163000R  4335        1984</t>
        </is>
      </c>
      <c r="F1801" t="inlineStr">
        <is>
          <t>Respiratory disorders.</t>
        </is>
      </c>
      <c r="H1801" t="inlineStr">
        <is>
          <t>No</t>
        </is>
      </c>
      <c r="I1801" t="inlineStr">
        <is>
          <t>1</t>
        </is>
      </c>
      <c r="J1801" t="inlineStr">
        <is>
          <t>No</t>
        </is>
      </c>
      <c r="K1801" t="inlineStr">
        <is>
          <t>No</t>
        </is>
      </c>
      <c r="L1801" t="inlineStr">
        <is>
          <t>0</t>
        </is>
      </c>
      <c r="N1801" t="inlineStr">
        <is>
          <t>Springhouse, Pa. : Springhouse Corp., c1984.</t>
        </is>
      </c>
      <c r="O1801" t="inlineStr">
        <is>
          <t>1984</t>
        </is>
      </c>
      <c r="Q1801" t="inlineStr">
        <is>
          <t>eng</t>
        </is>
      </c>
      <c r="R1801" t="inlineStr">
        <is>
          <t>xxu</t>
        </is>
      </c>
      <c r="S1801" t="inlineStr">
        <is>
          <t>Nurse's clinical library</t>
        </is>
      </c>
      <c r="T1801" t="inlineStr">
        <is>
          <t xml:space="preserve">WY </t>
        </is>
      </c>
      <c r="U1801" t="n">
        <v>3</v>
      </c>
      <c r="V1801" t="n">
        <v>3</v>
      </c>
      <c r="W1801" t="inlineStr">
        <is>
          <t>1991-10-07</t>
        </is>
      </c>
      <c r="X1801" t="inlineStr">
        <is>
          <t>1991-10-07</t>
        </is>
      </c>
      <c r="Y1801" t="inlineStr">
        <is>
          <t>1990-10-23</t>
        </is>
      </c>
      <c r="Z1801" t="inlineStr">
        <is>
          <t>1990-10-23</t>
        </is>
      </c>
      <c r="AA1801" t="n">
        <v>339</v>
      </c>
      <c r="AB1801" t="n">
        <v>304</v>
      </c>
      <c r="AC1801" t="n">
        <v>306</v>
      </c>
      <c r="AD1801" t="n">
        <v>4</v>
      </c>
      <c r="AE1801" t="n">
        <v>4</v>
      </c>
      <c r="AF1801" t="n">
        <v>4</v>
      </c>
      <c r="AG1801" t="n">
        <v>4</v>
      </c>
      <c r="AH1801" t="n">
        <v>0</v>
      </c>
      <c r="AI1801" t="n">
        <v>0</v>
      </c>
      <c r="AJ1801" t="n">
        <v>2</v>
      </c>
      <c r="AK1801" t="n">
        <v>2</v>
      </c>
      <c r="AL1801" t="n">
        <v>3</v>
      </c>
      <c r="AM1801" t="n">
        <v>3</v>
      </c>
      <c r="AN1801" t="n">
        <v>0</v>
      </c>
      <c r="AO1801" t="n">
        <v>0</v>
      </c>
      <c r="AP1801" t="n">
        <v>0</v>
      </c>
      <c r="AQ1801" t="n">
        <v>0</v>
      </c>
      <c r="AR1801" t="inlineStr">
        <is>
          <t>No</t>
        </is>
      </c>
      <c r="AS1801" t="inlineStr">
        <is>
          <t>Yes</t>
        </is>
      </c>
      <c r="AT1801">
        <f>HYPERLINK("http://catalog.hathitrust.org/Record/000377625","HathiTrust Record")</f>
        <v/>
      </c>
      <c r="AU1801">
        <f>HYPERLINK("https://creighton-primo.hosted.exlibrisgroup.com/primo-explore/search?tab=default_tab&amp;search_scope=EVERYTHING&amp;vid=01CRU&amp;lang=en_US&amp;offset=0&amp;query=any,contains,991000771399702656","Catalog Record")</f>
        <v/>
      </c>
      <c r="AV1801">
        <f>HYPERLINK("http://www.worldcat.org/oclc/10230252","WorldCat Record")</f>
        <v/>
      </c>
      <c r="AW1801" t="inlineStr">
        <is>
          <t>54613983:eng</t>
        </is>
      </c>
      <c r="AX1801" t="inlineStr">
        <is>
          <t>10230252</t>
        </is>
      </c>
      <c r="AY1801" t="inlineStr">
        <is>
          <t>991000771399702656</t>
        </is>
      </c>
      <c r="AZ1801" t="inlineStr">
        <is>
          <t>991000771399702656</t>
        </is>
      </c>
      <c r="BA1801" t="inlineStr">
        <is>
          <t>2270611220002656</t>
        </is>
      </c>
      <c r="BB1801" t="inlineStr">
        <is>
          <t>BOOK</t>
        </is>
      </c>
      <c r="BD1801" t="inlineStr">
        <is>
          <t>9780916730581</t>
        </is>
      </c>
      <c r="BE1801" t="inlineStr">
        <is>
          <t>30001002062216</t>
        </is>
      </c>
      <c r="BF1801" t="inlineStr">
        <is>
          <t>893120362</t>
        </is>
      </c>
    </row>
    <row r="1802">
      <c r="A1802" t="inlineStr">
        <is>
          <t>No</t>
        </is>
      </c>
      <c r="B1802" t="inlineStr">
        <is>
          <t>CUHSL</t>
        </is>
      </c>
      <c r="C1802" t="inlineStr">
        <is>
          <t>SHELVES</t>
        </is>
      </c>
      <c r="D1802" t="inlineStr">
        <is>
          <t>WY 163 R4345 1982</t>
        </is>
      </c>
      <c r="E1802" t="inlineStr">
        <is>
          <t>0                      WY 0163000R  4345        1982</t>
        </is>
      </c>
      <c r="F1802" t="inlineStr">
        <is>
          <t>Respiratory nursing : the science and the art / edited by Gayle A. Traver.</t>
        </is>
      </c>
      <c r="H1802" t="inlineStr">
        <is>
          <t>No</t>
        </is>
      </c>
      <c r="I1802" t="inlineStr">
        <is>
          <t>1</t>
        </is>
      </c>
      <c r="J1802" t="inlineStr">
        <is>
          <t>No</t>
        </is>
      </c>
      <c r="K1802" t="inlineStr">
        <is>
          <t>No</t>
        </is>
      </c>
      <c r="L1802" t="inlineStr">
        <is>
          <t>0</t>
        </is>
      </c>
      <c r="N1802" t="inlineStr">
        <is>
          <t>New York : Wiley, c1982.</t>
        </is>
      </c>
      <c r="O1802" t="inlineStr">
        <is>
          <t>1982</t>
        </is>
      </c>
      <c r="Q1802" t="inlineStr">
        <is>
          <t>eng</t>
        </is>
      </c>
      <c r="R1802" t="inlineStr">
        <is>
          <t>xxu</t>
        </is>
      </c>
      <c r="T1802" t="inlineStr">
        <is>
          <t xml:space="preserve">WY </t>
        </is>
      </c>
      <c r="U1802" t="n">
        <v>5</v>
      </c>
      <c r="V1802" t="n">
        <v>5</v>
      </c>
      <c r="W1802" t="inlineStr">
        <is>
          <t>1991-02-05</t>
        </is>
      </c>
      <c r="X1802" t="inlineStr">
        <is>
          <t>1991-02-05</t>
        </is>
      </c>
      <c r="Y1802" t="inlineStr">
        <is>
          <t>1987-12-29</t>
        </is>
      </c>
      <c r="Z1802" t="inlineStr">
        <is>
          <t>1987-12-29</t>
        </is>
      </c>
      <c r="AA1802" t="n">
        <v>182</v>
      </c>
      <c r="AB1802" t="n">
        <v>149</v>
      </c>
      <c r="AC1802" t="n">
        <v>151</v>
      </c>
      <c r="AD1802" t="n">
        <v>2</v>
      </c>
      <c r="AE1802" t="n">
        <v>2</v>
      </c>
      <c r="AF1802" t="n">
        <v>5</v>
      </c>
      <c r="AG1802" t="n">
        <v>5</v>
      </c>
      <c r="AH1802" t="n">
        <v>1</v>
      </c>
      <c r="AI1802" t="n">
        <v>1</v>
      </c>
      <c r="AJ1802" t="n">
        <v>2</v>
      </c>
      <c r="AK1802" t="n">
        <v>2</v>
      </c>
      <c r="AL1802" t="n">
        <v>3</v>
      </c>
      <c r="AM1802" t="n">
        <v>3</v>
      </c>
      <c r="AN1802" t="n">
        <v>1</v>
      </c>
      <c r="AO1802" t="n">
        <v>1</v>
      </c>
      <c r="AP1802" t="n">
        <v>0</v>
      </c>
      <c r="AQ1802" t="n">
        <v>0</v>
      </c>
      <c r="AR1802" t="inlineStr">
        <is>
          <t>No</t>
        </is>
      </c>
      <c r="AS1802" t="inlineStr">
        <is>
          <t>Yes</t>
        </is>
      </c>
      <c r="AT1802">
        <f>HYPERLINK("http://catalog.hathitrust.org/Record/000313580","HathiTrust Record")</f>
        <v/>
      </c>
      <c r="AU1802">
        <f>HYPERLINK("https://creighton-primo.hosted.exlibrisgroup.com/primo-explore/search?tab=default_tab&amp;search_scope=EVERYTHING&amp;vid=01CRU&amp;lang=en_US&amp;offset=0&amp;query=any,contains,991000928829702656","Catalog Record")</f>
        <v/>
      </c>
      <c r="AV1802">
        <f>HYPERLINK("http://www.worldcat.org/oclc/7925442","WorldCat Record")</f>
        <v/>
      </c>
      <c r="AW1802" t="inlineStr">
        <is>
          <t>905474530:eng</t>
        </is>
      </c>
      <c r="AX1802" t="inlineStr">
        <is>
          <t>7925442</t>
        </is>
      </c>
      <c r="AY1802" t="inlineStr">
        <is>
          <t>991000928829702656</t>
        </is>
      </c>
      <c r="AZ1802" t="inlineStr">
        <is>
          <t>991000928829702656</t>
        </is>
      </c>
      <c r="BA1802" t="inlineStr">
        <is>
          <t>2255066460002656</t>
        </is>
      </c>
      <c r="BB1802" t="inlineStr">
        <is>
          <t>BOOK</t>
        </is>
      </c>
      <c r="BD1802" t="inlineStr">
        <is>
          <t>9780471045397</t>
        </is>
      </c>
      <c r="BE1802" t="inlineStr">
        <is>
          <t>30001000184590</t>
        </is>
      </c>
      <c r="BF1802" t="inlineStr">
        <is>
          <t>893465021</t>
        </is>
      </c>
    </row>
    <row r="1803">
      <c r="A1803" t="inlineStr">
        <is>
          <t>No</t>
        </is>
      </c>
      <c r="B1803" t="inlineStr">
        <is>
          <t>CUHSL</t>
        </is>
      </c>
      <c r="C1803" t="inlineStr">
        <is>
          <t>SHELVES</t>
        </is>
      </c>
      <c r="D1803" t="inlineStr">
        <is>
          <t>WY 163 S518c 1981</t>
        </is>
      </c>
      <c r="E1803" t="inlineStr">
        <is>
          <t>0                      WY 0163000S  518c        1981</t>
        </is>
      </c>
      <c r="F1803" t="inlineStr">
        <is>
          <t>Chronic obstructive pulmonary disease : care of the child and adult / Dorothy L. Sexton.</t>
        </is>
      </c>
      <c r="H1803" t="inlineStr">
        <is>
          <t>No</t>
        </is>
      </c>
      <c r="I1803" t="inlineStr">
        <is>
          <t>1</t>
        </is>
      </c>
      <c r="J1803" t="inlineStr">
        <is>
          <t>No</t>
        </is>
      </c>
      <c r="K1803" t="inlineStr">
        <is>
          <t>No</t>
        </is>
      </c>
      <c r="L1803" t="inlineStr">
        <is>
          <t>0</t>
        </is>
      </c>
      <c r="M1803" t="inlineStr">
        <is>
          <t>Sexton, Dorothy L.</t>
        </is>
      </c>
      <c r="N1803" t="inlineStr">
        <is>
          <t>St. Louis : Mosby, 1981.</t>
        </is>
      </c>
      <c r="O1803" t="inlineStr">
        <is>
          <t>1981</t>
        </is>
      </c>
      <c r="Q1803" t="inlineStr">
        <is>
          <t>eng</t>
        </is>
      </c>
      <c r="R1803" t="inlineStr">
        <is>
          <t>xxu</t>
        </is>
      </c>
      <c r="T1803" t="inlineStr">
        <is>
          <t xml:space="preserve">WY </t>
        </is>
      </c>
      <c r="U1803" t="n">
        <v>6</v>
      </c>
      <c r="V1803" t="n">
        <v>6</v>
      </c>
      <c r="W1803" t="inlineStr">
        <is>
          <t>1995-02-23</t>
        </is>
      </c>
      <c r="X1803" t="inlineStr">
        <is>
          <t>1995-02-23</t>
        </is>
      </c>
      <c r="Y1803" t="inlineStr">
        <is>
          <t>1987-12-29</t>
        </is>
      </c>
      <c r="Z1803" t="inlineStr">
        <is>
          <t>1987-12-29</t>
        </is>
      </c>
      <c r="AA1803" t="n">
        <v>246</v>
      </c>
      <c r="AB1803" t="n">
        <v>196</v>
      </c>
      <c r="AC1803" t="n">
        <v>203</v>
      </c>
      <c r="AD1803" t="n">
        <v>3</v>
      </c>
      <c r="AE1803" t="n">
        <v>3</v>
      </c>
      <c r="AF1803" t="n">
        <v>7</v>
      </c>
      <c r="AG1803" t="n">
        <v>7</v>
      </c>
      <c r="AH1803" t="n">
        <v>3</v>
      </c>
      <c r="AI1803" t="n">
        <v>3</v>
      </c>
      <c r="AJ1803" t="n">
        <v>2</v>
      </c>
      <c r="AK1803" t="n">
        <v>2</v>
      </c>
      <c r="AL1803" t="n">
        <v>3</v>
      </c>
      <c r="AM1803" t="n">
        <v>3</v>
      </c>
      <c r="AN1803" t="n">
        <v>1</v>
      </c>
      <c r="AO1803" t="n">
        <v>1</v>
      </c>
      <c r="AP1803" t="n">
        <v>0</v>
      </c>
      <c r="AQ1803" t="n">
        <v>0</v>
      </c>
      <c r="AR1803" t="inlineStr">
        <is>
          <t>No</t>
        </is>
      </c>
      <c r="AS1803" t="inlineStr">
        <is>
          <t>Yes</t>
        </is>
      </c>
      <c r="AT1803">
        <f>HYPERLINK("http://catalog.hathitrust.org/Record/000264286","HathiTrust Record")</f>
        <v/>
      </c>
      <c r="AU1803">
        <f>HYPERLINK("https://creighton-primo.hosted.exlibrisgroup.com/primo-explore/search?tab=default_tab&amp;search_scope=EVERYTHING&amp;vid=01CRU&amp;lang=en_US&amp;offset=0&amp;query=any,contains,991000928859702656","Catalog Record")</f>
        <v/>
      </c>
      <c r="AV1803">
        <f>HYPERLINK("http://www.worldcat.org/oclc/6789027","WorldCat Record")</f>
        <v/>
      </c>
      <c r="AW1803" t="inlineStr">
        <is>
          <t>375333364:eng</t>
        </is>
      </c>
      <c r="AX1803" t="inlineStr">
        <is>
          <t>6789027</t>
        </is>
      </c>
      <c r="AY1803" t="inlineStr">
        <is>
          <t>991000928859702656</t>
        </is>
      </c>
      <c r="AZ1803" t="inlineStr">
        <is>
          <t>991000928859702656</t>
        </is>
      </c>
      <c r="BA1803" t="inlineStr">
        <is>
          <t>2260958120002656</t>
        </is>
      </c>
      <c r="BB1803" t="inlineStr">
        <is>
          <t>BOOK</t>
        </is>
      </c>
      <c r="BD1803" t="inlineStr">
        <is>
          <t>9780801644900</t>
        </is>
      </c>
      <c r="BE1803" t="inlineStr">
        <is>
          <t>30001000184608</t>
        </is>
      </c>
      <c r="BF1803" t="inlineStr">
        <is>
          <t>893557419</t>
        </is>
      </c>
    </row>
    <row r="1804">
      <c r="A1804" t="inlineStr">
        <is>
          <t>No</t>
        </is>
      </c>
      <c r="B1804" t="inlineStr">
        <is>
          <t>CUHSL</t>
        </is>
      </c>
      <c r="C1804" t="inlineStr">
        <is>
          <t>SHELVES</t>
        </is>
      </c>
      <c r="D1804" t="inlineStr">
        <is>
          <t>WY 163 T779r 1991</t>
        </is>
      </c>
      <c r="E1804" t="inlineStr">
        <is>
          <t>0                      WY 0163000T  779r        1991</t>
        </is>
      </c>
      <c r="F1804" t="inlineStr">
        <is>
          <t>Respiratory care : a clinical approach / Gayle A. Traver, Joyce Tremper Mitchell, Gail Flodquist-Priestley.</t>
        </is>
      </c>
      <c r="H1804" t="inlineStr">
        <is>
          <t>No</t>
        </is>
      </c>
      <c r="I1804" t="inlineStr">
        <is>
          <t>1</t>
        </is>
      </c>
      <c r="J1804" t="inlineStr">
        <is>
          <t>No</t>
        </is>
      </c>
      <c r="K1804" t="inlineStr">
        <is>
          <t>No</t>
        </is>
      </c>
      <c r="L1804" t="inlineStr">
        <is>
          <t>0</t>
        </is>
      </c>
      <c r="M1804" t="inlineStr">
        <is>
          <t>Traver, Gayle A.</t>
        </is>
      </c>
      <c r="N1804" t="inlineStr">
        <is>
          <t>Gaithersburg, Md. : Aspen Publishers, c1991.</t>
        </is>
      </c>
      <c r="O1804" t="inlineStr">
        <is>
          <t>1991</t>
        </is>
      </c>
      <c r="Q1804" t="inlineStr">
        <is>
          <t>eng</t>
        </is>
      </c>
      <c r="R1804" t="inlineStr">
        <is>
          <t>mdu</t>
        </is>
      </c>
      <c r="T1804" t="inlineStr">
        <is>
          <t xml:space="preserve">WY </t>
        </is>
      </c>
      <c r="U1804" t="n">
        <v>6</v>
      </c>
      <c r="V1804" t="n">
        <v>6</v>
      </c>
      <c r="W1804" t="inlineStr">
        <is>
          <t>1994-12-01</t>
        </is>
      </c>
      <c r="X1804" t="inlineStr">
        <is>
          <t>1994-12-01</t>
        </is>
      </c>
      <c r="Y1804" t="inlineStr">
        <is>
          <t>1993-06-14</t>
        </is>
      </c>
      <c r="Z1804" t="inlineStr">
        <is>
          <t>1993-06-14</t>
        </is>
      </c>
      <c r="AA1804" t="n">
        <v>225</v>
      </c>
      <c r="AB1804" t="n">
        <v>190</v>
      </c>
      <c r="AC1804" t="n">
        <v>197</v>
      </c>
      <c r="AD1804" t="n">
        <v>2</v>
      </c>
      <c r="AE1804" t="n">
        <v>2</v>
      </c>
      <c r="AF1804" t="n">
        <v>10</v>
      </c>
      <c r="AG1804" t="n">
        <v>10</v>
      </c>
      <c r="AH1804" t="n">
        <v>2</v>
      </c>
      <c r="AI1804" t="n">
        <v>2</v>
      </c>
      <c r="AJ1804" t="n">
        <v>4</v>
      </c>
      <c r="AK1804" t="n">
        <v>4</v>
      </c>
      <c r="AL1804" t="n">
        <v>6</v>
      </c>
      <c r="AM1804" t="n">
        <v>6</v>
      </c>
      <c r="AN1804" t="n">
        <v>1</v>
      </c>
      <c r="AO1804" t="n">
        <v>1</v>
      </c>
      <c r="AP1804" t="n">
        <v>0</v>
      </c>
      <c r="AQ1804" t="n">
        <v>0</v>
      </c>
      <c r="AR1804" t="inlineStr">
        <is>
          <t>No</t>
        </is>
      </c>
      <c r="AS1804" t="inlineStr">
        <is>
          <t>Yes</t>
        </is>
      </c>
      <c r="AT1804">
        <f>HYPERLINK("http://catalog.hathitrust.org/Record/002466566","HathiTrust Record")</f>
        <v/>
      </c>
      <c r="AU1804">
        <f>HYPERLINK("https://creighton-primo.hosted.exlibrisgroup.com/primo-explore/search?tab=default_tab&amp;search_scope=EVERYTHING&amp;vid=01CRU&amp;lang=en_US&amp;offset=0&amp;query=any,contains,991001481679702656","Catalog Record")</f>
        <v/>
      </c>
      <c r="AV1804">
        <f>HYPERLINK("http://www.worldcat.org/oclc/22813763","WorldCat Record")</f>
        <v/>
      </c>
      <c r="AW1804" t="inlineStr">
        <is>
          <t>24212872:eng</t>
        </is>
      </c>
      <c r="AX1804" t="inlineStr">
        <is>
          <t>22813763</t>
        </is>
      </c>
      <c r="AY1804" t="inlineStr">
        <is>
          <t>991001481679702656</t>
        </is>
      </c>
      <c r="AZ1804" t="inlineStr">
        <is>
          <t>991001481679702656</t>
        </is>
      </c>
      <c r="BA1804" t="inlineStr">
        <is>
          <t>2263668730002656</t>
        </is>
      </c>
      <c r="BB1804" t="inlineStr">
        <is>
          <t>BOOK</t>
        </is>
      </c>
      <c r="BD1804" t="inlineStr">
        <is>
          <t>9780834202078</t>
        </is>
      </c>
      <c r="BE1804" t="inlineStr">
        <is>
          <t>30001002570002</t>
        </is>
      </c>
      <c r="BF1804" t="inlineStr">
        <is>
          <t>893638370</t>
        </is>
      </c>
    </row>
    <row r="1805">
      <c r="A1805" t="inlineStr">
        <is>
          <t>No</t>
        </is>
      </c>
      <c r="B1805" t="inlineStr">
        <is>
          <t>CUHSL</t>
        </is>
      </c>
      <c r="C1805" t="inlineStr">
        <is>
          <t>SHELVES</t>
        </is>
      </c>
      <c r="D1805" t="inlineStr">
        <is>
          <t>WY 163 W753r 1990</t>
        </is>
      </c>
      <c r="E1805" t="inlineStr">
        <is>
          <t>0                      WY 0163000W  753r        1990</t>
        </is>
      </c>
      <c r="F1805" t="inlineStr">
        <is>
          <t>Respiratory disorders / Susan F. Wilson, June M. Thompson.</t>
        </is>
      </c>
      <c r="H1805" t="inlineStr">
        <is>
          <t>No</t>
        </is>
      </c>
      <c r="I1805" t="inlineStr">
        <is>
          <t>1</t>
        </is>
      </c>
      <c r="J1805" t="inlineStr">
        <is>
          <t>No</t>
        </is>
      </c>
      <c r="K1805" t="inlineStr">
        <is>
          <t>No</t>
        </is>
      </c>
      <c r="L1805" t="inlineStr">
        <is>
          <t>0</t>
        </is>
      </c>
      <c r="M1805" t="inlineStr">
        <is>
          <t>Wilson, Susan Fickertt.</t>
        </is>
      </c>
      <c r="N1805" t="inlineStr">
        <is>
          <t>Saint Louis : Mosby, c1990.</t>
        </is>
      </c>
      <c r="O1805" t="inlineStr">
        <is>
          <t>1990</t>
        </is>
      </c>
      <c r="Q1805" t="inlineStr">
        <is>
          <t>eng</t>
        </is>
      </c>
      <c r="R1805" t="inlineStr">
        <is>
          <t>xxu</t>
        </is>
      </c>
      <c r="S1805" t="inlineStr">
        <is>
          <t>Mosby's clinical nursing series</t>
        </is>
      </c>
      <c r="T1805" t="inlineStr">
        <is>
          <t xml:space="preserve">WY </t>
        </is>
      </c>
      <c r="U1805" t="n">
        <v>4</v>
      </c>
      <c r="V1805" t="n">
        <v>4</v>
      </c>
      <c r="W1805" t="inlineStr">
        <is>
          <t>1992-05-06</t>
        </is>
      </c>
      <c r="X1805" t="inlineStr">
        <is>
          <t>1992-05-06</t>
        </is>
      </c>
      <c r="Y1805" t="inlineStr">
        <is>
          <t>1991-02-16</t>
        </is>
      </c>
      <c r="Z1805" t="inlineStr">
        <is>
          <t>1991-02-16</t>
        </is>
      </c>
      <c r="AA1805" t="n">
        <v>451</v>
      </c>
      <c r="AB1805" t="n">
        <v>365</v>
      </c>
      <c r="AC1805" t="n">
        <v>382</v>
      </c>
      <c r="AD1805" t="n">
        <v>2</v>
      </c>
      <c r="AE1805" t="n">
        <v>2</v>
      </c>
      <c r="AF1805" t="n">
        <v>9</v>
      </c>
      <c r="AG1805" t="n">
        <v>11</v>
      </c>
      <c r="AH1805" t="n">
        <v>4</v>
      </c>
      <c r="AI1805" t="n">
        <v>5</v>
      </c>
      <c r="AJ1805" t="n">
        <v>3</v>
      </c>
      <c r="AK1805" t="n">
        <v>4</v>
      </c>
      <c r="AL1805" t="n">
        <v>6</v>
      </c>
      <c r="AM1805" t="n">
        <v>6</v>
      </c>
      <c r="AN1805" t="n">
        <v>1</v>
      </c>
      <c r="AO1805" t="n">
        <v>1</v>
      </c>
      <c r="AP1805" t="n">
        <v>0</v>
      </c>
      <c r="AQ1805" t="n">
        <v>0</v>
      </c>
      <c r="AR1805" t="inlineStr">
        <is>
          <t>No</t>
        </is>
      </c>
      <c r="AS1805" t="inlineStr">
        <is>
          <t>Yes</t>
        </is>
      </c>
      <c r="AT1805">
        <f>HYPERLINK("http://catalog.hathitrust.org/Record/002215760","HathiTrust Record")</f>
        <v/>
      </c>
      <c r="AU1805">
        <f>HYPERLINK("https://creighton-primo.hosted.exlibrisgroup.com/primo-explore/search?tab=default_tab&amp;search_scope=EVERYTHING&amp;vid=01CRU&amp;lang=en_US&amp;offset=0&amp;query=any,contains,991001767829702656","Catalog Record")</f>
        <v/>
      </c>
      <c r="AV1805">
        <f>HYPERLINK("http://www.worldcat.org/oclc/21599950","WorldCat Record")</f>
        <v/>
      </c>
      <c r="AW1805" t="inlineStr">
        <is>
          <t>4494999166:eng</t>
        </is>
      </c>
      <c r="AX1805" t="inlineStr">
        <is>
          <t>21599950</t>
        </is>
      </c>
      <c r="AY1805" t="inlineStr">
        <is>
          <t>991001767829702656</t>
        </is>
      </c>
      <c r="AZ1805" t="inlineStr">
        <is>
          <t>991001767829702656</t>
        </is>
      </c>
      <c r="BA1805" t="inlineStr">
        <is>
          <t>2267923940002656</t>
        </is>
      </c>
      <c r="BB1805" t="inlineStr">
        <is>
          <t>BOOK</t>
        </is>
      </c>
      <c r="BD1805" t="inlineStr">
        <is>
          <t>9780801650871</t>
        </is>
      </c>
      <c r="BE1805" t="inlineStr">
        <is>
          <t>30001002087395</t>
        </is>
      </c>
      <c r="BF1805" t="inlineStr">
        <is>
          <t>893369974</t>
        </is>
      </c>
    </row>
    <row r="1806">
      <c r="A1806" t="inlineStr">
        <is>
          <t>No</t>
        </is>
      </c>
      <c r="B1806" t="inlineStr">
        <is>
          <t>CUHSL</t>
        </is>
      </c>
      <c r="C1806" t="inlineStr">
        <is>
          <t>SHELVES</t>
        </is>
      </c>
      <c r="D1806" t="inlineStr">
        <is>
          <t>WY164 C7605 2006</t>
        </is>
      </c>
      <c r="E1806" t="inlineStr">
        <is>
          <t>0                      WY 0164000C  7605        2006</t>
        </is>
      </c>
      <c r="F1806" t="inlineStr">
        <is>
          <t>Contemporary issues in prostate cancer : a nursing perspective / [edited by] Jeanne Held-Warmkessel.</t>
        </is>
      </c>
      <c r="H1806" t="inlineStr">
        <is>
          <t>No</t>
        </is>
      </c>
      <c r="I1806" t="inlineStr">
        <is>
          <t>1</t>
        </is>
      </c>
      <c r="J1806" t="inlineStr">
        <is>
          <t>No</t>
        </is>
      </c>
      <c r="K1806" t="inlineStr">
        <is>
          <t>No</t>
        </is>
      </c>
      <c r="L1806" t="inlineStr">
        <is>
          <t>0</t>
        </is>
      </c>
      <c r="N1806" t="inlineStr">
        <is>
          <t>Sudbury, Mass. : Jones and Bartlett Publishers, c2006.</t>
        </is>
      </c>
      <c r="O1806" t="inlineStr">
        <is>
          <t>2006</t>
        </is>
      </c>
      <c r="P1806" t="inlineStr">
        <is>
          <t>2nd ed.</t>
        </is>
      </c>
      <c r="Q1806" t="inlineStr">
        <is>
          <t>eng</t>
        </is>
      </c>
      <c r="R1806" t="inlineStr">
        <is>
          <t>mau</t>
        </is>
      </c>
      <c r="T1806" t="inlineStr">
        <is>
          <t xml:space="preserve">WY </t>
        </is>
      </c>
      <c r="U1806" t="n">
        <v>2</v>
      </c>
      <c r="V1806" t="n">
        <v>2</v>
      </c>
      <c r="W1806" t="inlineStr">
        <is>
          <t>2006-06-26</t>
        </is>
      </c>
      <c r="X1806" t="inlineStr">
        <is>
          <t>2006-06-26</t>
        </is>
      </c>
      <c r="Y1806" t="inlineStr">
        <is>
          <t>2006-03-30</t>
        </is>
      </c>
      <c r="Z1806" t="inlineStr">
        <is>
          <t>2006-03-30</t>
        </is>
      </c>
      <c r="AA1806" t="n">
        <v>212</v>
      </c>
      <c r="AB1806" t="n">
        <v>158</v>
      </c>
      <c r="AC1806" t="n">
        <v>266</v>
      </c>
      <c r="AD1806" t="n">
        <v>1</v>
      </c>
      <c r="AE1806" t="n">
        <v>1</v>
      </c>
      <c r="AF1806" t="n">
        <v>5</v>
      </c>
      <c r="AG1806" t="n">
        <v>12</v>
      </c>
      <c r="AH1806" t="n">
        <v>2</v>
      </c>
      <c r="AI1806" t="n">
        <v>4</v>
      </c>
      <c r="AJ1806" t="n">
        <v>3</v>
      </c>
      <c r="AK1806" t="n">
        <v>4</v>
      </c>
      <c r="AL1806" t="n">
        <v>1</v>
      </c>
      <c r="AM1806" t="n">
        <v>6</v>
      </c>
      <c r="AN1806" t="n">
        <v>0</v>
      </c>
      <c r="AO1806" t="n">
        <v>0</v>
      </c>
      <c r="AP1806" t="n">
        <v>0</v>
      </c>
      <c r="AQ1806" t="n">
        <v>0</v>
      </c>
      <c r="AR1806" t="inlineStr">
        <is>
          <t>No</t>
        </is>
      </c>
      <c r="AS1806" t="inlineStr">
        <is>
          <t>Yes</t>
        </is>
      </c>
      <c r="AT1806">
        <f>HYPERLINK("http://catalog.hathitrust.org/Record/005125127","HathiTrust Record")</f>
        <v/>
      </c>
      <c r="AU1806">
        <f>HYPERLINK("https://creighton-primo.hosted.exlibrisgroup.com/primo-explore/search?tab=default_tab&amp;search_scope=EVERYTHING&amp;vid=01CRU&amp;lang=en_US&amp;offset=0&amp;query=any,contains,991000471319702656","Catalog Record")</f>
        <v/>
      </c>
      <c r="AV1806">
        <f>HYPERLINK("http://www.worldcat.org/oclc/61404521","WorldCat Record")</f>
        <v/>
      </c>
      <c r="AW1806" t="inlineStr">
        <is>
          <t>903477536:eng</t>
        </is>
      </c>
      <c r="AX1806" t="inlineStr">
        <is>
          <t>61404521</t>
        </is>
      </c>
      <c r="AY1806" t="inlineStr">
        <is>
          <t>991000471319702656</t>
        </is>
      </c>
      <c r="AZ1806" t="inlineStr">
        <is>
          <t>991000471319702656</t>
        </is>
      </c>
      <c r="BA1806" t="inlineStr">
        <is>
          <t>2264779390002656</t>
        </is>
      </c>
      <c r="BB1806" t="inlineStr">
        <is>
          <t>BOOK</t>
        </is>
      </c>
      <c r="BD1806" t="inlineStr">
        <is>
          <t>9780763730758</t>
        </is>
      </c>
      <c r="BE1806" t="inlineStr">
        <is>
          <t>30001005127040</t>
        </is>
      </c>
      <c r="BF1806" t="inlineStr">
        <is>
          <t>893136917</t>
        </is>
      </c>
    </row>
    <row r="1807">
      <c r="A1807" t="inlineStr">
        <is>
          <t>No</t>
        </is>
      </c>
      <c r="B1807" t="inlineStr">
        <is>
          <t>CUHSL</t>
        </is>
      </c>
      <c r="C1807" t="inlineStr">
        <is>
          <t>SHELVES</t>
        </is>
      </c>
      <c r="D1807" t="inlineStr">
        <is>
          <t>WY 164 M478c 1983</t>
        </is>
      </c>
      <c r="E1807" t="inlineStr">
        <is>
          <t>0                      WY 0164000M  478c        1983</t>
        </is>
      </c>
      <c r="F1807" t="inlineStr">
        <is>
          <t>Care of patients with urologic problems / Edwina A. McConnell, Mary F. Zimmerman.</t>
        </is>
      </c>
      <c r="H1807" t="inlineStr">
        <is>
          <t>No</t>
        </is>
      </c>
      <c r="I1807" t="inlineStr">
        <is>
          <t>1</t>
        </is>
      </c>
      <c r="J1807" t="inlineStr">
        <is>
          <t>No</t>
        </is>
      </c>
      <c r="K1807" t="inlineStr">
        <is>
          <t>No</t>
        </is>
      </c>
      <c r="L1807" t="inlineStr">
        <is>
          <t>0</t>
        </is>
      </c>
      <c r="M1807" t="inlineStr">
        <is>
          <t>McConnell, Edwina A.</t>
        </is>
      </c>
      <c r="N1807" t="inlineStr">
        <is>
          <t>Philadelphia : Lippincott, c1983.</t>
        </is>
      </c>
      <c r="O1807" t="inlineStr">
        <is>
          <t>1983</t>
        </is>
      </c>
      <c r="Q1807" t="inlineStr">
        <is>
          <t>eng</t>
        </is>
      </c>
      <c r="R1807" t="inlineStr">
        <is>
          <t>xxu</t>
        </is>
      </c>
      <c r="T1807" t="inlineStr">
        <is>
          <t xml:space="preserve">WY </t>
        </is>
      </c>
      <c r="U1807" t="n">
        <v>8</v>
      </c>
      <c r="V1807" t="n">
        <v>8</v>
      </c>
      <c r="W1807" t="inlineStr">
        <is>
          <t>2000-04-16</t>
        </is>
      </c>
      <c r="X1807" t="inlineStr">
        <is>
          <t>2000-04-16</t>
        </is>
      </c>
      <c r="Y1807" t="inlineStr">
        <is>
          <t>1987-12-29</t>
        </is>
      </c>
      <c r="Z1807" t="inlineStr">
        <is>
          <t>1987-12-29</t>
        </is>
      </c>
      <c r="AA1807" t="n">
        <v>41</v>
      </c>
      <c r="AB1807" t="n">
        <v>38</v>
      </c>
      <c r="AC1807" t="n">
        <v>222</v>
      </c>
      <c r="AD1807" t="n">
        <v>2</v>
      </c>
      <c r="AE1807" t="n">
        <v>2</v>
      </c>
      <c r="AF1807" t="n">
        <v>0</v>
      </c>
      <c r="AG1807" t="n">
        <v>9</v>
      </c>
      <c r="AH1807" t="n">
        <v>0</v>
      </c>
      <c r="AI1807" t="n">
        <v>6</v>
      </c>
      <c r="AJ1807" t="n">
        <v>0</v>
      </c>
      <c r="AK1807" t="n">
        <v>1</v>
      </c>
      <c r="AL1807" t="n">
        <v>0</v>
      </c>
      <c r="AM1807" t="n">
        <v>6</v>
      </c>
      <c r="AN1807" t="n">
        <v>0</v>
      </c>
      <c r="AO1807" t="n">
        <v>0</v>
      </c>
      <c r="AP1807" t="n">
        <v>0</v>
      </c>
      <c r="AQ1807" t="n">
        <v>0</v>
      </c>
      <c r="AR1807" t="inlineStr">
        <is>
          <t>No</t>
        </is>
      </c>
      <c r="AS1807" t="inlineStr">
        <is>
          <t>No</t>
        </is>
      </c>
      <c r="AU1807">
        <f>HYPERLINK("https://creighton-primo.hosted.exlibrisgroup.com/primo-explore/search?tab=default_tab&amp;search_scope=EVERYTHING&amp;vid=01CRU&amp;lang=en_US&amp;offset=0&amp;query=any,contains,991000929079702656","Catalog Record")</f>
        <v/>
      </c>
      <c r="AV1807">
        <f>HYPERLINK("http://www.worldcat.org/oclc/8032160","WorldCat Record")</f>
        <v/>
      </c>
      <c r="AW1807" t="inlineStr">
        <is>
          <t>471056:eng</t>
        </is>
      </c>
      <c r="AX1807" t="inlineStr">
        <is>
          <t>8032160</t>
        </is>
      </c>
      <c r="AY1807" t="inlineStr">
        <is>
          <t>991000929079702656</t>
        </is>
      </c>
      <c r="AZ1807" t="inlineStr">
        <is>
          <t>991000929079702656</t>
        </is>
      </c>
      <c r="BA1807" t="inlineStr">
        <is>
          <t>2268955000002656</t>
        </is>
      </c>
      <c r="BB1807" t="inlineStr">
        <is>
          <t>BOOK</t>
        </is>
      </c>
      <c r="BD1807" t="inlineStr">
        <is>
          <t>9780397544028</t>
        </is>
      </c>
      <c r="BE1807" t="inlineStr">
        <is>
          <t>30001000184673</t>
        </is>
      </c>
      <c r="BF1807" t="inlineStr">
        <is>
          <t>893643026</t>
        </is>
      </c>
    </row>
    <row r="1808">
      <c r="A1808" t="inlineStr">
        <is>
          <t>No</t>
        </is>
      </c>
      <c r="B1808" t="inlineStr">
        <is>
          <t>CUHSL</t>
        </is>
      </c>
      <c r="C1808" t="inlineStr">
        <is>
          <t>SHELVES</t>
        </is>
      </c>
      <c r="D1808" t="inlineStr">
        <is>
          <t>WY 164 M817i 1990</t>
        </is>
      </c>
      <c r="E1808" t="inlineStr">
        <is>
          <t>0                      WY 0164000M  817i        1990</t>
        </is>
      </c>
      <c r="F1808" t="inlineStr">
        <is>
          <t>Incontinence / Marion Moody.</t>
        </is>
      </c>
      <c r="H1808" t="inlineStr">
        <is>
          <t>No</t>
        </is>
      </c>
      <c r="I1808" t="inlineStr">
        <is>
          <t>1</t>
        </is>
      </c>
      <c r="J1808" t="inlineStr">
        <is>
          <t>No</t>
        </is>
      </c>
      <c r="K1808" t="inlineStr">
        <is>
          <t>No</t>
        </is>
      </c>
      <c r="L1808" t="inlineStr">
        <is>
          <t>0</t>
        </is>
      </c>
      <c r="M1808" t="inlineStr">
        <is>
          <t>Moody, Marion.</t>
        </is>
      </c>
      <c r="N1808" t="inlineStr">
        <is>
          <t>Oxford : Heinemann Nursing, c1990.</t>
        </is>
      </c>
      <c r="O1808" t="inlineStr">
        <is>
          <t>1990</t>
        </is>
      </c>
      <c r="Q1808" t="inlineStr">
        <is>
          <t>eng</t>
        </is>
      </c>
      <c r="R1808" t="inlineStr">
        <is>
          <t>enk</t>
        </is>
      </c>
      <c r="S1808" t="inlineStr">
        <is>
          <t>Patient problems and nursing care</t>
        </is>
      </c>
      <c r="T1808" t="inlineStr">
        <is>
          <t xml:space="preserve">WY </t>
        </is>
      </c>
      <c r="U1808" t="n">
        <v>9</v>
      </c>
      <c r="V1808" t="n">
        <v>9</v>
      </c>
      <c r="W1808" t="inlineStr">
        <is>
          <t>2000-04-16</t>
        </is>
      </c>
      <c r="X1808" t="inlineStr">
        <is>
          <t>2000-04-16</t>
        </is>
      </c>
      <c r="Y1808" t="inlineStr">
        <is>
          <t>1991-02-16</t>
        </is>
      </c>
      <c r="Z1808" t="inlineStr">
        <is>
          <t>1991-02-16</t>
        </is>
      </c>
      <c r="AA1808" t="n">
        <v>41</v>
      </c>
      <c r="AB1808" t="n">
        <v>32</v>
      </c>
      <c r="AC1808" t="n">
        <v>64</v>
      </c>
      <c r="AD1808" t="n">
        <v>1</v>
      </c>
      <c r="AE1808" t="n">
        <v>1</v>
      </c>
      <c r="AF1808" t="n">
        <v>0</v>
      </c>
      <c r="AG1808" t="n">
        <v>3</v>
      </c>
      <c r="AH1808" t="n">
        <v>0</v>
      </c>
      <c r="AI1808" t="n">
        <v>1</v>
      </c>
      <c r="AJ1808" t="n">
        <v>0</v>
      </c>
      <c r="AK1808" t="n">
        <v>1</v>
      </c>
      <c r="AL1808" t="n">
        <v>0</v>
      </c>
      <c r="AM1808" t="n">
        <v>1</v>
      </c>
      <c r="AN1808" t="n">
        <v>0</v>
      </c>
      <c r="AO1808" t="n">
        <v>0</v>
      </c>
      <c r="AP1808" t="n">
        <v>0</v>
      </c>
      <c r="AQ1808" t="n">
        <v>0</v>
      </c>
      <c r="AR1808" t="inlineStr">
        <is>
          <t>No</t>
        </is>
      </c>
      <c r="AS1808" t="inlineStr">
        <is>
          <t>Yes</t>
        </is>
      </c>
      <c r="AT1808">
        <f>HYPERLINK("http://catalog.hathitrust.org/Record/002426462","HathiTrust Record")</f>
        <v/>
      </c>
      <c r="AU1808">
        <f>HYPERLINK("https://creighton-primo.hosted.exlibrisgroup.com/primo-explore/search?tab=default_tab&amp;search_scope=EVERYTHING&amp;vid=01CRU&amp;lang=en_US&amp;offset=0&amp;query=any,contains,991000820209702656","Catalog Record")</f>
        <v/>
      </c>
      <c r="AV1808">
        <f>HYPERLINK("http://www.worldcat.org/oclc/22813967","WorldCat Record")</f>
        <v/>
      </c>
      <c r="AW1808" t="inlineStr">
        <is>
          <t>22278547:eng</t>
        </is>
      </c>
      <c r="AX1808" t="inlineStr">
        <is>
          <t>22813967</t>
        </is>
      </c>
      <c r="AY1808" t="inlineStr">
        <is>
          <t>991000820209702656</t>
        </is>
      </c>
      <c r="AZ1808" t="inlineStr">
        <is>
          <t>991000820209702656</t>
        </is>
      </c>
      <c r="BA1808" t="inlineStr">
        <is>
          <t>2263931750002656</t>
        </is>
      </c>
      <c r="BB1808" t="inlineStr">
        <is>
          <t>BOOK</t>
        </is>
      </c>
      <c r="BD1808" t="inlineStr">
        <is>
          <t>9780433000860</t>
        </is>
      </c>
      <c r="BE1808" t="inlineStr">
        <is>
          <t>30001002087429</t>
        </is>
      </c>
      <c r="BF1808" t="inlineStr">
        <is>
          <t>893373861</t>
        </is>
      </c>
    </row>
    <row r="1809">
      <c r="A1809" t="inlineStr">
        <is>
          <t>No</t>
        </is>
      </c>
      <c r="B1809" t="inlineStr">
        <is>
          <t>CUHSL</t>
        </is>
      </c>
      <c r="C1809" t="inlineStr">
        <is>
          <t>SHELVES</t>
        </is>
      </c>
      <c r="D1809" t="inlineStr">
        <is>
          <t>WY 164 N4387 1989</t>
        </is>
      </c>
      <c r="E1809" t="inlineStr">
        <is>
          <t>0                      WY 0164000N  4387        1989</t>
        </is>
      </c>
      <c r="F1809" t="inlineStr">
        <is>
          <t>Nephrology nursing : concepts and strategies / edited by Beth Tamplet Ulrich.</t>
        </is>
      </c>
      <c r="H1809" t="inlineStr">
        <is>
          <t>No</t>
        </is>
      </c>
      <c r="I1809" t="inlineStr">
        <is>
          <t>1</t>
        </is>
      </c>
      <c r="J1809" t="inlineStr">
        <is>
          <t>No</t>
        </is>
      </c>
      <c r="K1809" t="inlineStr">
        <is>
          <t>No</t>
        </is>
      </c>
      <c r="L1809" t="inlineStr">
        <is>
          <t>0</t>
        </is>
      </c>
      <c r="N1809" t="inlineStr">
        <is>
          <t>Norwalk, Conn. : Appleton &amp; Lange, c1989.</t>
        </is>
      </c>
      <c r="O1809" t="inlineStr">
        <is>
          <t>1989</t>
        </is>
      </c>
      <c r="Q1809" t="inlineStr">
        <is>
          <t>eng</t>
        </is>
      </c>
      <c r="R1809" t="inlineStr">
        <is>
          <t>xxu</t>
        </is>
      </c>
      <c r="T1809" t="inlineStr">
        <is>
          <t xml:space="preserve">WY </t>
        </is>
      </c>
      <c r="U1809" t="n">
        <v>12</v>
      </c>
      <c r="V1809" t="n">
        <v>12</v>
      </c>
      <c r="W1809" t="inlineStr">
        <is>
          <t>2000-07-26</t>
        </is>
      </c>
      <c r="X1809" t="inlineStr">
        <is>
          <t>2000-07-26</t>
        </is>
      </c>
      <c r="Y1809" t="inlineStr">
        <is>
          <t>1989-06-16</t>
        </is>
      </c>
      <c r="Z1809" t="inlineStr">
        <is>
          <t>1989-06-16</t>
        </is>
      </c>
      <c r="AA1809" t="n">
        <v>307</v>
      </c>
      <c r="AB1809" t="n">
        <v>266</v>
      </c>
      <c r="AC1809" t="n">
        <v>270</v>
      </c>
      <c r="AD1809" t="n">
        <v>1</v>
      </c>
      <c r="AE1809" t="n">
        <v>1</v>
      </c>
      <c r="AF1809" t="n">
        <v>12</v>
      </c>
      <c r="AG1809" t="n">
        <v>12</v>
      </c>
      <c r="AH1809" t="n">
        <v>5</v>
      </c>
      <c r="AI1809" t="n">
        <v>5</v>
      </c>
      <c r="AJ1809" t="n">
        <v>3</v>
      </c>
      <c r="AK1809" t="n">
        <v>3</v>
      </c>
      <c r="AL1809" t="n">
        <v>8</v>
      </c>
      <c r="AM1809" t="n">
        <v>8</v>
      </c>
      <c r="AN1809" t="n">
        <v>0</v>
      </c>
      <c r="AO1809" t="n">
        <v>0</v>
      </c>
      <c r="AP1809" t="n">
        <v>0</v>
      </c>
      <c r="AQ1809" t="n">
        <v>0</v>
      </c>
      <c r="AR1809" t="inlineStr">
        <is>
          <t>No</t>
        </is>
      </c>
      <c r="AS1809" t="inlineStr">
        <is>
          <t>Yes</t>
        </is>
      </c>
      <c r="AT1809">
        <f>HYPERLINK("http://catalog.hathitrust.org/Record/001528327","HathiTrust Record")</f>
        <v/>
      </c>
      <c r="AU1809">
        <f>HYPERLINK("https://creighton-primo.hosted.exlibrisgroup.com/primo-explore/search?tab=default_tab&amp;search_scope=EVERYTHING&amp;vid=01CRU&amp;lang=en_US&amp;offset=0&amp;query=any,contains,991001308519702656","Catalog Record")</f>
        <v/>
      </c>
      <c r="AV1809">
        <f>HYPERLINK("http://www.worldcat.org/oclc/17875888","WorldCat Record")</f>
        <v/>
      </c>
      <c r="AW1809" t="inlineStr">
        <is>
          <t>55089363:eng</t>
        </is>
      </c>
      <c r="AX1809" t="inlineStr">
        <is>
          <t>17875888</t>
        </is>
      </c>
      <c r="AY1809" t="inlineStr">
        <is>
          <t>991001308519702656</t>
        </is>
      </c>
      <c r="AZ1809" t="inlineStr">
        <is>
          <t>991001308519702656</t>
        </is>
      </c>
      <c r="BA1809" t="inlineStr">
        <is>
          <t>2257216050002656</t>
        </is>
      </c>
      <c r="BB1809" t="inlineStr">
        <is>
          <t>BOOK</t>
        </is>
      </c>
      <c r="BD1809" t="inlineStr">
        <is>
          <t>9780838566992</t>
        </is>
      </c>
      <c r="BE1809" t="inlineStr">
        <is>
          <t>30001001750126</t>
        </is>
      </c>
      <c r="BF1809" t="inlineStr">
        <is>
          <t>893455691</t>
        </is>
      </c>
    </row>
    <row r="1810">
      <c r="A1810" t="inlineStr">
        <is>
          <t>No</t>
        </is>
      </c>
      <c r="B1810" t="inlineStr">
        <is>
          <t>CUHSL</t>
        </is>
      </c>
      <c r="C1810" t="inlineStr">
        <is>
          <t>SHELVES</t>
        </is>
      </c>
      <c r="D1810" t="inlineStr">
        <is>
          <t>WY 164 N9745 1990</t>
        </is>
      </c>
      <c r="E1810" t="inlineStr">
        <is>
          <t>0                      WY 0164000N  9745        1990</t>
        </is>
      </c>
      <c r="F1810" t="inlineStr">
        <is>
          <t>Nursing for continence / [edited by] Catherine F. Jeter, Nancy Faller, Christine Norton.</t>
        </is>
      </c>
      <c r="H1810" t="inlineStr">
        <is>
          <t>No</t>
        </is>
      </c>
      <c r="I1810" t="inlineStr">
        <is>
          <t>1</t>
        </is>
      </c>
      <c r="J1810" t="inlineStr">
        <is>
          <t>No</t>
        </is>
      </c>
      <c r="K1810" t="inlineStr">
        <is>
          <t>No</t>
        </is>
      </c>
      <c r="L1810" t="inlineStr">
        <is>
          <t>0</t>
        </is>
      </c>
      <c r="N1810" t="inlineStr">
        <is>
          <t>Philadelphia : Saunders, c1990.</t>
        </is>
      </c>
      <c r="O1810" t="inlineStr">
        <is>
          <t>1990</t>
        </is>
      </c>
      <c r="P1810" t="inlineStr">
        <is>
          <t>1st ed.</t>
        </is>
      </c>
      <c r="Q1810" t="inlineStr">
        <is>
          <t>eng</t>
        </is>
      </c>
      <c r="R1810" t="inlineStr">
        <is>
          <t>xxu</t>
        </is>
      </c>
      <c r="T1810" t="inlineStr">
        <is>
          <t xml:space="preserve">WY </t>
        </is>
      </c>
      <c r="U1810" t="n">
        <v>6</v>
      </c>
      <c r="V1810" t="n">
        <v>6</v>
      </c>
      <c r="W1810" t="inlineStr">
        <is>
          <t>2000-04-16</t>
        </is>
      </c>
      <c r="X1810" t="inlineStr">
        <is>
          <t>2000-04-16</t>
        </is>
      </c>
      <c r="Y1810" t="inlineStr">
        <is>
          <t>1990-08-16</t>
        </is>
      </c>
      <c r="Z1810" t="inlineStr">
        <is>
          <t>1990-08-16</t>
        </is>
      </c>
      <c r="AA1810" t="n">
        <v>234</v>
      </c>
      <c r="AB1810" t="n">
        <v>194</v>
      </c>
      <c r="AC1810" t="n">
        <v>204</v>
      </c>
      <c r="AD1810" t="n">
        <v>1</v>
      </c>
      <c r="AE1810" t="n">
        <v>1</v>
      </c>
      <c r="AF1810" t="n">
        <v>11</v>
      </c>
      <c r="AG1810" t="n">
        <v>11</v>
      </c>
      <c r="AH1810" t="n">
        <v>5</v>
      </c>
      <c r="AI1810" t="n">
        <v>5</v>
      </c>
      <c r="AJ1810" t="n">
        <v>3</v>
      </c>
      <c r="AK1810" t="n">
        <v>3</v>
      </c>
      <c r="AL1810" t="n">
        <v>7</v>
      </c>
      <c r="AM1810" t="n">
        <v>7</v>
      </c>
      <c r="AN1810" t="n">
        <v>0</v>
      </c>
      <c r="AO1810" t="n">
        <v>0</v>
      </c>
      <c r="AP1810" t="n">
        <v>0</v>
      </c>
      <c r="AQ1810" t="n">
        <v>0</v>
      </c>
      <c r="AR1810" t="inlineStr">
        <is>
          <t>No</t>
        </is>
      </c>
      <c r="AS1810" t="inlineStr">
        <is>
          <t>Yes</t>
        </is>
      </c>
      <c r="AT1810">
        <f>HYPERLINK("http://catalog.hathitrust.org/Record/002457980","HathiTrust Record")</f>
        <v/>
      </c>
      <c r="AU1810">
        <f>HYPERLINK("https://creighton-primo.hosted.exlibrisgroup.com/primo-explore/search?tab=default_tab&amp;search_scope=EVERYTHING&amp;vid=01CRU&amp;lang=en_US&amp;offset=0&amp;query=any,contains,991001453239702656","Catalog Record")</f>
        <v/>
      </c>
      <c r="AV1810">
        <f>HYPERLINK("http://www.worldcat.org/oclc/21078834","WorldCat Record")</f>
        <v/>
      </c>
      <c r="AW1810" t="inlineStr">
        <is>
          <t>364608024:eng</t>
        </is>
      </c>
      <c r="AX1810" t="inlineStr">
        <is>
          <t>21078834</t>
        </is>
      </c>
      <c r="AY1810" t="inlineStr">
        <is>
          <t>991001453239702656</t>
        </is>
      </c>
      <c r="AZ1810" t="inlineStr">
        <is>
          <t>991001453239702656</t>
        </is>
      </c>
      <c r="BA1810" t="inlineStr">
        <is>
          <t>2272523140002656</t>
        </is>
      </c>
      <c r="BB1810" t="inlineStr">
        <is>
          <t>BOOK</t>
        </is>
      </c>
      <c r="BD1810" t="inlineStr">
        <is>
          <t>9780721628929</t>
        </is>
      </c>
      <c r="BE1810" t="inlineStr">
        <is>
          <t>30001001883968</t>
        </is>
      </c>
      <c r="BF1810" t="inlineStr">
        <is>
          <t>893287430</t>
        </is>
      </c>
    </row>
    <row r="1811">
      <c r="A1811" t="inlineStr">
        <is>
          <t>No</t>
        </is>
      </c>
      <c r="B1811" t="inlineStr">
        <is>
          <t>CUHSL</t>
        </is>
      </c>
      <c r="C1811" t="inlineStr">
        <is>
          <t>SHELVES</t>
        </is>
      </c>
      <c r="D1811" t="inlineStr">
        <is>
          <t>WY 164 P298 1984</t>
        </is>
      </c>
      <c r="E1811" t="inlineStr">
        <is>
          <t>0                      WY 0164000P  298         1984</t>
        </is>
      </c>
      <c r="F1811" t="inlineStr">
        <is>
          <t>The Patient with end stage renal disease / edited by Larry E. Lancaster.</t>
        </is>
      </c>
      <c r="H1811" t="inlineStr">
        <is>
          <t>No</t>
        </is>
      </c>
      <c r="I1811" t="inlineStr">
        <is>
          <t>1</t>
        </is>
      </c>
      <c r="J1811" t="inlineStr">
        <is>
          <t>No</t>
        </is>
      </c>
      <c r="K1811" t="inlineStr">
        <is>
          <t>No</t>
        </is>
      </c>
      <c r="L1811" t="inlineStr">
        <is>
          <t>0</t>
        </is>
      </c>
      <c r="N1811" t="inlineStr">
        <is>
          <t>New York : Wiley, c1984.</t>
        </is>
      </c>
      <c r="O1811" t="inlineStr">
        <is>
          <t>1984</t>
        </is>
      </c>
      <c r="P1811" t="inlineStr">
        <is>
          <t>2nd ed.</t>
        </is>
      </c>
      <c r="Q1811" t="inlineStr">
        <is>
          <t>eng</t>
        </is>
      </c>
      <c r="R1811" t="inlineStr">
        <is>
          <t>xxu</t>
        </is>
      </c>
      <c r="S1811" t="inlineStr">
        <is>
          <t>A Wiley medical publication</t>
        </is>
      </c>
      <c r="T1811" t="inlineStr">
        <is>
          <t xml:space="preserve">WY </t>
        </is>
      </c>
      <c r="U1811" t="n">
        <v>8</v>
      </c>
      <c r="V1811" t="n">
        <v>8</v>
      </c>
      <c r="W1811" t="inlineStr">
        <is>
          <t>1994-09-02</t>
        </is>
      </c>
      <c r="X1811" t="inlineStr">
        <is>
          <t>1994-09-02</t>
        </is>
      </c>
      <c r="Y1811" t="inlineStr">
        <is>
          <t>1987-12-29</t>
        </is>
      </c>
      <c r="Z1811" t="inlineStr">
        <is>
          <t>1987-12-29</t>
        </is>
      </c>
      <c r="AA1811" t="n">
        <v>263</v>
      </c>
      <c r="AB1811" t="n">
        <v>230</v>
      </c>
      <c r="AC1811" t="n">
        <v>316</v>
      </c>
      <c r="AD1811" t="n">
        <v>2</v>
      </c>
      <c r="AE1811" t="n">
        <v>4</v>
      </c>
      <c r="AF1811" t="n">
        <v>8</v>
      </c>
      <c r="AG1811" t="n">
        <v>14</v>
      </c>
      <c r="AH1811" t="n">
        <v>4</v>
      </c>
      <c r="AI1811" t="n">
        <v>6</v>
      </c>
      <c r="AJ1811" t="n">
        <v>2</v>
      </c>
      <c r="AK1811" t="n">
        <v>2</v>
      </c>
      <c r="AL1811" t="n">
        <v>5</v>
      </c>
      <c r="AM1811" t="n">
        <v>8</v>
      </c>
      <c r="AN1811" t="n">
        <v>0</v>
      </c>
      <c r="AO1811" t="n">
        <v>2</v>
      </c>
      <c r="AP1811" t="n">
        <v>0</v>
      </c>
      <c r="AQ1811" t="n">
        <v>0</v>
      </c>
      <c r="AR1811" t="inlineStr">
        <is>
          <t>No</t>
        </is>
      </c>
      <c r="AS1811" t="inlineStr">
        <is>
          <t>Yes</t>
        </is>
      </c>
      <c r="AT1811">
        <f>HYPERLINK("http://catalog.hathitrust.org/Record/000168197","HathiTrust Record")</f>
        <v/>
      </c>
      <c r="AU1811">
        <f>HYPERLINK("https://creighton-primo.hosted.exlibrisgroup.com/primo-explore/search?tab=default_tab&amp;search_scope=EVERYTHING&amp;vid=01CRU&amp;lang=en_US&amp;offset=0&amp;query=any,contains,991000929119702656","Catalog Record")</f>
        <v/>
      </c>
      <c r="AV1811">
        <f>HYPERLINK("http://www.worldcat.org/oclc/10727307","WorldCat Record")</f>
        <v/>
      </c>
      <c r="AW1811" t="inlineStr">
        <is>
          <t>54263947:eng</t>
        </is>
      </c>
      <c r="AX1811" t="inlineStr">
        <is>
          <t>10727307</t>
        </is>
      </c>
      <c r="AY1811" t="inlineStr">
        <is>
          <t>991000929119702656</t>
        </is>
      </c>
      <c r="AZ1811" t="inlineStr">
        <is>
          <t>991000929119702656</t>
        </is>
      </c>
      <c r="BA1811" t="inlineStr">
        <is>
          <t>2259149410002656</t>
        </is>
      </c>
      <c r="BB1811" t="inlineStr">
        <is>
          <t>BOOK</t>
        </is>
      </c>
      <c r="BD1811" t="inlineStr">
        <is>
          <t>9780471885450</t>
        </is>
      </c>
      <c r="BE1811" t="inlineStr">
        <is>
          <t>30001000184707</t>
        </is>
      </c>
      <c r="BF1811" t="inlineStr">
        <is>
          <t>893551945</t>
        </is>
      </c>
    </row>
    <row r="1812">
      <c r="A1812" t="inlineStr">
        <is>
          <t>No</t>
        </is>
      </c>
      <c r="B1812" t="inlineStr">
        <is>
          <t>CUHSL</t>
        </is>
      </c>
      <c r="C1812" t="inlineStr">
        <is>
          <t>SHELVES</t>
        </is>
      </c>
      <c r="D1812" t="inlineStr">
        <is>
          <t>WY 164 R454 1999</t>
        </is>
      </c>
      <c r="E1812" t="inlineStr">
        <is>
          <t>0                      WY 0164000R  454         1999</t>
        </is>
      </c>
      <c r="F1812" t="inlineStr">
        <is>
          <t>Review of hemodialysis for nurses and dialysis personnel / C.F. Gutch, Martha H. Stoner, Anna L. Corea.</t>
        </is>
      </c>
      <c r="H1812" t="inlineStr">
        <is>
          <t>No</t>
        </is>
      </c>
      <c r="I1812" t="inlineStr">
        <is>
          <t>1</t>
        </is>
      </c>
      <c r="J1812" t="inlineStr">
        <is>
          <t>No</t>
        </is>
      </c>
      <c r="K1812" t="inlineStr">
        <is>
          <t>No</t>
        </is>
      </c>
      <c r="L1812" t="inlineStr">
        <is>
          <t>0</t>
        </is>
      </c>
      <c r="N1812" t="inlineStr">
        <is>
          <t>St. Louis : Mosby, c1999.</t>
        </is>
      </c>
      <c r="O1812" t="inlineStr">
        <is>
          <t>1999</t>
        </is>
      </c>
      <c r="P1812" t="inlineStr">
        <is>
          <t>6th ed.</t>
        </is>
      </c>
      <c r="Q1812" t="inlineStr">
        <is>
          <t>eng</t>
        </is>
      </c>
      <c r="R1812" t="inlineStr">
        <is>
          <t>mou</t>
        </is>
      </c>
      <c r="T1812" t="inlineStr">
        <is>
          <t xml:space="preserve">WY </t>
        </is>
      </c>
      <c r="U1812" t="n">
        <v>8</v>
      </c>
      <c r="V1812" t="n">
        <v>8</v>
      </c>
      <c r="W1812" t="inlineStr">
        <is>
          <t>2000-10-15</t>
        </is>
      </c>
      <c r="X1812" t="inlineStr">
        <is>
          <t>2000-10-15</t>
        </is>
      </c>
      <c r="Y1812" t="inlineStr">
        <is>
          <t>1999-06-23</t>
        </is>
      </c>
      <c r="Z1812" t="inlineStr">
        <is>
          <t>1999-06-23</t>
        </is>
      </c>
      <c r="AA1812" t="n">
        <v>330</v>
      </c>
      <c r="AB1812" t="n">
        <v>259</v>
      </c>
      <c r="AC1812" t="n">
        <v>539</v>
      </c>
      <c r="AD1812" t="n">
        <v>2</v>
      </c>
      <c r="AE1812" t="n">
        <v>5</v>
      </c>
      <c r="AF1812" t="n">
        <v>7</v>
      </c>
      <c r="AG1812" t="n">
        <v>17</v>
      </c>
      <c r="AH1812" t="n">
        <v>4</v>
      </c>
      <c r="AI1812" t="n">
        <v>7</v>
      </c>
      <c r="AJ1812" t="n">
        <v>1</v>
      </c>
      <c r="AK1812" t="n">
        <v>4</v>
      </c>
      <c r="AL1812" t="n">
        <v>4</v>
      </c>
      <c r="AM1812" t="n">
        <v>9</v>
      </c>
      <c r="AN1812" t="n">
        <v>0</v>
      </c>
      <c r="AO1812" t="n">
        <v>2</v>
      </c>
      <c r="AP1812" t="n">
        <v>0</v>
      </c>
      <c r="AQ1812" t="n">
        <v>0</v>
      </c>
      <c r="AR1812" t="inlineStr">
        <is>
          <t>No</t>
        </is>
      </c>
      <c r="AS1812" t="inlineStr">
        <is>
          <t>Yes</t>
        </is>
      </c>
      <c r="AT1812">
        <f>HYPERLINK("http://catalog.hathitrust.org/Record/003332602","HathiTrust Record")</f>
        <v/>
      </c>
      <c r="AU1812">
        <f>HYPERLINK("https://creighton-primo.hosted.exlibrisgroup.com/primo-explore/search?tab=default_tab&amp;search_scope=EVERYTHING&amp;vid=01CRU&amp;lang=en_US&amp;offset=0&amp;query=any,contains,991000503449702656","Catalog Record")</f>
        <v/>
      </c>
      <c r="AV1812">
        <f>HYPERLINK("http://www.worldcat.org/oclc/41137977","WorldCat Record")</f>
        <v/>
      </c>
      <c r="AW1812" t="inlineStr">
        <is>
          <t>1265463:eng</t>
        </is>
      </c>
      <c r="AX1812" t="inlineStr">
        <is>
          <t>41137977</t>
        </is>
      </c>
      <c r="AY1812" t="inlineStr">
        <is>
          <t>991000503449702656</t>
        </is>
      </c>
      <c r="AZ1812" t="inlineStr">
        <is>
          <t>991000503449702656</t>
        </is>
      </c>
      <c r="BA1812" t="inlineStr">
        <is>
          <t>2265153650002656</t>
        </is>
      </c>
      <c r="BB1812" t="inlineStr">
        <is>
          <t>BOOK</t>
        </is>
      </c>
      <c r="BD1812" t="inlineStr">
        <is>
          <t>9780815120995</t>
        </is>
      </c>
      <c r="BE1812" t="inlineStr">
        <is>
          <t>30001004074805</t>
        </is>
      </c>
      <c r="BF1812" t="inlineStr">
        <is>
          <t>893629894</t>
        </is>
      </c>
    </row>
    <row r="1813">
      <c r="A1813" t="inlineStr">
        <is>
          <t>No</t>
        </is>
      </c>
      <c r="B1813" t="inlineStr">
        <is>
          <t>CUHSL</t>
        </is>
      </c>
      <c r="C1813" t="inlineStr">
        <is>
          <t>SHELVES</t>
        </is>
      </c>
      <c r="D1813" t="inlineStr">
        <is>
          <t>WY164 R454 2005</t>
        </is>
      </c>
      <c r="E1813" t="inlineStr">
        <is>
          <t>0                      WY 0164000R  454         2005</t>
        </is>
      </c>
      <c r="F1813" t="inlineStr">
        <is>
          <t>Review of hemodialysis for nurses and dialysis personnel / Judith Z. Kallenbach ... [et al.].</t>
        </is>
      </c>
      <c r="H1813" t="inlineStr">
        <is>
          <t>No</t>
        </is>
      </c>
      <c r="I1813" t="inlineStr">
        <is>
          <t>1</t>
        </is>
      </c>
      <c r="J1813" t="inlineStr">
        <is>
          <t>No</t>
        </is>
      </c>
      <c r="K1813" t="inlineStr">
        <is>
          <t>No</t>
        </is>
      </c>
      <c r="L1813" t="inlineStr">
        <is>
          <t>0</t>
        </is>
      </c>
      <c r="N1813" t="inlineStr">
        <is>
          <t>St. Louis, Mo. : Elsevier Mosby, 2005.</t>
        </is>
      </c>
      <c r="O1813" t="inlineStr">
        <is>
          <t>2005</t>
        </is>
      </c>
      <c r="P1813" t="inlineStr">
        <is>
          <t>7th ed.</t>
        </is>
      </c>
      <c r="Q1813" t="inlineStr">
        <is>
          <t>eng</t>
        </is>
      </c>
      <c r="R1813" t="inlineStr">
        <is>
          <t>mou</t>
        </is>
      </c>
      <c r="T1813" t="inlineStr">
        <is>
          <t xml:space="preserve">WY </t>
        </is>
      </c>
      <c r="U1813" t="n">
        <v>0</v>
      </c>
      <c r="V1813" t="n">
        <v>0</v>
      </c>
      <c r="W1813" t="inlineStr">
        <is>
          <t>2006-02-07</t>
        </is>
      </c>
      <c r="X1813" t="inlineStr">
        <is>
          <t>2006-02-07</t>
        </is>
      </c>
      <c r="Y1813" t="inlineStr">
        <is>
          <t>2006-01-26</t>
        </is>
      </c>
      <c r="Z1813" t="inlineStr">
        <is>
          <t>2006-01-26</t>
        </is>
      </c>
      <c r="AA1813" t="n">
        <v>293</v>
      </c>
      <c r="AB1813" t="n">
        <v>213</v>
      </c>
      <c r="AC1813" t="n">
        <v>382</v>
      </c>
      <c r="AD1813" t="n">
        <v>2</v>
      </c>
      <c r="AE1813" t="n">
        <v>2</v>
      </c>
      <c r="AF1813" t="n">
        <v>9</v>
      </c>
      <c r="AG1813" t="n">
        <v>12</v>
      </c>
      <c r="AH1813" t="n">
        <v>3</v>
      </c>
      <c r="AI1813" t="n">
        <v>3</v>
      </c>
      <c r="AJ1813" t="n">
        <v>3</v>
      </c>
      <c r="AK1813" t="n">
        <v>5</v>
      </c>
      <c r="AL1813" t="n">
        <v>5</v>
      </c>
      <c r="AM1813" t="n">
        <v>7</v>
      </c>
      <c r="AN1813" t="n">
        <v>1</v>
      </c>
      <c r="AO1813" t="n">
        <v>1</v>
      </c>
      <c r="AP1813" t="n">
        <v>0</v>
      </c>
      <c r="AQ1813" t="n">
        <v>0</v>
      </c>
      <c r="AR1813" t="inlineStr">
        <is>
          <t>No</t>
        </is>
      </c>
      <c r="AS1813" t="inlineStr">
        <is>
          <t>Yes</t>
        </is>
      </c>
      <c r="AT1813">
        <f>HYPERLINK("http://catalog.hathitrust.org/Record/004995202","HathiTrust Record")</f>
        <v/>
      </c>
      <c r="AU1813">
        <f>HYPERLINK("https://creighton-primo.hosted.exlibrisgroup.com/primo-explore/search?tab=default_tab&amp;search_scope=EVERYTHING&amp;vid=01CRU&amp;lang=en_US&amp;offset=0&amp;query=any,contains,991000458579702656","Catalog Record")</f>
        <v/>
      </c>
      <c r="AV1813">
        <f>HYPERLINK("http://www.worldcat.org/oclc/58454283","WorldCat Record")</f>
        <v/>
      </c>
      <c r="AW1813" t="inlineStr">
        <is>
          <t>2558890449:eng</t>
        </is>
      </c>
      <c r="AX1813" t="inlineStr">
        <is>
          <t>58454283</t>
        </is>
      </c>
      <c r="AY1813" t="inlineStr">
        <is>
          <t>991000458579702656</t>
        </is>
      </c>
      <c r="AZ1813" t="inlineStr">
        <is>
          <t>991000458579702656</t>
        </is>
      </c>
      <c r="BA1813" t="inlineStr">
        <is>
          <t>2266399940002656</t>
        </is>
      </c>
      <c r="BB1813" t="inlineStr">
        <is>
          <t>BOOK</t>
        </is>
      </c>
      <c r="BD1813" t="inlineStr">
        <is>
          <t>9780323028714</t>
        </is>
      </c>
      <c r="BE1813" t="inlineStr">
        <is>
          <t>30001004912202</t>
        </is>
      </c>
      <c r="BF1813" t="inlineStr">
        <is>
          <t>893737373</t>
        </is>
      </c>
    </row>
    <row r="1814">
      <c r="A1814" t="inlineStr">
        <is>
          <t>No</t>
        </is>
      </c>
      <c r="B1814" t="inlineStr">
        <is>
          <t>CUHSL</t>
        </is>
      </c>
      <c r="C1814" t="inlineStr">
        <is>
          <t>SHELVES</t>
        </is>
      </c>
      <c r="D1814" t="inlineStr">
        <is>
          <t>WY 164 U76 1991</t>
        </is>
      </c>
      <c r="E1814" t="inlineStr">
        <is>
          <t>0                      WY 0164000U  76          1991</t>
        </is>
      </c>
      <c r="F1814" t="inlineStr">
        <is>
          <t>Urinary and fecal incontinence : nursing management / edited by Dorothy B. Doughty ; coordinated with assistance from the International Association for Enterostomal Therapy.</t>
        </is>
      </c>
      <c r="H1814" t="inlineStr">
        <is>
          <t>No</t>
        </is>
      </c>
      <c r="I1814" t="inlineStr">
        <is>
          <t>1</t>
        </is>
      </c>
      <c r="J1814" t="inlineStr">
        <is>
          <t>No</t>
        </is>
      </c>
      <c r="K1814" t="inlineStr">
        <is>
          <t>No</t>
        </is>
      </c>
      <c r="L1814" t="inlineStr">
        <is>
          <t>0</t>
        </is>
      </c>
      <c r="N1814" t="inlineStr">
        <is>
          <t>St. Louis : Mosby-Year Book, c1991.</t>
        </is>
      </c>
      <c r="O1814" t="inlineStr">
        <is>
          <t>1991</t>
        </is>
      </c>
      <c r="Q1814" t="inlineStr">
        <is>
          <t>eng</t>
        </is>
      </c>
      <c r="R1814" t="inlineStr">
        <is>
          <t>mou</t>
        </is>
      </c>
      <c r="T1814" t="inlineStr">
        <is>
          <t xml:space="preserve">WY </t>
        </is>
      </c>
      <c r="U1814" t="n">
        <v>8</v>
      </c>
      <c r="V1814" t="n">
        <v>8</v>
      </c>
      <c r="W1814" t="inlineStr">
        <is>
          <t>2000-04-16</t>
        </is>
      </c>
      <c r="X1814" t="inlineStr">
        <is>
          <t>2000-04-16</t>
        </is>
      </c>
      <c r="Y1814" t="inlineStr">
        <is>
          <t>1991-09-17</t>
        </is>
      </c>
      <c r="Z1814" t="inlineStr">
        <is>
          <t>1991-09-17</t>
        </is>
      </c>
      <c r="AA1814" t="n">
        <v>266</v>
      </c>
      <c r="AB1814" t="n">
        <v>217</v>
      </c>
      <c r="AC1814" t="n">
        <v>356</v>
      </c>
      <c r="AD1814" t="n">
        <v>2</v>
      </c>
      <c r="AE1814" t="n">
        <v>2</v>
      </c>
      <c r="AF1814" t="n">
        <v>8</v>
      </c>
      <c r="AG1814" t="n">
        <v>10</v>
      </c>
      <c r="AH1814" t="n">
        <v>3</v>
      </c>
      <c r="AI1814" t="n">
        <v>5</v>
      </c>
      <c r="AJ1814" t="n">
        <v>3</v>
      </c>
      <c r="AK1814" t="n">
        <v>3</v>
      </c>
      <c r="AL1814" t="n">
        <v>6</v>
      </c>
      <c r="AM1814" t="n">
        <v>6</v>
      </c>
      <c r="AN1814" t="n">
        <v>0</v>
      </c>
      <c r="AO1814" t="n">
        <v>0</v>
      </c>
      <c r="AP1814" t="n">
        <v>0</v>
      </c>
      <c r="AQ1814" t="n">
        <v>0</v>
      </c>
      <c r="AR1814" t="inlineStr">
        <is>
          <t>No</t>
        </is>
      </c>
      <c r="AS1814" t="inlineStr">
        <is>
          <t>Yes</t>
        </is>
      </c>
      <c r="AT1814">
        <f>HYPERLINK("http://catalog.hathitrust.org/Record/002482103","HathiTrust Record")</f>
        <v/>
      </c>
      <c r="AU1814">
        <f>HYPERLINK("https://creighton-primo.hosted.exlibrisgroup.com/primo-explore/search?tab=default_tab&amp;search_scope=EVERYTHING&amp;vid=01CRU&amp;lang=en_US&amp;offset=0&amp;query=any,contains,991001014869702656","Catalog Record")</f>
        <v/>
      </c>
      <c r="AV1814">
        <f>HYPERLINK("http://www.worldcat.org/oclc/23356893","WorldCat Record")</f>
        <v/>
      </c>
      <c r="AW1814" t="inlineStr">
        <is>
          <t>837052454:eng</t>
        </is>
      </c>
      <c r="AX1814" t="inlineStr">
        <is>
          <t>23356893</t>
        </is>
      </c>
      <c r="AY1814" t="inlineStr">
        <is>
          <t>991001014869702656</t>
        </is>
      </c>
      <c r="AZ1814" t="inlineStr">
        <is>
          <t>991001014869702656</t>
        </is>
      </c>
      <c r="BA1814" t="inlineStr">
        <is>
          <t>2257132520002656</t>
        </is>
      </c>
      <c r="BB1814" t="inlineStr">
        <is>
          <t>BOOK</t>
        </is>
      </c>
      <c r="BD1814" t="inlineStr">
        <is>
          <t>9780801614446</t>
        </is>
      </c>
      <c r="BE1814" t="inlineStr">
        <is>
          <t>30001002240523</t>
        </is>
      </c>
      <c r="BF1814" t="inlineStr">
        <is>
          <t>893121107</t>
        </is>
      </c>
    </row>
    <row r="1815">
      <c r="A1815" t="inlineStr">
        <is>
          <t>No</t>
        </is>
      </c>
      <c r="B1815" t="inlineStr">
        <is>
          <t>CUHSL</t>
        </is>
      </c>
      <c r="C1815" t="inlineStr">
        <is>
          <t>SHELVES</t>
        </is>
      </c>
      <c r="D1815" t="inlineStr">
        <is>
          <t>WY 193 L435m 1971</t>
        </is>
      </c>
      <c r="E1815" t="inlineStr">
        <is>
          <t>0                      WY 0193000L  435m        1971</t>
        </is>
      </c>
      <c r="F1815" t="inlineStr">
        <is>
          <t>A manual of simple nursing procedures / Mary J. Leake.</t>
        </is>
      </c>
      <c r="H1815" t="inlineStr">
        <is>
          <t>No</t>
        </is>
      </c>
      <c r="I1815" t="inlineStr">
        <is>
          <t>1</t>
        </is>
      </c>
      <c r="J1815" t="inlineStr">
        <is>
          <t>No</t>
        </is>
      </c>
      <c r="K1815" t="inlineStr">
        <is>
          <t>No</t>
        </is>
      </c>
      <c r="L1815" t="inlineStr">
        <is>
          <t>0</t>
        </is>
      </c>
      <c r="M1815" t="inlineStr">
        <is>
          <t>Leake, Mary J.</t>
        </is>
      </c>
      <c r="N1815" t="inlineStr">
        <is>
          <t>Philadelphia, PA : Saunders, 1971.</t>
        </is>
      </c>
      <c r="O1815" t="inlineStr">
        <is>
          <t>1971</t>
        </is>
      </c>
      <c r="P1815" t="inlineStr">
        <is>
          <t>5th ed.</t>
        </is>
      </c>
      <c r="Q1815" t="inlineStr">
        <is>
          <t>eng</t>
        </is>
      </c>
      <c r="R1815" t="inlineStr">
        <is>
          <t>pau</t>
        </is>
      </c>
      <c r="T1815" t="inlineStr">
        <is>
          <t xml:space="preserve">WY </t>
        </is>
      </c>
      <c r="U1815" t="n">
        <v>2</v>
      </c>
      <c r="V1815" t="n">
        <v>2</v>
      </c>
      <c r="W1815" t="inlineStr">
        <is>
          <t>1992-06-02</t>
        </is>
      </c>
      <c r="X1815" t="inlineStr">
        <is>
          <t>1992-06-02</t>
        </is>
      </c>
      <c r="Y1815" t="inlineStr">
        <is>
          <t>1988-02-11</t>
        </is>
      </c>
      <c r="Z1815" t="inlineStr">
        <is>
          <t>1988-02-11</t>
        </is>
      </c>
      <c r="AA1815" t="n">
        <v>127</v>
      </c>
      <c r="AB1815" t="n">
        <v>98</v>
      </c>
      <c r="AC1815" t="n">
        <v>165</v>
      </c>
      <c r="AD1815" t="n">
        <v>1</v>
      </c>
      <c r="AE1815" t="n">
        <v>2</v>
      </c>
      <c r="AF1815" t="n">
        <v>0</v>
      </c>
      <c r="AG1815" t="n">
        <v>3</v>
      </c>
      <c r="AH1815" t="n">
        <v>0</v>
      </c>
      <c r="AI1815" t="n">
        <v>0</v>
      </c>
      <c r="AJ1815" t="n">
        <v>0</v>
      </c>
      <c r="AK1815" t="n">
        <v>1</v>
      </c>
      <c r="AL1815" t="n">
        <v>0</v>
      </c>
      <c r="AM1815" t="n">
        <v>1</v>
      </c>
      <c r="AN1815" t="n">
        <v>0</v>
      </c>
      <c r="AO1815" t="n">
        <v>1</v>
      </c>
      <c r="AP1815" t="n">
        <v>0</v>
      </c>
      <c r="AQ1815" t="n">
        <v>0</v>
      </c>
      <c r="AR1815" t="inlineStr">
        <is>
          <t>No</t>
        </is>
      </c>
      <c r="AS1815" t="inlineStr">
        <is>
          <t>Yes</t>
        </is>
      </c>
      <c r="AT1815">
        <f>HYPERLINK("http://catalog.hathitrust.org/Record/001574365","HathiTrust Record")</f>
        <v/>
      </c>
      <c r="AU1815">
        <f>HYPERLINK("https://creighton-primo.hosted.exlibrisgroup.com/primo-explore/search?tab=default_tab&amp;search_scope=EVERYTHING&amp;vid=01CRU&amp;lang=en_US&amp;offset=0&amp;query=any,contains,991000929279702656","Catalog Record")</f>
        <v/>
      </c>
      <c r="AV1815">
        <f>HYPERLINK("http://www.worldcat.org/oclc/145796","WorldCat Record")</f>
        <v/>
      </c>
      <c r="AW1815" t="inlineStr">
        <is>
          <t>170781281:eng</t>
        </is>
      </c>
      <c r="AX1815" t="inlineStr">
        <is>
          <t>145796</t>
        </is>
      </c>
      <c r="AY1815" t="inlineStr">
        <is>
          <t>991000929279702656</t>
        </is>
      </c>
      <c r="AZ1815" t="inlineStr">
        <is>
          <t>991000929279702656</t>
        </is>
      </c>
      <c r="BA1815" t="inlineStr">
        <is>
          <t>2258125850002656</t>
        </is>
      </c>
      <c r="BB1815" t="inlineStr">
        <is>
          <t>BOOK</t>
        </is>
      </c>
      <c r="BD1815" t="inlineStr">
        <is>
          <t>9780721656625</t>
        </is>
      </c>
      <c r="BE1815" t="inlineStr">
        <is>
          <t>30001000184756</t>
        </is>
      </c>
      <c r="BF1815" t="inlineStr">
        <is>
          <t>893284152</t>
        </is>
      </c>
    </row>
    <row r="1816">
      <c r="A1816" t="inlineStr">
        <is>
          <t>No</t>
        </is>
      </c>
      <c r="B1816" t="inlineStr">
        <is>
          <t>CUHSL</t>
        </is>
      </c>
      <c r="C1816" t="inlineStr">
        <is>
          <t>SHELVES</t>
        </is>
      </c>
      <c r="D1816" t="inlineStr">
        <is>
          <t>WY 193 S361b 1982</t>
        </is>
      </c>
      <c r="E1816" t="inlineStr">
        <is>
          <t>0                      WY 0193000S  361b        1982</t>
        </is>
      </c>
      <c r="F1816" t="inlineStr">
        <is>
          <t>Being a nursing assistant / Rose B. Schniedman, Lambert, Barbara Wander.</t>
        </is>
      </c>
      <c r="H1816" t="inlineStr">
        <is>
          <t>No</t>
        </is>
      </c>
      <c r="I1816" t="inlineStr">
        <is>
          <t>1</t>
        </is>
      </c>
      <c r="J1816" t="inlineStr">
        <is>
          <t>No</t>
        </is>
      </c>
      <c r="K1816" t="inlineStr">
        <is>
          <t>No</t>
        </is>
      </c>
      <c r="L1816" t="inlineStr">
        <is>
          <t>0</t>
        </is>
      </c>
      <c r="M1816" t="inlineStr">
        <is>
          <t>Schniedman, Rose B.</t>
        </is>
      </c>
      <c r="N1816" t="inlineStr">
        <is>
          <t>Bowie, Md. : Brady, c1982.</t>
        </is>
      </c>
      <c r="O1816" t="inlineStr">
        <is>
          <t>1982</t>
        </is>
      </c>
      <c r="P1816" t="inlineStr">
        <is>
          <t>3rd ed.</t>
        </is>
      </c>
      <c r="Q1816" t="inlineStr">
        <is>
          <t>eng</t>
        </is>
      </c>
      <c r="R1816" t="inlineStr">
        <is>
          <t>xxu</t>
        </is>
      </c>
      <c r="T1816" t="inlineStr">
        <is>
          <t xml:space="preserve">WY </t>
        </is>
      </c>
      <c r="U1816" t="n">
        <v>6</v>
      </c>
      <c r="V1816" t="n">
        <v>6</v>
      </c>
      <c r="W1816" t="inlineStr">
        <is>
          <t>1991-04-19</t>
        </is>
      </c>
      <c r="X1816" t="inlineStr">
        <is>
          <t>1991-04-19</t>
        </is>
      </c>
      <c r="Y1816" t="inlineStr">
        <is>
          <t>1987-12-29</t>
        </is>
      </c>
      <c r="Z1816" t="inlineStr">
        <is>
          <t>1987-12-29</t>
        </is>
      </c>
      <c r="AA1816" t="n">
        <v>18</v>
      </c>
      <c r="AB1816" t="n">
        <v>18</v>
      </c>
      <c r="AC1816" t="n">
        <v>234</v>
      </c>
      <c r="AD1816" t="n">
        <v>1</v>
      </c>
      <c r="AE1816" t="n">
        <v>1</v>
      </c>
      <c r="AF1816" t="n">
        <v>0</v>
      </c>
      <c r="AG1816" t="n">
        <v>2</v>
      </c>
      <c r="AH1816" t="n">
        <v>0</v>
      </c>
      <c r="AI1816" t="n">
        <v>0</v>
      </c>
      <c r="AJ1816" t="n">
        <v>0</v>
      </c>
      <c r="AK1816" t="n">
        <v>0</v>
      </c>
      <c r="AL1816" t="n">
        <v>0</v>
      </c>
      <c r="AM1816" t="n">
        <v>2</v>
      </c>
      <c r="AN1816" t="n">
        <v>0</v>
      </c>
      <c r="AO1816" t="n">
        <v>0</v>
      </c>
      <c r="AP1816" t="n">
        <v>0</v>
      </c>
      <c r="AQ1816" t="n">
        <v>0</v>
      </c>
      <c r="AR1816" t="inlineStr">
        <is>
          <t>No</t>
        </is>
      </c>
      <c r="AS1816" t="inlineStr">
        <is>
          <t>No</t>
        </is>
      </c>
      <c r="AU1816">
        <f>HYPERLINK("https://creighton-primo.hosted.exlibrisgroup.com/primo-explore/search?tab=default_tab&amp;search_scope=EVERYTHING&amp;vid=01CRU&amp;lang=en_US&amp;offset=0&amp;query=any,contains,991000929539702656","Catalog Record")</f>
        <v/>
      </c>
      <c r="AV1816">
        <f>HYPERLINK("http://www.worldcat.org/oclc/7739267","WorldCat Record")</f>
        <v/>
      </c>
      <c r="AW1816" t="inlineStr">
        <is>
          <t>5176669:eng</t>
        </is>
      </c>
      <c r="AX1816" t="inlineStr">
        <is>
          <t>7739267</t>
        </is>
      </c>
      <c r="AY1816" t="inlineStr">
        <is>
          <t>991000929539702656</t>
        </is>
      </c>
      <c r="AZ1816" t="inlineStr">
        <is>
          <t>991000929539702656</t>
        </is>
      </c>
      <c r="BA1816" t="inlineStr">
        <is>
          <t>2258616320002656</t>
        </is>
      </c>
      <c r="BB1816" t="inlineStr">
        <is>
          <t>BOOK</t>
        </is>
      </c>
      <c r="BD1816" t="inlineStr">
        <is>
          <t>9780893030278</t>
        </is>
      </c>
      <c r="BE1816" t="inlineStr">
        <is>
          <t>30001000184806</t>
        </is>
      </c>
      <c r="BF1816" t="inlineStr">
        <is>
          <t>893121026</t>
        </is>
      </c>
    </row>
    <row r="1817">
      <c r="A1817" t="inlineStr">
        <is>
          <t>No</t>
        </is>
      </c>
      <c r="B1817" t="inlineStr">
        <is>
          <t>CUHSL</t>
        </is>
      </c>
      <c r="C1817" t="inlineStr">
        <is>
          <t>SHELVES</t>
        </is>
      </c>
      <c r="D1817" t="inlineStr">
        <is>
          <t>WY193 S714ma 2003</t>
        </is>
      </c>
      <c r="E1817" t="inlineStr">
        <is>
          <t>0                      WY 0193000S  714ma       2003</t>
        </is>
      </c>
      <c r="F1817" t="inlineStr">
        <is>
          <t>Mosby's textbook for long-term care assistants / Sheila A. Sorrentino, Bernie Gorek.</t>
        </is>
      </c>
      <c r="H1817" t="inlineStr">
        <is>
          <t>No</t>
        </is>
      </c>
      <c r="I1817" t="inlineStr">
        <is>
          <t>1</t>
        </is>
      </c>
      <c r="J1817" t="inlineStr">
        <is>
          <t>No</t>
        </is>
      </c>
      <c r="K1817" t="inlineStr">
        <is>
          <t>No</t>
        </is>
      </c>
      <c r="L1817" t="inlineStr">
        <is>
          <t>0</t>
        </is>
      </c>
      <c r="M1817" t="inlineStr">
        <is>
          <t>Sorrentino, Sheila A.</t>
        </is>
      </c>
      <c r="N1817" t="inlineStr">
        <is>
          <t>St. Louis : Mosby, c2003.</t>
        </is>
      </c>
      <c r="O1817" t="inlineStr">
        <is>
          <t>2003</t>
        </is>
      </c>
      <c r="P1817" t="inlineStr">
        <is>
          <t>4th ed.</t>
        </is>
      </c>
      <c r="Q1817" t="inlineStr">
        <is>
          <t>eng</t>
        </is>
      </c>
      <c r="R1817" t="inlineStr">
        <is>
          <t>miu</t>
        </is>
      </c>
      <c r="T1817" t="inlineStr">
        <is>
          <t xml:space="preserve">WY </t>
        </is>
      </c>
      <c r="U1817" t="n">
        <v>0</v>
      </c>
      <c r="V1817" t="n">
        <v>0</v>
      </c>
      <c r="W1817" t="inlineStr">
        <is>
          <t>2003-04-27</t>
        </is>
      </c>
      <c r="X1817" t="inlineStr">
        <is>
          <t>2003-04-27</t>
        </is>
      </c>
      <c r="Y1817" t="inlineStr">
        <is>
          <t>2003-04-25</t>
        </is>
      </c>
      <c r="Z1817" t="inlineStr">
        <is>
          <t>2003-04-25</t>
        </is>
      </c>
      <c r="AA1817" t="n">
        <v>155</v>
      </c>
      <c r="AB1817" t="n">
        <v>123</v>
      </c>
      <c r="AC1817" t="n">
        <v>301</v>
      </c>
      <c r="AD1817" t="n">
        <v>1</v>
      </c>
      <c r="AE1817" t="n">
        <v>2</v>
      </c>
      <c r="AF1817" t="n">
        <v>5</v>
      </c>
      <c r="AG1817" t="n">
        <v>6</v>
      </c>
      <c r="AH1817" t="n">
        <v>3</v>
      </c>
      <c r="AI1817" t="n">
        <v>3</v>
      </c>
      <c r="AJ1817" t="n">
        <v>0</v>
      </c>
      <c r="AK1817" t="n">
        <v>0</v>
      </c>
      <c r="AL1817" t="n">
        <v>2</v>
      </c>
      <c r="AM1817" t="n">
        <v>3</v>
      </c>
      <c r="AN1817" t="n">
        <v>0</v>
      </c>
      <c r="AO1817" t="n">
        <v>0</v>
      </c>
      <c r="AP1817" t="n">
        <v>0</v>
      </c>
      <c r="AQ1817" t="n">
        <v>0</v>
      </c>
      <c r="AR1817" t="inlineStr">
        <is>
          <t>No</t>
        </is>
      </c>
      <c r="AS1817" t="inlineStr">
        <is>
          <t>Yes</t>
        </is>
      </c>
      <c r="AT1817">
        <f>HYPERLINK("http://catalog.hathitrust.org/Record/004310007","HathiTrust Record")</f>
        <v/>
      </c>
      <c r="AU1817">
        <f>HYPERLINK("https://creighton-primo.hosted.exlibrisgroup.com/primo-explore/search?tab=default_tab&amp;search_scope=EVERYTHING&amp;vid=01CRU&amp;lang=en_US&amp;offset=0&amp;query=any,contains,991000345719702656","Catalog Record")</f>
        <v/>
      </c>
      <c r="AV1817">
        <f>HYPERLINK("http://www.worldcat.org/oclc/51685587","WorldCat Record")</f>
        <v/>
      </c>
      <c r="AW1817" t="inlineStr">
        <is>
          <t>3805405107:eng</t>
        </is>
      </c>
      <c r="AX1817" t="inlineStr">
        <is>
          <t>51685587</t>
        </is>
      </c>
      <c r="AY1817" t="inlineStr">
        <is>
          <t>991000345719702656</t>
        </is>
      </c>
      <c r="AZ1817" t="inlineStr">
        <is>
          <t>991000345719702656</t>
        </is>
      </c>
      <c r="BA1817" t="inlineStr">
        <is>
          <t>2258460570002656</t>
        </is>
      </c>
      <c r="BB1817" t="inlineStr">
        <is>
          <t>BOOK</t>
        </is>
      </c>
      <c r="BD1817" t="inlineStr">
        <is>
          <t>9780323019194</t>
        </is>
      </c>
      <c r="BE1817" t="inlineStr">
        <is>
          <t>30001004504173</t>
        </is>
      </c>
      <c r="BF1817" t="inlineStr">
        <is>
          <t>893547728</t>
        </is>
      </c>
    </row>
    <row r="1818">
      <c r="A1818" t="inlineStr">
        <is>
          <t>No</t>
        </is>
      </c>
      <c r="B1818" t="inlineStr">
        <is>
          <t>CUHSL</t>
        </is>
      </c>
      <c r="C1818" t="inlineStr">
        <is>
          <t>SHELVES</t>
        </is>
      </c>
      <c r="D1818" t="inlineStr">
        <is>
          <t>WY 195 C736 1979</t>
        </is>
      </c>
      <c r="E1818" t="inlineStr">
        <is>
          <t>0                      WY 0195000C  736         1979</t>
        </is>
      </c>
      <c r="F1818" t="inlineStr">
        <is>
          <t>Competencies of graduates of educational programs in practical nursing.</t>
        </is>
      </c>
      <c r="H1818" t="inlineStr">
        <is>
          <t>No</t>
        </is>
      </c>
      <c r="I1818" t="inlineStr">
        <is>
          <t>1</t>
        </is>
      </c>
      <c r="J1818" t="inlineStr">
        <is>
          <t>No</t>
        </is>
      </c>
      <c r="K1818" t="inlineStr">
        <is>
          <t>No</t>
        </is>
      </c>
      <c r="L1818" t="inlineStr">
        <is>
          <t>0</t>
        </is>
      </c>
      <c r="N1818" t="inlineStr">
        <is>
          <t>New York : Division of Practical Nursing Programs, National League of Nursing, c1979.</t>
        </is>
      </c>
      <c r="O1818" t="inlineStr">
        <is>
          <t>1979</t>
        </is>
      </c>
      <c r="Q1818" t="inlineStr">
        <is>
          <t>eng</t>
        </is>
      </c>
      <c r="R1818" t="inlineStr">
        <is>
          <t>nyu</t>
        </is>
      </c>
      <c r="S1818" t="inlineStr">
        <is>
          <t>NLN pub. no. 38-1686</t>
        </is>
      </c>
      <c r="T1818" t="inlineStr">
        <is>
          <t xml:space="preserve">WY </t>
        </is>
      </c>
      <c r="U1818" t="n">
        <v>2</v>
      </c>
      <c r="V1818" t="n">
        <v>2</v>
      </c>
      <c r="W1818" t="inlineStr">
        <is>
          <t>1990-09-12</t>
        </is>
      </c>
      <c r="X1818" t="inlineStr">
        <is>
          <t>1990-09-12</t>
        </is>
      </c>
      <c r="Y1818" t="inlineStr">
        <is>
          <t>1987-11-12</t>
        </is>
      </c>
      <c r="Z1818" t="inlineStr">
        <is>
          <t>1987-11-12</t>
        </is>
      </c>
      <c r="AA1818" t="n">
        <v>59</v>
      </c>
      <c r="AB1818" t="n">
        <v>51</v>
      </c>
      <c r="AC1818" t="n">
        <v>59</v>
      </c>
      <c r="AD1818" t="n">
        <v>1</v>
      </c>
      <c r="AE1818" t="n">
        <v>1</v>
      </c>
      <c r="AF1818" t="n">
        <v>2</v>
      </c>
      <c r="AG1818" t="n">
        <v>2</v>
      </c>
      <c r="AH1818" t="n">
        <v>0</v>
      </c>
      <c r="AI1818" t="n">
        <v>0</v>
      </c>
      <c r="AJ1818" t="n">
        <v>0</v>
      </c>
      <c r="AK1818" t="n">
        <v>0</v>
      </c>
      <c r="AL1818" t="n">
        <v>2</v>
      </c>
      <c r="AM1818" t="n">
        <v>2</v>
      </c>
      <c r="AN1818" t="n">
        <v>0</v>
      </c>
      <c r="AO1818" t="n">
        <v>0</v>
      </c>
      <c r="AP1818" t="n">
        <v>0</v>
      </c>
      <c r="AQ1818" t="n">
        <v>0</v>
      </c>
      <c r="AR1818" t="inlineStr">
        <is>
          <t>No</t>
        </is>
      </c>
      <c r="AS1818" t="inlineStr">
        <is>
          <t>No</t>
        </is>
      </c>
      <c r="AU1818">
        <f>HYPERLINK("https://creighton-primo.hosted.exlibrisgroup.com/primo-explore/search?tab=default_tab&amp;search_scope=EVERYTHING&amp;vid=01CRU&amp;lang=en_US&amp;offset=0&amp;query=any,contains,991001389699702656","Catalog Record")</f>
        <v/>
      </c>
      <c r="AV1818">
        <f>HYPERLINK("http://www.worldcat.org/oclc/5726334","WorldCat Record")</f>
        <v/>
      </c>
      <c r="AW1818" t="inlineStr">
        <is>
          <t>19890907:eng</t>
        </is>
      </c>
      <c r="AX1818" t="inlineStr">
        <is>
          <t>5726334</t>
        </is>
      </c>
      <c r="AY1818" t="inlineStr">
        <is>
          <t>991001389699702656</t>
        </is>
      </c>
      <c r="AZ1818" t="inlineStr">
        <is>
          <t>991001389699702656</t>
        </is>
      </c>
      <c r="BA1818" t="inlineStr">
        <is>
          <t>2271935070002656</t>
        </is>
      </c>
      <c r="BB1818" t="inlineStr">
        <is>
          <t>BOOK</t>
        </is>
      </c>
      <c r="BE1818" t="inlineStr">
        <is>
          <t>30001000464703</t>
        </is>
      </c>
      <c r="BF1818" t="inlineStr">
        <is>
          <t>893731970</t>
        </is>
      </c>
    </row>
    <row r="1819">
      <c r="A1819" t="inlineStr">
        <is>
          <t>No</t>
        </is>
      </c>
      <c r="B1819" t="inlineStr">
        <is>
          <t>CUHSL</t>
        </is>
      </c>
      <c r="C1819" t="inlineStr">
        <is>
          <t>SHELVES</t>
        </is>
      </c>
      <c r="D1819" t="inlineStr">
        <is>
          <t>WY 195 H699s 1981</t>
        </is>
      </c>
      <c r="E1819" t="inlineStr">
        <is>
          <t>0                      WY 0195000H  699s        1981</t>
        </is>
      </c>
      <c r="F1819" t="inlineStr">
        <is>
          <t>Simplified nursing / Claire P. Hoffman, Gladys B. Lipkin.</t>
        </is>
      </c>
      <c r="H1819" t="inlineStr">
        <is>
          <t>No</t>
        </is>
      </c>
      <c r="I1819" t="inlineStr">
        <is>
          <t>1</t>
        </is>
      </c>
      <c r="J1819" t="inlineStr">
        <is>
          <t>No</t>
        </is>
      </c>
      <c r="K1819" t="inlineStr">
        <is>
          <t>No</t>
        </is>
      </c>
      <c r="L1819" t="inlineStr">
        <is>
          <t>0</t>
        </is>
      </c>
      <c r="M1819" t="inlineStr">
        <is>
          <t>Hoffman, Claire P.</t>
        </is>
      </c>
      <c r="N1819" t="inlineStr">
        <is>
          <t>Philadelphia : Lippincott, c1981.</t>
        </is>
      </c>
      <c r="O1819" t="inlineStr">
        <is>
          <t>1981</t>
        </is>
      </c>
      <c r="P1819" t="inlineStr">
        <is>
          <t>9th ed.</t>
        </is>
      </c>
      <c r="Q1819" t="inlineStr">
        <is>
          <t>eng</t>
        </is>
      </c>
      <c r="R1819" t="inlineStr">
        <is>
          <t>xxu</t>
        </is>
      </c>
      <c r="T1819" t="inlineStr">
        <is>
          <t xml:space="preserve">WY </t>
        </is>
      </c>
      <c r="U1819" t="n">
        <v>1</v>
      </c>
      <c r="V1819" t="n">
        <v>1</v>
      </c>
      <c r="W1819" t="inlineStr">
        <is>
          <t>2000-05-10</t>
        </is>
      </c>
      <c r="X1819" t="inlineStr">
        <is>
          <t>2000-05-10</t>
        </is>
      </c>
      <c r="Y1819" t="inlineStr">
        <is>
          <t>1987-12-29</t>
        </is>
      </c>
      <c r="Z1819" t="inlineStr">
        <is>
          <t>1987-12-29</t>
        </is>
      </c>
      <c r="AA1819" t="n">
        <v>73</v>
      </c>
      <c r="AB1819" t="n">
        <v>62</v>
      </c>
      <c r="AC1819" t="n">
        <v>123</v>
      </c>
      <c r="AD1819" t="n">
        <v>1</v>
      </c>
      <c r="AE1819" t="n">
        <v>1</v>
      </c>
      <c r="AF1819" t="n">
        <v>0</v>
      </c>
      <c r="AG1819" t="n">
        <v>0</v>
      </c>
      <c r="AH1819" t="n">
        <v>0</v>
      </c>
      <c r="AI1819" t="n">
        <v>0</v>
      </c>
      <c r="AJ1819" t="n">
        <v>0</v>
      </c>
      <c r="AK1819" t="n">
        <v>0</v>
      </c>
      <c r="AL1819" t="n">
        <v>0</v>
      </c>
      <c r="AM1819" t="n">
        <v>0</v>
      </c>
      <c r="AN1819" t="n">
        <v>0</v>
      </c>
      <c r="AO1819" t="n">
        <v>0</v>
      </c>
      <c r="AP1819" t="n">
        <v>0</v>
      </c>
      <c r="AQ1819" t="n">
        <v>0</v>
      </c>
      <c r="AR1819" t="inlineStr">
        <is>
          <t>No</t>
        </is>
      </c>
      <c r="AS1819" t="inlineStr">
        <is>
          <t>No</t>
        </is>
      </c>
      <c r="AU1819">
        <f>HYPERLINK("https://creighton-primo.hosted.exlibrisgroup.com/primo-explore/search?tab=default_tab&amp;search_scope=EVERYTHING&amp;vid=01CRU&amp;lang=en_US&amp;offset=0&amp;query=any,contains,991000929569702656","Catalog Record")</f>
        <v/>
      </c>
      <c r="AV1819">
        <f>HYPERLINK("http://www.worldcat.org/oclc/7170947","WorldCat Record")</f>
        <v/>
      </c>
      <c r="AW1819" t="inlineStr">
        <is>
          <t>1909023872:eng</t>
        </is>
      </c>
      <c r="AX1819" t="inlineStr">
        <is>
          <t>7170947</t>
        </is>
      </c>
      <c r="AY1819" t="inlineStr">
        <is>
          <t>991000929569702656</t>
        </is>
      </c>
      <c r="AZ1819" t="inlineStr">
        <is>
          <t>991000929569702656</t>
        </is>
      </c>
      <c r="BA1819" t="inlineStr">
        <is>
          <t>2266287040002656</t>
        </is>
      </c>
      <c r="BB1819" t="inlineStr">
        <is>
          <t>BOOK</t>
        </is>
      </c>
      <c r="BD1819" t="inlineStr">
        <is>
          <t>9780397542376</t>
        </is>
      </c>
      <c r="BE1819" t="inlineStr">
        <is>
          <t>30001000184814</t>
        </is>
      </c>
      <c r="BF1819" t="inlineStr">
        <is>
          <t>893731539</t>
        </is>
      </c>
    </row>
    <row r="1820">
      <c r="A1820" t="inlineStr">
        <is>
          <t>No</t>
        </is>
      </c>
      <c r="B1820" t="inlineStr">
        <is>
          <t>CUHSL</t>
        </is>
      </c>
      <c r="C1820" t="inlineStr">
        <is>
          <t>SHELVES</t>
        </is>
      </c>
      <c r="D1820" t="inlineStr">
        <is>
          <t>WY195 T469t  2003</t>
        </is>
      </c>
      <c r="E1820" t="inlineStr">
        <is>
          <t>0                      WY 0195000T  469t        2003</t>
        </is>
      </c>
      <c r="F1820" t="inlineStr">
        <is>
          <t>Textbook of basic nursing / [edited by] Caroline Bunker Rosdahl, Mary Kowalski.</t>
        </is>
      </c>
      <c r="H1820" t="inlineStr">
        <is>
          <t>No</t>
        </is>
      </c>
      <c r="I1820" t="inlineStr">
        <is>
          <t>1</t>
        </is>
      </c>
      <c r="J1820" t="inlineStr">
        <is>
          <t>No</t>
        </is>
      </c>
      <c r="K1820" t="inlineStr">
        <is>
          <t>Yes</t>
        </is>
      </c>
      <c r="L1820" t="inlineStr">
        <is>
          <t>0</t>
        </is>
      </c>
      <c r="N1820" t="inlineStr">
        <is>
          <t>Baltimore, MD : Lippincott Williams &amp; Wilkins, c2002.</t>
        </is>
      </c>
      <c r="O1820" t="inlineStr">
        <is>
          <t>2002</t>
        </is>
      </c>
      <c r="P1820" t="inlineStr">
        <is>
          <t>8th ed.</t>
        </is>
      </c>
      <c r="Q1820" t="inlineStr">
        <is>
          <t>eng</t>
        </is>
      </c>
      <c r="R1820" t="inlineStr">
        <is>
          <t>mdu</t>
        </is>
      </c>
      <c r="T1820" t="inlineStr">
        <is>
          <t xml:space="preserve">WY </t>
        </is>
      </c>
      <c r="U1820" t="n">
        <v>0</v>
      </c>
      <c r="V1820" t="n">
        <v>0</v>
      </c>
      <c r="W1820" t="inlineStr">
        <is>
          <t>2003-06-17</t>
        </is>
      </c>
      <c r="X1820" t="inlineStr">
        <is>
          <t>2003-06-17</t>
        </is>
      </c>
      <c r="Y1820" t="inlineStr">
        <is>
          <t>2003-06-16</t>
        </is>
      </c>
      <c r="Z1820" t="inlineStr">
        <is>
          <t>2003-06-16</t>
        </is>
      </c>
      <c r="AA1820" t="n">
        <v>196</v>
      </c>
      <c r="AB1820" t="n">
        <v>151</v>
      </c>
      <c r="AC1820" t="n">
        <v>559</v>
      </c>
      <c r="AD1820" t="n">
        <v>1</v>
      </c>
      <c r="AE1820" t="n">
        <v>4</v>
      </c>
      <c r="AF1820" t="n">
        <v>2</v>
      </c>
      <c r="AG1820" t="n">
        <v>10</v>
      </c>
      <c r="AH1820" t="n">
        <v>1</v>
      </c>
      <c r="AI1820" t="n">
        <v>1</v>
      </c>
      <c r="AJ1820" t="n">
        <v>0</v>
      </c>
      <c r="AK1820" t="n">
        <v>3</v>
      </c>
      <c r="AL1820" t="n">
        <v>1</v>
      </c>
      <c r="AM1820" t="n">
        <v>7</v>
      </c>
      <c r="AN1820" t="n">
        <v>0</v>
      </c>
      <c r="AO1820" t="n">
        <v>2</v>
      </c>
      <c r="AP1820" t="n">
        <v>0</v>
      </c>
      <c r="AQ1820" t="n">
        <v>0</v>
      </c>
      <c r="AR1820" t="inlineStr">
        <is>
          <t>No</t>
        </is>
      </c>
      <c r="AS1820" t="inlineStr">
        <is>
          <t>No</t>
        </is>
      </c>
      <c r="AU1820">
        <f>HYPERLINK("https://creighton-primo.hosted.exlibrisgroup.com/primo-explore/search?tab=default_tab&amp;search_scope=EVERYTHING&amp;vid=01CRU&amp;lang=en_US&amp;offset=0&amp;query=any,contains,991000351029702656","Catalog Record")</f>
        <v/>
      </c>
      <c r="AV1820">
        <f>HYPERLINK("http://www.worldcat.org/oclc/50519125","WorldCat Record")</f>
        <v/>
      </c>
      <c r="AW1820" t="inlineStr">
        <is>
          <t>4926233029:eng</t>
        </is>
      </c>
      <c r="AX1820" t="inlineStr">
        <is>
          <t>50519125</t>
        </is>
      </c>
      <c r="AY1820" t="inlineStr">
        <is>
          <t>991000351029702656</t>
        </is>
      </c>
      <c r="AZ1820" t="inlineStr">
        <is>
          <t>991000351029702656</t>
        </is>
      </c>
      <c r="BA1820" t="inlineStr">
        <is>
          <t>2272233380002656</t>
        </is>
      </c>
      <c r="BB1820" t="inlineStr">
        <is>
          <t>BOOK</t>
        </is>
      </c>
      <c r="BD1820" t="inlineStr">
        <is>
          <t>9780781734295</t>
        </is>
      </c>
      <c r="BE1820" t="inlineStr">
        <is>
          <t>30001004504835</t>
        </is>
      </c>
      <c r="BF1820" t="inlineStr">
        <is>
          <t>893447226</t>
        </is>
      </c>
    </row>
    <row r="1821">
      <c r="A1821" t="inlineStr">
        <is>
          <t>No</t>
        </is>
      </c>
      <c r="B1821" t="inlineStr">
        <is>
          <t>CUHSL</t>
        </is>
      </c>
      <c r="C1821" t="inlineStr">
        <is>
          <t>SHELVES</t>
        </is>
      </c>
      <c r="D1821" t="inlineStr">
        <is>
          <t>WY 195 T717 1984</t>
        </is>
      </c>
      <c r="E1821" t="inlineStr">
        <is>
          <t>0                      WY 0195000T  717         1984</t>
        </is>
      </c>
      <c r="F1821" t="inlineStr">
        <is>
          <t>Total patient care : foundations and practice.</t>
        </is>
      </c>
      <c r="H1821" t="inlineStr">
        <is>
          <t>No</t>
        </is>
      </c>
      <c r="I1821" t="inlineStr">
        <is>
          <t>1</t>
        </is>
      </c>
      <c r="J1821" t="inlineStr">
        <is>
          <t>No</t>
        </is>
      </c>
      <c r="K1821" t="inlineStr">
        <is>
          <t>No</t>
        </is>
      </c>
      <c r="L1821" t="inlineStr">
        <is>
          <t>0</t>
        </is>
      </c>
      <c r="N1821" t="inlineStr">
        <is>
          <t>St. Louis : Mosby, c1984.</t>
        </is>
      </c>
      <c r="O1821" t="inlineStr">
        <is>
          <t>1984</t>
        </is>
      </c>
      <c r="P1821" t="inlineStr">
        <is>
          <t>6th ed. / [edited by] Gail Harkness Hood, Judith R. Dincher.</t>
        </is>
      </c>
      <c r="Q1821" t="inlineStr">
        <is>
          <t>eng</t>
        </is>
      </c>
      <c r="R1821" t="inlineStr">
        <is>
          <t>xxu</t>
        </is>
      </c>
      <c r="T1821" t="inlineStr">
        <is>
          <t xml:space="preserve">WY </t>
        </is>
      </c>
      <c r="U1821" t="n">
        <v>1</v>
      </c>
      <c r="V1821" t="n">
        <v>1</v>
      </c>
      <c r="W1821" t="inlineStr">
        <is>
          <t>1997-11-29</t>
        </is>
      </c>
      <c r="X1821" t="inlineStr">
        <is>
          <t>1997-11-29</t>
        </is>
      </c>
      <c r="Y1821" t="inlineStr">
        <is>
          <t>1987-12-29</t>
        </is>
      </c>
      <c r="Z1821" t="inlineStr">
        <is>
          <t>1987-12-29</t>
        </is>
      </c>
      <c r="AA1821" t="n">
        <v>130</v>
      </c>
      <c r="AB1821" t="n">
        <v>108</v>
      </c>
      <c r="AC1821" t="n">
        <v>342</v>
      </c>
      <c r="AD1821" t="n">
        <v>1</v>
      </c>
      <c r="AE1821" t="n">
        <v>4</v>
      </c>
      <c r="AF1821" t="n">
        <v>1</v>
      </c>
      <c r="AG1821" t="n">
        <v>5</v>
      </c>
      <c r="AH1821" t="n">
        <v>0</v>
      </c>
      <c r="AI1821" t="n">
        <v>2</v>
      </c>
      <c r="AJ1821" t="n">
        <v>0</v>
      </c>
      <c r="AK1821" t="n">
        <v>0</v>
      </c>
      <c r="AL1821" t="n">
        <v>1</v>
      </c>
      <c r="AM1821" t="n">
        <v>1</v>
      </c>
      <c r="AN1821" t="n">
        <v>0</v>
      </c>
      <c r="AO1821" t="n">
        <v>2</v>
      </c>
      <c r="AP1821" t="n">
        <v>0</v>
      </c>
      <c r="AQ1821" t="n">
        <v>0</v>
      </c>
      <c r="AR1821" t="inlineStr">
        <is>
          <t>No</t>
        </is>
      </c>
      <c r="AS1821" t="inlineStr">
        <is>
          <t>Yes</t>
        </is>
      </c>
      <c r="AT1821">
        <f>HYPERLINK("http://catalog.hathitrust.org/Record/000167870","HathiTrust Record")</f>
        <v/>
      </c>
      <c r="AU1821">
        <f>HYPERLINK("https://creighton-primo.hosted.exlibrisgroup.com/primo-explore/search?tab=default_tab&amp;search_scope=EVERYTHING&amp;vid=01CRU&amp;lang=en_US&amp;offset=0&amp;query=any,contains,991000929809702656","Catalog Record")</f>
        <v/>
      </c>
      <c r="AV1821">
        <f>HYPERLINK("http://www.worldcat.org/oclc/9970099","WorldCat Record")</f>
        <v/>
      </c>
      <c r="AW1821" t="inlineStr">
        <is>
          <t>4924868524:eng</t>
        </is>
      </c>
      <c r="AX1821" t="inlineStr">
        <is>
          <t>9970099</t>
        </is>
      </c>
      <c r="AY1821" t="inlineStr">
        <is>
          <t>991000929809702656</t>
        </is>
      </c>
      <c r="AZ1821" t="inlineStr">
        <is>
          <t>991000929809702656</t>
        </is>
      </c>
      <c r="BA1821" t="inlineStr">
        <is>
          <t>2260729640002656</t>
        </is>
      </c>
      <c r="BB1821" t="inlineStr">
        <is>
          <t>BOOK</t>
        </is>
      </c>
      <c r="BD1821" t="inlineStr">
        <is>
          <t>9780801622434</t>
        </is>
      </c>
      <c r="BE1821" t="inlineStr">
        <is>
          <t>30001000184863</t>
        </is>
      </c>
      <c r="BF1821" t="inlineStr">
        <is>
          <t>893820730</t>
        </is>
      </c>
    </row>
    <row r="1822">
      <c r="A1822" t="inlineStr">
        <is>
          <t>No</t>
        </is>
      </c>
      <c r="B1822" t="inlineStr">
        <is>
          <t>CUHSL</t>
        </is>
      </c>
      <c r="C1822" t="inlineStr">
        <is>
          <t>SHELVES</t>
        </is>
      </c>
      <c r="D1822" t="inlineStr">
        <is>
          <t>WY 200 A852c 1998</t>
        </is>
      </c>
      <c r="E1822" t="inlineStr">
        <is>
          <t>0                      WY 0200000A  852c        1998</t>
        </is>
      </c>
      <c r="F1822" t="inlineStr">
        <is>
          <t>Competency in home care / Terasa Astarita, Gayle Materna, Cynthia Blevins.</t>
        </is>
      </c>
      <c r="H1822" t="inlineStr">
        <is>
          <t>No</t>
        </is>
      </c>
      <c r="I1822" t="inlineStr">
        <is>
          <t>1</t>
        </is>
      </c>
      <c r="J1822" t="inlineStr">
        <is>
          <t>No</t>
        </is>
      </c>
      <c r="K1822" t="inlineStr">
        <is>
          <t>No</t>
        </is>
      </c>
      <c r="L1822" t="inlineStr">
        <is>
          <t>0</t>
        </is>
      </c>
      <c r="M1822" t="inlineStr">
        <is>
          <t>Astarita, Terasa.</t>
        </is>
      </c>
      <c r="N1822" t="inlineStr">
        <is>
          <t>Gaithersburg, Md. : Aspen Publishers, c1998.</t>
        </is>
      </c>
      <c r="O1822" t="inlineStr">
        <is>
          <t>1998</t>
        </is>
      </c>
      <c r="Q1822" t="inlineStr">
        <is>
          <t>eng</t>
        </is>
      </c>
      <c r="R1822" t="inlineStr">
        <is>
          <t>mdu</t>
        </is>
      </c>
      <c r="T1822" t="inlineStr">
        <is>
          <t xml:space="preserve">WY </t>
        </is>
      </c>
      <c r="U1822" t="n">
        <v>2</v>
      </c>
      <c r="V1822" t="n">
        <v>2</v>
      </c>
      <c r="W1822" t="inlineStr">
        <is>
          <t>1999-03-18</t>
        </is>
      </c>
      <c r="X1822" t="inlineStr">
        <is>
          <t>1999-03-18</t>
        </is>
      </c>
      <c r="Y1822" t="inlineStr">
        <is>
          <t>1998-12-17</t>
        </is>
      </c>
      <c r="Z1822" t="inlineStr">
        <is>
          <t>1998-12-17</t>
        </is>
      </c>
      <c r="AA1822" t="n">
        <v>126</v>
      </c>
      <c r="AB1822" t="n">
        <v>113</v>
      </c>
      <c r="AC1822" t="n">
        <v>115</v>
      </c>
      <c r="AD1822" t="n">
        <v>1</v>
      </c>
      <c r="AE1822" t="n">
        <v>1</v>
      </c>
      <c r="AF1822" t="n">
        <v>4</v>
      </c>
      <c r="AG1822" t="n">
        <v>4</v>
      </c>
      <c r="AH1822" t="n">
        <v>1</v>
      </c>
      <c r="AI1822" t="n">
        <v>1</v>
      </c>
      <c r="AJ1822" t="n">
        <v>1</v>
      </c>
      <c r="AK1822" t="n">
        <v>1</v>
      </c>
      <c r="AL1822" t="n">
        <v>2</v>
      </c>
      <c r="AM1822" t="n">
        <v>2</v>
      </c>
      <c r="AN1822" t="n">
        <v>0</v>
      </c>
      <c r="AO1822" t="n">
        <v>0</v>
      </c>
      <c r="AP1822" t="n">
        <v>0</v>
      </c>
      <c r="AQ1822" t="n">
        <v>0</v>
      </c>
      <c r="AR1822" t="inlineStr">
        <is>
          <t>No</t>
        </is>
      </c>
      <c r="AS1822" t="inlineStr">
        <is>
          <t>Yes</t>
        </is>
      </c>
      <c r="AT1822">
        <f>HYPERLINK("http://catalog.hathitrust.org/Record/003979467","HathiTrust Record")</f>
        <v/>
      </c>
      <c r="AU1822">
        <f>HYPERLINK("https://creighton-primo.hosted.exlibrisgroup.com/primo-explore/search?tab=default_tab&amp;search_scope=EVERYTHING&amp;vid=01CRU&amp;lang=en_US&amp;offset=0&amp;query=any,contains,991000692039702656","Catalog Record")</f>
        <v/>
      </c>
      <c r="AV1822">
        <f>HYPERLINK("http://www.worldcat.org/oclc/38732176","WorldCat Record")</f>
        <v/>
      </c>
      <c r="AW1822" t="inlineStr">
        <is>
          <t>42153036:eng</t>
        </is>
      </c>
      <c r="AX1822" t="inlineStr">
        <is>
          <t>38732176</t>
        </is>
      </c>
      <c r="AY1822" t="inlineStr">
        <is>
          <t>991000692039702656</t>
        </is>
      </c>
      <c r="AZ1822" t="inlineStr">
        <is>
          <t>991000692039702656</t>
        </is>
      </c>
      <c r="BA1822" t="inlineStr">
        <is>
          <t>2270118320002656</t>
        </is>
      </c>
      <c r="BB1822" t="inlineStr">
        <is>
          <t>BOOK</t>
        </is>
      </c>
      <c r="BD1822" t="inlineStr">
        <is>
          <t>9780834210509</t>
        </is>
      </c>
      <c r="BE1822" t="inlineStr">
        <is>
          <t>30001004036788</t>
        </is>
      </c>
      <c r="BF1822" t="inlineStr">
        <is>
          <t>893459694</t>
        </is>
      </c>
    </row>
    <row r="1823">
      <c r="A1823" t="inlineStr">
        <is>
          <t>No</t>
        </is>
      </c>
      <c r="B1823" t="inlineStr">
        <is>
          <t>CUHSL</t>
        </is>
      </c>
      <c r="C1823" t="inlineStr">
        <is>
          <t>SHELVES</t>
        </is>
      </c>
      <c r="D1823" t="inlineStr">
        <is>
          <t>WY 200 C855s 1991</t>
        </is>
      </c>
      <c r="E1823" t="inlineStr">
        <is>
          <t>0                      WY 0200000C  855s        1991</t>
        </is>
      </c>
      <c r="F1823" t="inlineStr">
        <is>
          <t>A statement on the scope of home health nursing practice.</t>
        </is>
      </c>
      <c r="H1823" t="inlineStr">
        <is>
          <t>No</t>
        </is>
      </c>
      <c r="I1823" t="inlineStr">
        <is>
          <t>1</t>
        </is>
      </c>
      <c r="J1823" t="inlineStr">
        <is>
          <t>No</t>
        </is>
      </c>
      <c r="K1823" t="inlineStr">
        <is>
          <t>No</t>
        </is>
      </c>
      <c r="L1823" t="inlineStr">
        <is>
          <t>0</t>
        </is>
      </c>
      <c r="M1823" t="inlineStr">
        <is>
          <t>Council of Community Health Nurses (American Nurses Association)</t>
        </is>
      </c>
      <c r="N1823" t="inlineStr">
        <is>
          <t>Kansas City, Mo. : American Nurses Association, Council of Community Health Nurses, c1991.</t>
        </is>
      </c>
      <c r="O1823" t="inlineStr">
        <is>
          <t>1991</t>
        </is>
      </c>
      <c r="Q1823" t="inlineStr">
        <is>
          <t>eng</t>
        </is>
      </c>
      <c r="R1823" t="inlineStr">
        <is>
          <t>mou</t>
        </is>
      </c>
      <c r="T1823" t="inlineStr">
        <is>
          <t xml:space="preserve">WY </t>
        </is>
      </c>
      <c r="U1823" t="n">
        <v>0</v>
      </c>
      <c r="V1823" t="n">
        <v>0</v>
      </c>
      <c r="W1823" t="inlineStr">
        <is>
          <t>2002-07-21</t>
        </is>
      </c>
      <c r="X1823" t="inlineStr">
        <is>
          <t>2002-07-21</t>
        </is>
      </c>
      <c r="Y1823" t="inlineStr">
        <is>
          <t>2000-06-15</t>
        </is>
      </c>
      <c r="Z1823" t="inlineStr">
        <is>
          <t>2000-06-15</t>
        </is>
      </c>
      <c r="AA1823" t="n">
        <v>107</v>
      </c>
      <c r="AB1823" t="n">
        <v>103</v>
      </c>
      <c r="AC1823" t="n">
        <v>114</v>
      </c>
      <c r="AD1823" t="n">
        <v>2</v>
      </c>
      <c r="AE1823" t="n">
        <v>2</v>
      </c>
      <c r="AF1823" t="n">
        <v>5</v>
      </c>
      <c r="AG1823" t="n">
        <v>5</v>
      </c>
      <c r="AH1823" t="n">
        <v>1</v>
      </c>
      <c r="AI1823" t="n">
        <v>1</v>
      </c>
      <c r="AJ1823" t="n">
        <v>2</v>
      </c>
      <c r="AK1823" t="n">
        <v>2</v>
      </c>
      <c r="AL1823" t="n">
        <v>2</v>
      </c>
      <c r="AM1823" t="n">
        <v>2</v>
      </c>
      <c r="AN1823" t="n">
        <v>0</v>
      </c>
      <c r="AO1823" t="n">
        <v>0</v>
      </c>
      <c r="AP1823" t="n">
        <v>0</v>
      </c>
      <c r="AQ1823" t="n">
        <v>0</v>
      </c>
      <c r="AR1823" t="inlineStr">
        <is>
          <t>No</t>
        </is>
      </c>
      <c r="AS1823" t="inlineStr">
        <is>
          <t>Yes</t>
        </is>
      </c>
      <c r="AT1823">
        <f>HYPERLINK("http://catalog.hathitrust.org/Record/002565178","HathiTrust Record")</f>
        <v/>
      </c>
      <c r="AU1823">
        <f>HYPERLINK("https://creighton-primo.hosted.exlibrisgroup.com/primo-explore/search?tab=default_tab&amp;search_scope=EVERYTHING&amp;vid=01CRU&amp;lang=en_US&amp;offset=0&amp;query=any,contains,991000232259702656","Catalog Record")</f>
        <v/>
      </c>
      <c r="AV1823">
        <f>HYPERLINK("http://www.worldcat.org/oclc/25094924","WorldCat Record")</f>
        <v/>
      </c>
      <c r="AW1823" t="inlineStr">
        <is>
          <t>43823574:eng</t>
        </is>
      </c>
      <c r="AX1823" t="inlineStr">
        <is>
          <t>25094924</t>
        </is>
      </c>
      <c r="AY1823" t="inlineStr">
        <is>
          <t>991000232259702656</t>
        </is>
      </c>
      <c r="AZ1823" t="inlineStr">
        <is>
          <t>991000232259702656</t>
        </is>
      </c>
      <c r="BA1823" t="inlineStr">
        <is>
          <t>2264189220002656</t>
        </is>
      </c>
      <c r="BB1823" t="inlineStr">
        <is>
          <t>BOOK</t>
        </is>
      </c>
      <c r="BE1823" t="inlineStr">
        <is>
          <t>30001002391789</t>
        </is>
      </c>
      <c r="BF1823" t="inlineStr">
        <is>
          <t>893811270</t>
        </is>
      </c>
    </row>
    <row r="1824">
      <c r="A1824" t="inlineStr">
        <is>
          <t>No</t>
        </is>
      </c>
      <c r="B1824" t="inlineStr">
        <is>
          <t>CUHSL</t>
        </is>
      </c>
      <c r="C1824" t="inlineStr">
        <is>
          <t>SHELVES</t>
        </is>
      </c>
      <c r="D1824" t="inlineStr">
        <is>
          <t>WY 200 C967 2004</t>
        </is>
      </c>
      <c r="E1824" t="inlineStr">
        <is>
          <t>0                      WY 0200000C  967         2004</t>
        </is>
      </c>
      <c r="F1824" t="inlineStr">
        <is>
          <t>The cultures of caregiving : conflict and common ground among families, health professionals, and policy makers / edited by Carol Levine and Thomas H. Murray ; foreword by Christine K. Cassell.</t>
        </is>
      </c>
      <c r="H1824" t="inlineStr">
        <is>
          <t>No</t>
        </is>
      </c>
      <c r="I1824" t="inlineStr">
        <is>
          <t>2</t>
        </is>
      </c>
      <c r="J1824" t="inlineStr">
        <is>
          <t>No</t>
        </is>
      </c>
      <c r="K1824" t="inlineStr">
        <is>
          <t>No</t>
        </is>
      </c>
      <c r="L1824" t="inlineStr">
        <is>
          <t>0</t>
        </is>
      </c>
      <c r="N1824" t="inlineStr">
        <is>
          <t>Baltimore : Johns Hopkins University Press, 2004.</t>
        </is>
      </c>
      <c r="O1824" t="inlineStr">
        <is>
          <t>2004</t>
        </is>
      </c>
      <c r="Q1824" t="inlineStr">
        <is>
          <t>eng</t>
        </is>
      </c>
      <c r="R1824" t="inlineStr">
        <is>
          <t>mdu</t>
        </is>
      </c>
      <c r="T1824" t="inlineStr">
        <is>
          <t xml:space="preserve">WY </t>
        </is>
      </c>
      <c r="U1824" t="n">
        <v>0</v>
      </c>
      <c r="V1824" t="n">
        <v>0</v>
      </c>
      <c r="W1824" t="inlineStr">
        <is>
          <t>2006-05-05</t>
        </is>
      </c>
      <c r="X1824" t="inlineStr">
        <is>
          <t>2006-05-05</t>
        </is>
      </c>
      <c r="Y1824" t="inlineStr">
        <is>
          <t>2006-05-02</t>
        </is>
      </c>
      <c r="Z1824" t="inlineStr">
        <is>
          <t>2006-05-02</t>
        </is>
      </c>
      <c r="AA1824" t="n">
        <v>524</v>
      </c>
      <c r="AB1824" t="n">
        <v>434</v>
      </c>
      <c r="AC1824" t="n">
        <v>492</v>
      </c>
      <c r="AD1824" t="n">
        <v>1</v>
      </c>
      <c r="AE1824" t="n">
        <v>1</v>
      </c>
      <c r="AF1824" t="n">
        <v>27</v>
      </c>
      <c r="AG1824" t="n">
        <v>27</v>
      </c>
      <c r="AH1824" t="n">
        <v>13</v>
      </c>
      <c r="AI1824" t="n">
        <v>13</v>
      </c>
      <c r="AJ1824" t="n">
        <v>6</v>
      </c>
      <c r="AK1824" t="n">
        <v>6</v>
      </c>
      <c r="AL1824" t="n">
        <v>13</v>
      </c>
      <c r="AM1824" t="n">
        <v>13</v>
      </c>
      <c r="AN1824" t="n">
        <v>0</v>
      </c>
      <c r="AO1824" t="n">
        <v>0</v>
      </c>
      <c r="AP1824" t="n">
        <v>0</v>
      </c>
      <c r="AQ1824" t="n">
        <v>0</v>
      </c>
      <c r="AR1824" t="inlineStr">
        <is>
          <t>No</t>
        </is>
      </c>
      <c r="AS1824" t="inlineStr">
        <is>
          <t>Yes</t>
        </is>
      </c>
      <c r="AT1824">
        <f>HYPERLINK("http://catalog.hathitrust.org/Record/004379797","HathiTrust Record")</f>
        <v/>
      </c>
      <c r="AU1824">
        <f>HYPERLINK("https://creighton-primo.hosted.exlibrisgroup.com/primo-explore/search?tab=default_tab&amp;search_scope=EVERYTHING&amp;vid=01CRU&amp;lang=en_US&amp;offset=0&amp;query=any,contains,991001738789702656","Catalog Record")</f>
        <v/>
      </c>
      <c r="AV1824">
        <f>HYPERLINK("http://www.worldcat.org/oclc/52720972","WorldCat Record")</f>
        <v/>
      </c>
      <c r="AW1824" t="inlineStr">
        <is>
          <t>889797066:eng</t>
        </is>
      </c>
      <c r="AX1824" t="inlineStr">
        <is>
          <t>52720972</t>
        </is>
      </c>
      <c r="AY1824" t="inlineStr">
        <is>
          <t>991001738789702656</t>
        </is>
      </c>
      <c r="AZ1824" t="inlineStr">
        <is>
          <t>991001738789702656</t>
        </is>
      </c>
      <c r="BA1824" t="inlineStr">
        <is>
          <t>2260184190002656</t>
        </is>
      </c>
      <c r="BB1824" t="inlineStr">
        <is>
          <t>BOOK</t>
        </is>
      </c>
      <c r="BD1824" t="inlineStr">
        <is>
          <t>9780801878633</t>
        </is>
      </c>
      <c r="BE1824" t="inlineStr">
        <is>
          <t>30001005126661</t>
        </is>
      </c>
      <c r="BF1824" t="inlineStr">
        <is>
          <t>893743967</t>
        </is>
      </c>
    </row>
    <row r="1825">
      <c r="A1825" t="inlineStr">
        <is>
          <t>No</t>
        </is>
      </c>
      <c r="B1825" t="inlineStr">
        <is>
          <t>CUHSL</t>
        </is>
      </c>
      <c r="C1825" t="inlineStr">
        <is>
          <t>SHELVES</t>
        </is>
      </c>
      <c r="D1825" t="inlineStr">
        <is>
          <t>WY 200 D864h 1983</t>
        </is>
      </c>
      <c r="E1825" t="inlineStr">
        <is>
          <t>0                      WY 0200000D  864h        1983</t>
        </is>
      </c>
      <c r="F1825" t="inlineStr">
        <is>
          <t>Home care : an alternative to the nursing home / Florine Du Fresne.</t>
        </is>
      </c>
      <c r="H1825" t="inlineStr">
        <is>
          <t>No</t>
        </is>
      </c>
      <c r="I1825" t="inlineStr">
        <is>
          <t>1</t>
        </is>
      </c>
      <c r="J1825" t="inlineStr">
        <is>
          <t>No</t>
        </is>
      </c>
      <c r="K1825" t="inlineStr">
        <is>
          <t>No</t>
        </is>
      </c>
      <c r="L1825" t="inlineStr">
        <is>
          <t>0</t>
        </is>
      </c>
      <c r="M1825" t="inlineStr">
        <is>
          <t>Du Fresne, Florine, 1907-</t>
        </is>
      </c>
      <c r="N1825" t="inlineStr">
        <is>
          <t>Elgin, Ill. : Brethren Press, c1983.</t>
        </is>
      </c>
      <c r="O1825" t="inlineStr">
        <is>
          <t>1983</t>
        </is>
      </c>
      <c r="Q1825" t="inlineStr">
        <is>
          <t>eng</t>
        </is>
      </c>
      <c r="R1825" t="inlineStr">
        <is>
          <t>xxu</t>
        </is>
      </c>
      <c r="T1825" t="inlineStr">
        <is>
          <t xml:space="preserve">WY </t>
        </is>
      </c>
      <c r="U1825" t="n">
        <v>3</v>
      </c>
      <c r="V1825" t="n">
        <v>3</v>
      </c>
      <c r="W1825" t="inlineStr">
        <is>
          <t>1992-07-03</t>
        </is>
      </c>
      <c r="X1825" t="inlineStr">
        <is>
          <t>1992-07-03</t>
        </is>
      </c>
      <c r="Y1825" t="inlineStr">
        <is>
          <t>1987-12-29</t>
        </is>
      </c>
      <c r="Z1825" t="inlineStr">
        <is>
          <t>1987-12-29</t>
        </is>
      </c>
      <c r="AA1825" t="n">
        <v>170</v>
      </c>
      <c r="AB1825" t="n">
        <v>158</v>
      </c>
      <c r="AC1825" t="n">
        <v>158</v>
      </c>
      <c r="AD1825" t="n">
        <v>2</v>
      </c>
      <c r="AE1825" t="n">
        <v>2</v>
      </c>
      <c r="AF1825" t="n">
        <v>0</v>
      </c>
      <c r="AG1825" t="n">
        <v>0</v>
      </c>
      <c r="AH1825" t="n">
        <v>0</v>
      </c>
      <c r="AI1825" t="n">
        <v>0</v>
      </c>
      <c r="AJ1825" t="n">
        <v>0</v>
      </c>
      <c r="AK1825" t="n">
        <v>0</v>
      </c>
      <c r="AL1825" t="n">
        <v>0</v>
      </c>
      <c r="AM1825" t="n">
        <v>0</v>
      </c>
      <c r="AN1825" t="n">
        <v>0</v>
      </c>
      <c r="AO1825" t="n">
        <v>0</v>
      </c>
      <c r="AP1825" t="n">
        <v>0</v>
      </c>
      <c r="AQ1825" t="n">
        <v>0</v>
      </c>
      <c r="AR1825" t="inlineStr">
        <is>
          <t>No</t>
        </is>
      </c>
      <c r="AS1825" t="inlineStr">
        <is>
          <t>No</t>
        </is>
      </c>
      <c r="AU1825">
        <f>HYPERLINK("https://creighton-primo.hosted.exlibrisgroup.com/primo-explore/search?tab=default_tab&amp;search_scope=EVERYTHING&amp;vid=01CRU&amp;lang=en_US&amp;offset=0&amp;query=any,contains,991000929979702656","Catalog Record")</f>
        <v/>
      </c>
      <c r="AV1825">
        <f>HYPERLINK("http://www.worldcat.org/oclc/9111906","WorldCat Record")</f>
        <v/>
      </c>
      <c r="AW1825" t="inlineStr">
        <is>
          <t>1080411:eng</t>
        </is>
      </c>
      <c r="AX1825" t="inlineStr">
        <is>
          <t>9111906</t>
        </is>
      </c>
      <c r="AY1825" t="inlineStr">
        <is>
          <t>991000929979702656</t>
        </is>
      </c>
      <c r="AZ1825" t="inlineStr">
        <is>
          <t>991000929979702656</t>
        </is>
      </c>
      <c r="BA1825" t="inlineStr">
        <is>
          <t>2269753860002656</t>
        </is>
      </c>
      <c r="BB1825" t="inlineStr">
        <is>
          <t>BOOK</t>
        </is>
      </c>
      <c r="BD1825" t="inlineStr">
        <is>
          <t>9780871780300</t>
        </is>
      </c>
      <c r="BE1825" t="inlineStr">
        <is>
          <t>30001000184871</t>
        </is>
      </c>
      <c r="BF1825" t="inlineStr">
        <is>
          <t>893134101</t>
        </is>
      </c>
    </row>
    <row r="1826">
      <c r="A1826" t="inlineStr">
        <is>
          <t>No</t>
        </is>
      </c>
      <c r="B1826" t="inlineStr">
        <is>
          <t>CUHSL</t>
        </is>
      </c>
      <c r="C1826" t="inlineStr">
        <is>
          <t>SHELVES</t>
        </is>
      </c>
      <c r="D1826" t="inlineStr">
        <is>
          <t>WY 200 H765 1989</t>
        </is>
      </c>
      <c r="E1826" t="inlineStr">
        <is>
          <t>0                      WY 0200000H  765         1989</t>
        </is>
      </c>
      <c r="F1826" t="inlineStr">
        <is>
          <t>Home health care nursing / [edited by] Ida M. Martinson, Ann Widmer.</t>
        </is>
      </c>
      <c r="H1826" t="inlineStr">
        <is>
          <t>No</t>
        </is>
      </c>
      <c r="I1826" t="inlineStr">
        <is>
          <t>1</t>
        </is>
      </c>
      <c r="J1826" t="inlineStr">
        <is>
          <t>No</t>
        </is>
      </c>
      <c r="K1826" t="inlineStr">
        <is>
          <t>No</t>
        </is>
      </c>
      <c r="L1826" t="inlineStr">
        <is>
          <t>0</t>
        </is>
      </c>
      <c r="N1826" t="inlineStr">
        <is>
          <t>Philadelphia : Saunders, c1989.</t>
        </is>
      </c>
      <c r="O1826" t="inlineStr">
        <is>
          <t>1989</t>
        </is>
      </c>
      <c r="Q1826" t="inlineStr">
        <is>
          <t>eng</t>
        </is>
      </c>
      <c r="R1826" t="inlineStr">
        <is>
          <t>pau</t>
        </is>
      </c>
      <c r="T1826" t="inlineStr">
        <is>
          <t xml:space="preserve">WY </t>
        </is>
      </c>
      <c r="U1826" t="n">
        <v>2</v>
      </c>
      <c r="V1826" t="n">
        <v>2</v>
      </c>
      <c r="W1826" t="inlineStr">
        <is>
          <t>1989-11-20</t>
        </is>
      </c>
      <c r="X1826" t="inlineStr">
        <is>
          <t>1989-11-20</t>
        </is>
      </c>
      <c r="Y1826" t="inlineStr">
        <is>
          <t>1989-10-21</t>
        </is>
      </c>
      <c r="Z1826" t="inlineStr">
        <is>
          <t>1989-10-21</t>
        </is>
      </c>
      <c r="AA1826" t="n">
        <v>250</v>
      </c>
      <c r="AB1826" t="n">
        <v>203</v>
      </c>
      <c r="AC1826" t="n">
        <v>381</v>
      </c>
      <c r="AD1826" t="n">
        <v>2</v>
      </c>
      <c r="AE1826" t="n">
        <v>2</v>
      </c>
      <c r="AF1826" t="n">
        <v>7</v>
      </c>
      <c r="AG1826" t="n">
        <v>16</v>
      </c>
      <c r="AH1826" t="n">
        <v>1</v>
      </c>
      <c r="AI1826" t="n">
        <v>8</v>
      </c>
      <c r="AJ1826" t="n">
        <v>3</v>
      </c>
      <c r="AK1826" t="n">
        <v>3</v>
      </c>
      <c r="AL1826" t="n">
        <v>4</v>
      </c>
      <c r="AM1826" t="n">
        <v>8</v>
      </c>
      <c r="AN1826" t="n">
        <v>1</v>
      </c>
      <c r="AO1826" t="n">
        <v>1</v>
      </c>
      <c r="AP1826" t="n">
        <v>0</v>
      </c>
      <c r="AQ1826" t="n">
        <v>0</v>
      </c>
      <c r="AR1826" t="inlineStr">
        <is>
          <t>No</t>
        </is>
      </c>
      <c r="AS1826" t="inlineStr">
        <is>
          <t>Yes</t>
        </is>
      </c>
      <c r="AT1826">
        <f>HYPERLINK("http://catalog.hathitrust.org/Record/001550679","HathiTrust Record")</f>
        <v/>
      </c>
      <c r="AU1826">
        <f>HYPERLINK("https://creighton-primo.hosted.exlibrisgroup.com/primo-explore/search?tab=default_tab&amp;search_scope=EVERYTHING&amp;vid=01CRU&amp;lang=en_US&amp;offset=0&amp;query=any,contains,991001355509702656","Catalog Record")</f>
        <v/>
      </c>
      <c r="AV1826">
        <f>HYPERLINK("http://www.worldcat.org/oclc/18463743","WorldCat Record")</f>
        <v/>
      </c>
      <c r="AW1826" t="inlineStr">
        <is>
          <t>431181291:eng</t>
        </is>
      </c>
      <c r="AX1826" t="inlineStr">
        <is>
          <t>18463743</t>
        </is>
      </c>
      <c r="AY1826" t="inlineStr">
        <is>
          <t>991001355509702656</t>
        </is>
      </c>
      <c r="AZ1826" t="inlineStr">
        <is>
          <t>991001355509702656</t>
        </is>
      </c>
      <c r="BA1826" t="inlineStr">
        <is>
          <t>2259468440002656</t>
        </is>
      </c>
      <c r="BB1826" t="inlineStr">
        <is>
          <t>BOOK</t>
        </is>
      </c>
      <c r="BD1826" t="inlineStr">
        <is>
          <t>9780721661483</t>
        </is>
      </c>
      <c r="BE1826" t="inlineStr">
        <is>
          <t>30001001795907</t>
        </is>
      </c>
      <c r="BF1826" t="inlineStr">
        <is>
          <t>893134486</t>
        </is>
      </c>
    </row>
    <row r="1827">
      <c r="A1827" t="inlineStr">
        <is>
          <t>No</t>
        </is>
      </c>
      <c r="B1827" t="inlineStr">
        <is>
          <t>CUHSL</t>
        </is>
      </c>
      <c r="C1827" t="inlineStr">
        <is>
          <t>SHELVES</t>
        </is>
      </c>
      <c r="D1827" t="inlineStr">
        <is>
          <t>WY 200 H765 1994</t>
        </is>
      </c>
      <c r="E1827" t="inlineStr">
        <is>
          <t>0                      WY 0200000H  765         1994</t>
        </is>
      </c>
      <c r="F1827" t="inlineStr">
        <is>
          <t>Home health care patient education manual / Aspen Reference Group ; Sara Nell Di Lima, managing editor ; Suzanne Niemeyer, editor.</t>
        </is>
      </c>
      <c r="H1827" t="inlineStr">
        <is>
          <t>No</t>
        </is>
      </c>
      <c r="I1827" t="inlineStr">
        <is>
          <t>1</t>
        </is>
      </c>
      <c r="J1827" t="inlineStr">
        <is>
          <t>No</t>
        </is>
      </c>
      <c r="K1827" t="inlineStr">
        <is>
          <t>No</t>
        </is>
      </c>
      <c r="L1827" t="inlineStr">
        <is>
          <t>0</t>
        </is>
      </c>
      <c r="N1827" t="inlineStr">
        <is>
          <t>Gaithersburg, Md. : Aspen Publishers, c1994.</t>
        </is>
      </c>
      <c r="O1827" t="inlineStr">
        <is>
          <t>1994</t>
        </is>
      </c>
      <c r="Q1827" t="inlineStr">
        <is>
          <t>eng</t>
        </is>
      </c>
      <c r="R1827" t="inlineStr">
        <is>
          <t>mdu</t>
        </is>
      </c>
      <c r="T1827" t="inlineStr">
        <is>
          <t xml:space="preserve">WY </t>
        </is>
      </c>
      <c r="U1827" t="n">
        <v>4</v>
      </c>
      <c r="V1827" t="n">
        <v>4</v>
      </c>
      <c r="W1827" t="inlineStr">
        <is>
          <t>1996-06-19</t>
        </is>
      </c>
      <c r="X1827" t="inlineStr">
        <is>
          <t>1996-06-19</t>
        </is>
      </c>
      <c r="Y1827" t="inlineStr">
        <is>
          <t>1995-07-21</t>
        </is>
      </c>
      <c r="Z1827" t="inlineStr">
        <is>
          <t>1995-07-21</t>
        </is>
      </c>
      <c r="AA1827" t="n">
        <v>36</v>
      </c>
      <c r="AB1827" t="n">
        <v>30</v>
      </c>
      <c r="AC1827" t="n">
        <v>30</v>
      </c>
      <c r="AD1827" t="n">
        <v>1</v>
      </c>
      <c r="AE1827" t="n">
        <v>1</v>
      </c>
      <c r="AF1827" t="n">
        <v>0</v>
      </c>
      <c r="AG1827" t="n">
        <v>0</v>
      </c>
      <c r="AH1827" t="n">
        <v>0</v>
      </c>
      <c r="AI1827" t="n">
        <v>0</v>
      </c>
      <c r="AJ1827" t="n">
        <v>0</v>
      </c>
      <c r="AK1827" t="n">
        <v>0</v>
      </c>
      <c r="AL1827" t="n">
        <v>0</v>
      </c>
      <c r="AM1827" t="n">
        <v>0</v>
      </c>
      <c r="AN1827" t="n">
        <v>0</v>
      </c>
      <c r="AO1827" t="n">
        <v>0</v>
      </c>
      <c r="AP1827" t="n">
        <v>0</v>
      </c>
      <c r="AQ1827" t="n">
        <v>0</v>
      </c>
      <c r="AR1827" t="inlineStr">
        <is>
          <t>No</t>
        </is>
      </c>
      <c r="AS1827" t="inlineStr">
        <is>
          <t>No</t>
        </is>
      </c>
      <c r="AU1827">
        <f>HYPERLINK("https://creighton-primo.hosted.exlibrisgroup.com/primo-explore/search?tab=default_tab&amp;search_scope=EVERYTHING&amp;vid=01CRU&amp;lang=en_US&amp;offset=0&amp;query=any,contains,991001402849702656","Catalog Record")</f>
        <v/>
      </c>
      <c r="AV1827">
        <f>HYPERLINK("http://www.worldcat.org/oclc/30399219","WorldCat Record")</f>
        <v/>
      </c>
      <c r="AW1827" t="inlineStr">
        <is>
          <t>1809042810:eng</t>
        </is>
      </c>
      <c r="AX1827" t="inlineStr">
        <is>
          <t>30399219</t>
        </is>
      </c>
      <c r="AY1827" t="inlineStr">
        <is>
          <t>991001402849702656</t>
        </is>
      </c>
      <c r="AZ1827" t="inlineStr">
        <is>
          <t>991001402849702656</t>
        </is>
      </c>
      <c r="BA1827" t="inlineStr">
        <is>
          <t>2256295470002656</t>
        </is>
      </c>
      <c r="BB1827" t="inlineStr">
        <is>
          <t>BOOK</t>
        </is>
      </c>
      <c r="BD1827" t="inlineStr">
        <is>
          <t>9780834205659</t>
        </is>
      </c>
      <c r="BE1827" t="inlineStr">
        <is>
          <t>30001003148956</t>
        </is>
      </c>
      <c r="BF1827" t="inlineStr">
        <is>
          <t>893727541</t>
        </is>
      </c>
    </row>
    <row r="1828">
      <c r="A1828" t="inlineStr">
        <is>
          <t>No</t>
        </is>
      </c>
      <c r="B1828" t="inlineStr">
        <is>
          <t>CUHSL</t>
        </is>
      </c>
      <c r="C1828" t="inlineStr">
        <is>
          <t>SHELVES</t>
        </is>
      </c>
      <c r="D1828" t="inlineStr">
        <is>
          <t>WY 200 O94s 1988</t>
        </is>
      </c>
      <c r="E1828" t="inlineStr">
        <is>
          <t>0                      WY 0200000O  94s         1988</t>
        </is>
      </c>
      <c r="F1828" t="inlineStr">
        <is>
          <t>Outcome standards in home health : state of the art / Lynn T. Rinke.</t>
        </is>
      </c>
      <c r="H1828" t="inlineStr">
        <is>
          <t>No</t>
        </is>
      </c>
      <c r="I1828" t="inlineStr">
        <is>
          <t>1</t>
        </is>
      </c>
      <c r="J1828" t="inlineStr">
        <is>
          <t>No</t>
        </is>
      </c>
      <c r="K1828" t="inlineStr">
        <is>
          <t>No</t>
        </is>
      </c>
      <c r="L1828" t="inlineStr">
        <is>
          <t>0</t>
        </is>
      </c>
      <c r="M1828" t="inlineStr">
        <is>
          <t>Rinke, Lynn T.</t>
        </is>
      </c>
      <c r="N1828" t="inlineStr">
        <is>
          <t>New York : National League For Nursing, c1988.</t>
        </is>
      </c>
      <c r="O1828" t="inlineStr">
        <is>
          <t>1988</t>
        </is>
      </c>
      <c r="Q1828" t="inlineStr">
        <is>
          <t>eng</t>
        </is>
      </c>
      <c r="R1828" t="inlineStr">
        <is>
          <t>nyu</t>
        </is>
      </c>
      <c r="S1828" t="inlineStr">
        <is>
          <t>Pub. ; no. 21-2204</t>
        </is>
      </c>
      <c r="T1828" t="inlineStr">
        <is>
          <t xml:space="preserve">WY </t>
        </is>
      </c>
      <c r="U1828" t="n">
        <v>7</v>
      </c>
      <c r="V1828" t="n">
        <v>7</v>
      </c>
      <c r="W1828" t="inlineStr">
        <is>
          <t>1992-05-26</t>
        </is>
      </c>
      <c r="X1828" t="inlineStr">
        <is>
          <t>1992-05-26</t>
        </is>
      </c>
      <c r="Y1828" t="inlineStr">
        <is>
          <t>1988-02-04</t>
        </is>
      </c>
      <c r="Z1828" t="inlineStr">
        <is>
          <t>1988-02-04</t>
        </is>
      </c>
      <c r="AA1828" t="n">
        <v>173</v>
      </c>
      <c r="AB1828" t="n">
        <v>155</v>
      </c>
      <c r="AC1828" t="n">
        <v>157</v>
      </c>
      <c r="AD1828" t="n">
        <v>2</v>
      </c>
      <c r="AE1828" t="n">
        <v>2</v>
      </c>
      <c r="AF1828" t="n">
        <v>7</v>
      </c>
      <c r="AG1828" t="n">
        <v>7</v>
      </c>
      <c r="AH1828" t="n">
        <v>3</v>
      </c>
      <c r="AI1828" t="n">
        <v>3</v>
      </c>
      <c r="AJ1828" t="n">
        <v>0</v>
      </c>
      <c r="AK1828" t="n">
        <v>0</v>
      </c>
      <c r="AL1828" t="n">
        <v>5</v>
      </c>
      <c r="AM1828" t="n">
        <v>5</v>
      </c>
      <c r="AN1828" t="n">
        <v>0</v>
      </c>
      <c r="AO1828" t="n">
        <v>0</v>
      </c>
      <c r="AP1828" t="n">
        <v>0</v>
      </c>
      <c r="AQ1828" t="n">
        <v>0</v>
      </c>
      <c r="AR1828" t="inlineStr">
        <is>
          <t>No</t>
        </is>
      </c>
      <c r="AS1828" t="inlineStr">
        <is>
          <t>Yes</t>
        </is>
      </c>
      <c r="AT1828">
        <f>HYPERLINK("http://catalog.hathitrust.org/Record/004383416","HathiTrust Record")</f>
        <v/>
      </c>
      <c r="AU1828">
        <f>HYPERLINK("https://creighton-primo.hosted.exlibrisgroup.com/primo-explore/search?tab=default_tab&amp;search_scope=EVERYTHING&amp;vid=01CRU&amp;lang=en_US&amp;offset=0&amp;query=any,contains,991001539249702656","Catalog Record")</f>
        <v/>
      </c>
      <c r="AV1828">
        <f>HYPERLINK("http://www.worldcat.org/oclc/17336720","WorldCat Record")</f>
        <v/>
      </c>
      <c r="AW1828" t="inlineStr">
        <is>
          <t>16016512:eng</t>
        </is>
      </c>
      <c r="AX1828" t="inlineStr">
        <is>
          <t>17336720</t>
        </is>
      </c>
      <c r="AY1828" t="inlineStr">
        <is>
          <t>991001539249702656</t>
        </is>
      </c>
      <c r="AZ1828" t="inlineStr">
        <is>
          <t>991001539249702656</t>
        </is>
      </c>
      <c r="BA1828" t="inlineStr">
        <is>
          <t>2255616030002656</t>
        </is>
      </c>
      <c r="BB1828" t="inlineStr">
        <is>
          <t>BOOK</t>
        </is>
      </c>
      <c r="BD1828" t="inlineStr">
        <is>
          <t>9780887373893</t>
        </is>
      </c>
      <c r="BE1828" t="inlineStr">
        <is>
          <t>30001000624462</t>
        </is>
      </c>
      <c r="BF1828" t="inlineStr">
        <is>
          <t>893149320</t>
        </is>
      </c>
    </row>
    <row r="1829">
      <c r="A1829" t="inlineStr">
        <is>
          <t>No</t>
        </is>
      </c>
      <c r="B1829" t="inlineStr">
        <is>
          <t>CUHSL</t>
        </is>
      </c>
      <c r="C1829" t="inlineStr">
        <is>
          <t>SHELVES</t>
        </is>
      </c>
      <c r="D1829" t="inlineStr">
        <is>
          <t>WY 200 R434 1993</t>
        </is>
      </c>
      <c r="E1829" t="inlineStr">
        <is>
          <t>0                      WY 0200000R  434         1993</t>
        </is>
      </c>
      <c r="F1829" t="inlineStr">
        <is>
          <t>Respite care : programs, problems, and solutions / edited by Lynn M. Tepper, John A. Toner.</t>
        </is>
      </c>
      <c r="H1829" t="inlineStr">
        <is>
          <t>No</t>
        </is>
      </c>
      <c r="I1829" t="inlineStr">
        <is>
          <t>1</t>
        </is>
      </c>
      <c r="J1829" t="inlineStr">
        <is>
          <t>No</t>
        </is>
      </c>
      <c r="K1829" t="inlineStr">
        <is>
          <t>No</t>
        </is>
      </c>
      <c r="L1829" t="inlineStr">
        <is>
          <t>0</t>
        </is>
      </c>
      <c r="N1829" t="inlineStr">
        <is>
          <t>Philadelphia : Charles Press, c1993.</t>
        </is>
      </c>
      <c r="O1829" t="inlineStr">
        <is>
          <t>1993</t>
        </is>
      </c>
      <c r="Q1829" t="inlineStr">
        <is>
          <t>eng</t>
        </is>
      </c>
      <c r="R1829" t="inlineStr">
        <is>
          <t>pau</t>
        </is>
      </c>
      <c r="T1829" t="inlineStr">
        <is>
          <t xml:space="preserve">WY </t>
        </is>
      </c>
      <c r="U1829" t="n">
        <v>9</v>
      </c>
      <c r="V1829" t="n">
        <v>9</v>
      </c>
      <c r="W1829" t="inlineStr">
        <is>
          <t>1997-05-07</t>
        </is>
      </c>
      <c r="X1829" t="inlineStr">
        <is>
          <t>1997-05-07</t>
        </is>
      </c>
      <c r="Y1829" t="inlineStr">
        <is>
          <t>1993-09-15</t>
        </is>
      </c>
      <c r="Z1829" t="inlineStr">
        <is>
          <t>1993-09-15</t>
        </is>
      </c>
      <c r="AA1829" t="n">
        <v>294</v>
      </c>
      <c r="AB1829" t="n">
        <v>264</v>
      </c>
      <c r="AC1829" t="n">
        <v>271</v>
      </c>
      <c r="AD1829" t="n">
        <v>2</v>
      </c>
      <c r="AE1829" t="n">
        <v>2</v>
      </c>
      <c r="AF1829" t="n">
        <v>7</v>
      </c>
      <c r="AG1829" t="n">
        <v>7</v>
      </c>
      <c r="AH1829" t="n">
        <v>1</v>
      </c>
      <c r="AI1829" t="n">
        <v>1</v>
      </c>
      <c r="AJ1829" t="n">
        <v>2</v>
      </c>
      <c r="AK1829" t="n">
        <v>2</v>
      </c>
      <c r="AL1829" t="n">
        <v>4</v>
      </c>
      <c r="AM1829" t="n">
        <v>4</v>
      </c>
      <c r="AN1829" t="n">
        <v>1</v>
      </c>
      <c r="AO1829" t="n">
        <v>1</v>
      </c>
      <c r="AP1829" t="n">
        <v>0</v>
      </c>
      <c r="AQ1829" t="n">
        <v>0</v>
      </c>
      <c r="AR1829" t="inlineStr">
        <is>
          <t>No</t>
        </is>
      </c>
      <c r="AS1829" t="inlineStr">
        <is>
          <t>Yes</t>
        </is>
      </c>
      <c r="AT1829">
        <f>HYPERLINK("http://catalog.hathitrust.org/Record/002698660","HathiTrust Record")</f>
        <v/>
      </c>
      <c r="AU1829">
        <f>HYPERLINK("https://creighton-primo.hosted.exlibrisgroup.com/primo-explore/search?tab=default_tab&amp;search_scope=EVERYTHING&amp;vid=01CRU&amp;lang=en_US&amp;offset=0&amp;query=any,contains,991001485779702656","Catalog Record")</f>
        <v/>
      </c>
      <c r="AV1829">
        <f>HYPERLINK("http://www.worldcat.org/oclc/27216589","WorldCat Record")</f>
        <v/>
      </c>
      <c r="AW1829" t="inlineStr">
        <is>
          <t>374640232:eng</t>
        </is>
      </c>
      <c r="AX1829" t="inlineStr">
        <is>
          <t>27216589</t>
        </is>
      </c>
      <c r="AY1829" t="inlineStr">
        <is>
          <t>991001485779702656</t>
        </is>
      </c>
      <c r="AZ1829" t="inlineStr">
        <is>
          <t>991001485779702656</t>
        </is>
      </c>
      <c r="BA1829" t="inlineStr">
        <is>
          <t>2272180140002656</t>
        </is>
      </c>
      <c r="BB1829" t="inlineStr">
        <is>
          <t>BOOK</t>
        </is>
      </c>
      <c r="BD1829" t="inlineStr">
        <is>
          <t>9780914783671</t>
        </is>
      </c>
      <c r="BE1829" t="inlineStr">
        <is>
          <t>30001002579128</t>
        </is>
      </c>
      <c r="BF1829" t="inlineStr">
        <is>
          <t>893274214</t>
        </is>
      </c>
    </row>
    <row r="1830">
      <c r="A1830" t="inlineStr">
        <is>
          <t>No</t>
        </is>
      </c>
      <c r="B1830" t="inlineStr">
        <is>
          <t>CUHSL</t>
        </is>
      </c>
      <c r="C1830" t="inlineStr">
        <is>
          <t>SHELVES</t>
        </is>
      </c>
      <c r="D1830" t="inlineStr">
        <is>
          <t>WY300 FA1 C641 2001</t>
        </is>
      </c>
      <c r="E1830" t="inlineStr">
        <is>
          <t>0                      WY 0300000FA 1                  C  641         2001</t>
        </is>
      </c>
      <c r="F1830" t="inlineStr">
        <is>
          <t>Clinical effectiveness in nursing practice / [edited by] Jane Dawson ; with contributions from Elaine Taylor-Whilde, Sue Torkington.</t>
        </is>
      </c>
      <c r="H1830" t="inlineStr">
        <is>
          <t>No</t>
        </is>
      </c>
      <c r="I1830" t="inlineStr">
        <is>
          <t>1</t>
        </is>
      </c>
      <c r="J1830" t="inlineStr">
        <is>
          <t>No</t>
        </is>
      </c>
      <c r="K1830" t="inlineStr">
        <is>
          <t>No</t>
        </is>
      </c>
      <c r="L1830" t="inlineStr">
        <is>
          <t>0</t>
        </is>
      </c>
      <c r="N1830" t="inlineStr">
        <is>
          <t>London ; Philadelphia : Whurr Publishers, 2001.</t>
        </is>
      </c>
      <c r="O1830" t="inlineStr">
        <is>
          <t>2001</t>
        </is>
      </c>
      <c r="Q1830" t="inlineStr">
        <is>
          <t>eng</t>
        </is>
      </c>
      <c r="R1830" t="inlineStr">
        <is>
          <t>enk</t>
        </is>
      </c>
      <c r="T1830" t="inlineStr">
        <is>
          <t xml:space="preserve">WY </t>
        </is>
      </c>
      <c r="U1830" t="n">
        <v>0</v>
      </c>
      <c r="V1830" t="n">
        <v>0</v>
      </c>
      <c r="W1830" t="inlineStr">
        <is>
          <t>2003-05-27</t>
        </is>
      </c>
      <c r="X1830" t="inlineStr">
        <is>
          <t>2003-05-27</t>
        </is>
      </c>
      <c r="Y1830" t="inlineStr">
        <is>
          <t>2002-06-27</t>
        </is>
      </c>
      <c r="Z1830" t="inlineStr">
        <is>
          <t>2002-06-27</t>
        </is>
      </c>
      <c r="AA1830" t="n">
        <v>144</v>
      </c>
      <c r="AB1830" t="n">
        <v>69</v>
      </c>
      <c r="AC1830" t="n">
        <v>158</v>
      </c>
      <c r="AD1830" t="n">
        <v>1</v>
      </c>
      <c r="AE1830" t="n">
        <v>1</v>
      </c>
      <c r="AF1830" t="n">
        <v>3</v>
      </c>
      <c r="AG1830" t="n">
        <v>5</v>
      </c>
      <c r="AH1830" t="n">
        <v>1</v>
      </c>
      <c r="AI1830" t="n">
        <v>3</v>
      </c>
      <c r="AJ1830" t="n">
        <v>1</v>
      </c>
      <c r="AK1830" t="n">
        <v>2</v>
      </c>
      <c r="AL1830" t="n">
        <v>1</v>
      </c>
      <c r="AM1830" t="n">
        <v>1</v>
      </c>
      <c r="AN1830" t="n">
        <v>0</v>
      </c>
      <c r="AO1830" t="n">
        <v>0</v>
      </c>
      <c r="AP1830" t="n">
        <v>0</v>
      </c>
      <c r="AQ1830" t="n">
        <v>0</v>
      </c>
      <c r="AR1830" t="inlineStr">
        <is>
          <t>No</t>
        </is>
      </c>
      <c r="AS1830" t="inlineStr">
        <is>
          <t>No</t>
        </is>
      </c>
      <c r="AU1830">
        <f>HYPERLINK("https://creighton-primo.hosted.exlibrisgroup.com/primo-explore/search?tab=default_tab&amp;search_scope=EVERYTHING&amp;vid=01CRU&amp;lang=en_US&amp;offset=0&amp;query=any,contains,991000319139702656","Catalog Record")</f>
        <v/>
      </c>
      <c r="AV1830">
        <f>HYPERLINK("http://www.worldcat.org/oclc/45589628","WorldCat Record")</f>
        <v/>
      </c>
      <c r="AW1830" t="inlineStr">
        <is>
          <t>375458875:eng</t>
        </is>
      </c>
      <c r="AX1830" t="inlineStr">
        <is>
          <t>45589628</t>
        </is>
      </c>
      <c r="AY1830" t="inlineStr">
        <is>
          <t>991000319139702656</t>
        </is>
      </c>
      <c r="AZ1830" t="inlineStr">
        <is>
          <t>991000319139702656</t>
        </is>
      </c>
      <c r="BA1830" t="inlineStr">
        <is>
          <t>2269488860002656</t>
        </is>
      </c>
      <c r="BB1830" t="inlineStr">
        <is>
          <t>BOOK</t>
        </is>
      </c>
      <c r="BD1830" t="inlineStr">
        <is>
          <t>9781861561831</t>
        </is>
      </c>
      <c r="BE1830" t="inlineStr">
        <is>
          <t>30001004442358</t>
        </is>
      </c>
      <c r="BF1830" t="inlineStr">
        <is>
          <t>893633772</t>
        </is>
      </c>
    </row>
    <row r="1831">
      <c r="A1831" t="inlineStr">
        <is>
          <t>No</t>
        </is>
      </c>
      <c r="B1831" t="inlineStr">
        <is>
          <t>CUHSL</t>
        </is>
      </c>
      <c r="C1831" t="inlineStr">
        <is>
          <t>SHELVES</t>
        </is>
      </c>
      <c r="D1831" t="inlineStr">
        <is>
          <t>WY 300 FA1 P76 1992</t>
        </is>
      </c>
      <c r="E1831" t="inlineStr">
        <is>
          <t>0                      WY 0300000FA 1                  P  76          1992</t>
        </is>
      </c>
      <c r="F1831" t="inlineStr">
        <is>
          <t>Policy issues in nursing / edited by Jane Robinson, Alastair Gray, Ruth Elkan.</t>
        </is>
      </c>
      <c r="H1831" t="inlineStr">
        <is>
          <t>No</t>
        </is>
      </c>
      <c r="I1831" t="inlineStr">
        <is>
          <t>1</t>
        </is>
      </c>
      <c r="J1831" t="inlineStr">
        <is>
          <t>No</t>
        </is>
      </c>
      <c r="K1831" t="inlineStr">
        <is>
          <t>No</t>
        </is>
      </c>
      <c r="L1831" t="inlineStr">
        <is>
          <t>0</t>
        </is>
      </c>
      <c r="N1831" t="inlineStr">
        <is>
          <t>Milton Keynes ; Philadelphia : Open University Press, c1992.</t>
        </is>
      </c>
      <c r="O1831" t="inlineStr">
        <is>
          <t>1992</t>
        </is>
      </c>
      <c r="Q1831" t="inlineStr">
        <is>
          <t>eng</t>
        </is>
      </c>
      <c r="R1831" t="inlineStr">
        <is>
          <t>enk</t>
        </is>
      </c>
      <c r="T1831" t="inlineStr">
        <is>
          <t xml:space="preserve">WY </t>
        </is>
      </c>
      <c r="U1831" t="n">
        <v>3</v>
      </c>
      <c r="V1831" t="n">
        <v>3</v>
      </c>
      <c r="W1831" t="inlineStr">
        <is>
          <t>1993-03-16</t>
        </is>
      </c>
      <c r="X1831" t="inlineStr">
        <is>
          <t>1993-03-16</t>
        </is>
      </c>
      <c r="Y1831" t="inlineStr">
        <is>
          <t>1993-03-04</t>
        </is>
      </c>
      <c r="Z1831" t="inlineStr">
        <is>
          <t>1993-03-04</t>
        </is>
      </c>
      <c r="AA1831" t="n">
        <v>128</v>
      </c>
      <c r="AB1831" t="n">
        <v>46</v>
      </c>
      <c r="AC1831" t="n">
        <v>47</v>
      </c>
      <c r="AD1831" t="n">
        <v>1</v>
      </c>
      <c r="AE1831" t="n">
        <v>1</v>
      </c>
      <c r="AF1831" t="n">
        <v>0</v>
      </c>
      <c r="AG1831" t="n">
        <v>0</v>
      </c>
      <c r="AH1831" t="n">
        <v>0</v>
      </c>
      <c r="AI1831" t="n">
        <v>0</v>
      </c>
      <c r="AJ1831" t="n">
        <v>0</v>
      </c>
      <c r="AK1831" t="n">
        <v>0</v>
      </c>
      <c r="AL1831" t="n">
        <v>0</v>
      </c>
      <c r="AM1831" t="n">
        <v>0</v>
      </c>
      <c r="AN1831" t="n">
        <v>0</v>
      </c>
      <c r="AO1831" t="n">
        <v>0</v>
      </c>
      <c r="AP1831" t="n">
        <v>0</v>
      </c>
      <c r="AQ1831" t="n">
        <v>0</v>
      </c>
      <c r="AR1831" t="inlineStr">
        <is>
          <t>No</t>
        </is>
      </c>
      <c r="AS1831" t="inlineStr">
        <is>
          <t>No</t>
        </is>
      </c>
      <c r="AU1831">
        <f>HYPERLINK("https://creighton-primo.hosted.exlibrisgroup.com/primo-explore/search?tab=default_tab&amp;search_scope=EVERYTHING&amp;vid=01CRU&amp;lang=en_US&amp;offset=0&amp;query=any,contains,991001431999702656","Catalog Record")</f>
        <v/>
      </c>
      <c r="AV1831">
        <f>HYPERLINK("http://www.worldcat.org/oclc/24009987","WorldCat Record")</f>
        <v/>
      </c>
      <c r="AW1831" t="inlineStr">
        <is>
          <t>354148280:eng</t>
        </is>
      </c>
      <c r="AX1831" t="inlineStr">
        <is>
          <t>24009987</t>
        </is>
      </c>
      <c r="AY1831" t="inlineStr">
        <is>
          <t>991001431999702656</t>
        </is>
      </c>
      <c r="AZ1831" t="inlineStr">
        <is>
          <t>991001431999702656</t>
        </is>
      </c>
      <c r="BA1831" t="inlineStr">
        <is>
          <t>2268250190002656</t>
        </is>
      </c>
      <c r="BB1831" t="inlineStr">
        <is>
          <t>BOOK</t>
        </is>
      </c>
      <c r="BD1831" t="inlineStr">
        <is>
          <t>9780335094660</t>
        </is>
      </c>
      <c r="BE1831" t="inlineStr">
        <is>
          <t>30001002529677</t>
        </is>
      </c>
      <c r="BF1831" t="inlineStr">
        <is>
          <t>893465518</t>
        </is>
      </c>
    </row>
    <row r="1832">
      <c r="A1832" t="inlineStr">
        <is>
          <t>No</t>
        </is>
      </c>
      <c r="B1832" t="inlineStr">
        <is>
          <t>CUHSL</t>
        </is>
      </c>
      <c r="C1832" t="inlineStr">
        <is>
          <t>SHELVES</t>
        </is>
      </c>
      <c r="D1832" t="inlineStr">
        <is>
          <t>WY340 A6405 2005</t>
        </is>
      </c>
      <c r="E1832" t="inlineStr">
        <is>
          <t>0                      WY 0340000A  6405        2005</t>
        </is>
      </c>
      <c r="F1832" t="inlineStr">
        <is>
          <t>Aphasia and related neurogenic language disorders / [edited by] Leonard L. LaPointe.</t>
        </is>
      </c>
      <c r="H1832" t="inlineStr">
        <is>
          <t>No</t>
        </is>
      </c>
      <c r="I1832" t="inlineStr">
        <is>
          <t>1</t>
        </is>
      </c>
      <c r="J1832" t="inlineStr">
        <is>
          <t>No</t>
        </is>
      </c>
      <c r="K1832" t="inlineStr">
        <is>
          <t>Yes</t>
        </is>
      </c>
      <c r="L1832" t="inlineStr">
        <is>
          <t>1</t>
        </is>
      </c>
      <c r="N1832" t="inlineStr">
        <is>
          <t>New York : Thieme, 2005.</t>
        </is>
      </c>
      <c r="O1832" t="inlineStr">
        <is>
          <t>2005</t>
        </is>
      </c>
      <c r="P1832" t="inlineStr">
        <is>
          <t>3rd ed.</t>
        </is>
      </c>
      <c r="Q1832" t="inlineStr">
        <is>
          <t>eng</t>
        </is>
      </c>
      <c r="R1832" t="inlineStr">
        <is>
          <t>nyu</t>
        </is>
      </c>
      <c r="T1832" t="inlineStr">
        <is>
          <t xml:space="preserve">WY </t>
        </is>
      </c>
      <c r="U1832" t="n">
        <v>2</v>
      </c>
      <c r="V1832" t="n">
        <v>2</v>
      </c>
      <c r="W1832" t="inlineStr">
        <is>
          <t>2006-12-15</t>
        </is>
      </c>
      <c r="X1832" t="inlineStr">
        <is>
          <t>2006-12-15</t>
        </is>
      </c>
      <c r="Y1832" t="inlineStr">
        <is>
          <t>2005-01-21</t>
        </is>
      </c>
      <c r="Z1832" t="inlineStr">
        <is>
          <t>2005-01-21</t>
        </is>
      </c>
      <c r="AA1832" t="n">
        <v>270</v>
      </c>
      <c r="AB1832" t="n">
        <v>210</v>
      </c>
      <c r="AC1832" t="n">
        <v>456</v>
      </c>
      <c r="AD1832" t="n">
        <v>5</v>
      </c>
      <c r="AE1832" t="n">
        <v>5</v>
      </c>
      <c r="AF1832" t="n">
        <v>12</v>
      </c>
      <c r="AG1832" t="n">
        <v>15</v>
      </c>
      <c r="AH1832" t="n">
        <v>5</v>
      </c>
      <c r="AI1832" t="n">
        <v>6</v>
      </c>
      <c r="AJ1832" t="n">
        <v>3</v>
      </c>
      <c r="AK1832" t="n">
        <v>3</v>
      </c>
      <c r="AL1832" t="n">
        <v>4</v>
      </c>
      <c r="AM1832" t="n">
        <v>6</v>
      </c>
      <c r="AN1832" t="n">
        <v>4</v>
      </c>
      <c r="AO1832" t="n">
        <v>4</v>
      </c>
      <c r="AP1832" t="n">
        <v>0</v>
      </c>
      <c r="AQ1832" t="n">
        <v>0</v>
      </c>
      <c r="AR1832" t="inlineStr">
        <is>
          <t>No</t>
        </is>
      </c>
      <c r="AS1832" t="inlineStr">
        <is>
          <t>Yes</t>
        </is>
      </c>
      <c r="AT1832">
        <f>HYPERLINK("http://catalog.hathitrust.org/Record/004923541","HathiTrust Record")</f>
        <v/>
      </c>
      <c r="AU1832">
        <f>HYPERLINK("https://creighton-primo.hosted.exlibrisgroup.com/primo-explore/search?tab=default_tab&amp;search_scope=EVERYTHING&amp;vid=01CRU&amp;lang=en_US&amp;offset=0&amp;query=any,contains,991000423529702656","Catalog Record")</f>
        <v/>
      </c>
      <c r="AV1832">
        <f>HYPERLINK("http://www.worldcat.org/oclc/57071469","WorldCat Record")</f>
        <v/>
      </c>
      <c r="AW1832" t="inlineStr">
        <is>
          <t>55292796:eng</t>
        </is>
      </c>
      <c r="AX1832" t="inlineStr">
        <is>
          <t>57071469</t>
        </is>
      </c>
      <c r="AY1832" t="inlineStr">
        <is>
          <t>991000423529702656</t>
        </is>
      </c>
      <c r="AZ1832" t="inlineStr">
        <is>
          <t>991000423529702656</t>
        </is>
      </c>
      <c r="BA1832" t="inlineStr">
        <is>
          <t>2262250280002656</t>
        </is>
      </c>
      <c r="BB1832" t="inlineStr">
        <is>
          <t>BOOK</t>
        </is>
      </c>
      <c r="BD1832" t="inlineStr">
        <is>
          <t>9781588902269</t>
        </is>
      </c>
      <c r="BE1832" t="inlineStr">
        <is>
          <t>30001004926632</t>
        </is>
      </c>
      <c r="BF1832" t="inlineStr">
        <is>
          <t>893466246</t>
        </is>
      </c>
    </row>
    <row r="1833">
      <c r="A1833" t="inlineStr">
        <is>
          <t>No</t>
        </is>
      </c>
      <c r="B1833" t="inlineStr">
        <is>
          <t>CUHSL</t>
        </is>
      </c>
      <c r="C1833" t="inlineStr">
        <is>
          <t>SHELVES</t>
        </is>
      </c>
      <c r="D1833" t="inlineStr">
        <is>
          <t>WY611.1 D674n 1996</t>
        </is>
      </c>
      <c r="E1833" t="inlineStr">
        <is>
          <t>0                      WY 0611100D  674n        1996</t>
        </is>
      </c>
      <c r="F1833" t="inlineStr">
        <is>
          <t>Nursing, the finest art : an illustrated history / M. Patricia Donahue.</t>
        </is>
      </c>
      <c r="H1833" t="inlineStr">
        <is>
          <t>No</t>
        </is>
      </c>
      <c r="I1833" t="inlineStr">
        <is>
          <t>1</t>
        </is>
      </c>
      <c r="J1833" t="inlineStr">
        <is>
          <t>No</t>
        </is>
      </c>
      <c r="K1833" t="inlineStr">
        <is>
          <t>Yes</t>
        </is>
      </c>
      <c r="L1833" t="inlineStr">
        <is>
          <t>0</t>
        </is>
      </c>
      <c r="M1833" t="inlineStr">
        <is>
          <t>Donahue, M. Patricia.</t>
        </is>
      </c>
      <c r="N1833" t="inlineStr">
        <is>
          <t>St. Louis : Mosby, c1996.</t>
        </is>
      </c>
      <c r="O1833" t="inlineStr">
        <is>
          <t>1996</t>
        </is>
      </c>
      <c r="P1833" t="inlineStr">
        <is>
          <t>2nd ed.</t>
        </is>
      </c>
      <c r="Q1833" t="inlineStr">
        <is>
          <t>eng</t>
        </is>
      </c>
      <c r="R1833" t="inlineStr">
        <is>
          <t>mou</t>
        </is>
      </c>
      <c r="T1833" t="inlineStr">
        <is>
          <t xml:space="preserve">WY </t>
        </is>
      </c>
      <c r="U1833" t="n">
        <v>1</v>
      </c>
      <c r="V1833" t="n">
        <v>1</v>
      </c>
      <c r="W1833" t="inlineStr">
        <is>
          <t>2006-02-07</t>
        </is>
      </c>
      <c r="X1833" t="inlineStr">
        <is>
          <t>2006-02-07</t>
        </is>
      </c>
      <c r="Y1833" t="inlineStr">
        <is>
          <t>2006-01-26</t>
        </is>
      </c>
      <c r="Z1833" t="inlineStr">
        <is>
          <t>2006-01-26</t>
        </is>
      </c>
      <c r="AA1833" t="n">
        <v>675</v>
      </c>
      <c r="AB1833" t="n">
        <v>566</v>
      </c>
      <c r="AC1833" t="n">
        <v>1918</v>
      </c>
      <c r="AD1833" t="n">
        <v>9</v>
      </c>
      <c r="AE1833" t="n">
        <v>18</v>
      </c>
      <c r="AF1833" t="n">
        <v>21</v>
      </c>
      <c r="AG1833" t="n">
        <v>45</v>
      </c>
      <c r="AH1833" t="n">
        <v>7</v>
      </c>
      <c r="AI1833" t="n">
        <v>18</v>
      </c>
      <c r="AJ1833" t="n">
        <v>3</v>
      </c>
      <c r="AK1833" t="n">
        <v>7</v>
      </c>
      <c r="AL1833" t="n">
        <v>6</v>
      </c>
      <c r="AM1833" t="n">
        <v>15</v>
      </c>
      <c r="AN1833" t="n">
        <v>7</v>
      </c>
      <c r="AO1833" t="n">
        <v>11</v>
      </c>
      <c r="AP1833" t="n">
        <v>0</v>
      </c>
      <c r="AQ1833" t="n">
        <v>0</v>
      </c>
      <c r="AR1833" t="inlineStr">
        <is>
          <t>No</t>
        </is>
      </c>
      <c r="AS1833" t="inlineStr">
        <is>
          <t>Yes</t>
        </is>
      </c>
      <c r="AT1833">
        <f>HYPERLINK("http://catalog.hathitrust.org/Record/003031296","HathiTrust Record")</f>
        <v/>
      </c>
      <c r="AU1833">
        <f>HYPERLINK("https://creighton-primo.hosted.exlibrisgroup.com/primo-explore/search?tab=default_tab&amp;search_scope=EVERYTHING&amp;vid=01CRU&amp;lang=en_US&amp;offset=0&amp;query=any,contains,991000458459702656","Catalog Record")</f>
        <v/>
      </c>
      <c r="AV1833">
        <f>HYPERLINK("http://www.worldcat.org/oclc/33404614","WorldCat Record")</f>
        <v/>
      </c>
      <c r="AW1833" t="inlineStr">
        <is>
          <t>793277868:eng</t>
        </is>
      </c>
      <c r="AX1833" t="inlineStr">
        <is>
          <t>33404614</t>
        </is>
      </c>
      <c r="AY1833" t="inlineStr">
        <is>
          <t>991000458459702656</t>
        </is>
      </c>
      <c r="AZ1833" t="inlineStr">
        <is>
          <t>991000458459702656</t>
        </is>
      </c>
      <c r="BA1833" t="inlineStr">
        <is>
          <t>2267036550002656</t>
        </is>
      </c>
      <c r="BB1833" t="inlineStr">
        <is>
          <t>BOOK</t>
        </is>
      </c>
      <c r="BD1833" t="inlineStr">
        <is>
          <t>9780815127277</t>
        </is>
      </c>
      <c r="BE1833" t="inlineStr">
        <is>
          <t>30001004910859</t>
        </is>
      </c>
      <c r="BF1833" t="inlineStr">
        <is>
          <t>893547825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